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arti\Mi unidad\SGCM\RLPH\ESTADISTICAS\PASAJEROS METROPOLITANOS\ESTADISTICAS METRO AMBA\"/>
    </mc:Choice>
  </mc:AlternateContent>
  <xr:revisionPtr revIDLastSave="0" documentId="13_ncr:1_{C1F99A97-D169-422A-B8AE-529D76098627}" xr6:coauthVersionLast="47" xr6:coauthVersionMax="47" xr10:uidLastSave="{00000000-0000-0000-0000-000000000000}"/>
  <bookViews>
    <workbookView xWindow="-120" yWindow="-120" windowWidth="29040" windowHeight="15840" tabRatio="870" activeTab="1" xr2:uid="{00000000-000D-0000-FFFF-FFFF00000000}"/>
  </bookViews>
  <sheets>
    <sheet name="TOTAL TAB" sheetId="87" r:id="rId1"/>
    <sheet name="MIT TAB" sheetId="16" r:id="rId2"/>
    <sheet name="SAR TAB" sheetId="17" r:id="rId3"/>
    <sheet name="URQ TAB" sheetId="1" r:id="rId4"/>
    <sheet name="ROC TAB" sheetId="15" r:id="rId5"/>
    <sheet name="SM TAB" sheetId="12" r:id="rId6"/>
    <sheet name="BN TAB" sheetId="13" r:id="rId7"/>
    <sheet name="BS TAB" sheetId="14" r:id="rId8"/>
    <sheet name="TDC TAB" sheetId="96" r:id="rId9"/>
  </sheets>
  <definedNames>
    <definedName name="_xlnm.Print_Area" localSheetId="5">'SM TAB'!$B$1:$J$161</definedName>
    <definedName name="_xlnm.Print_Area" localSheetId="8">'TDC TAB'!$A$1:$I$2</definedName>
    <definedName name="_xlnm.Print_Area" localSheetId="3">'URQ TAB'!$A$1:$I$2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9" i="87" l="1"/>
  <c r="G349" i="87" s="1"/>
  <c r="H349" i="87"/>
  <c r="E349" i="87" s="1"/>
  <c r="I349" i="87"/>
  <c r="C349" i="87" s="1"/>
  <c r="J349" i="87"/>
  <c r="C349" i="96"/>
  <c r="D349" i="96"/>
  <c r="E349" i="96"/>
  <c r="G349" i="96"/>
  <c r="J349" i="96"/>
  <c r="I349" i="14"/>
  <c r="D349" i="14" s="1"/>
  <c r="H349" i="14"/>
  <c r="J349" i="14" s="1"/>
  <c r="G349" i="14"/>
  <c r="F349" i="14"/>
  <c r="AE349" i="14"/>
  <c r="AA349" i="14"/>
  <c r="AB349" i="14"/>
  <c r="AC349" i="14"/>
  <c r="AH349" i="14"/>
  <c r="S349" i="14"/>
  <c r="O349" i="14"/>
  <c r="P349" i="14"/>
  <c r="Q349" i="14"/>
  <c r="V349" i="14"/>
  <c r="C349" i="14"/>
  <c r="G349" i="12"/>
  <c r="G349" i="13"/>
  <c r="C349" i="13"/>
  <c r="D349" i="13"/>
  <c r="E349" i="13"/>
  <c r="J349" i="13"/>
  <c r="C349" i="12"/>
  <c r="D349" i="12"/>
  <c r="E349" i="12"/>
  <c r="J349" i="12"/>
  <c r="I349" i="15"/>
  <c r="H349" i="15"/>
  <c r="J349" i="15" s="1"/>
  <c r="G349" i="15"/>
  <c r="F349" i="15"/>
  <c r="S349" i="15"/>
  <c r="AQ349" i="15"/>
  <c r="BC349" i="15"/>
  <c r="BO349" i="15"/>
  <c r="CA349" i="15"/>
  <c r="CM349" i="15"/>
  <c r="CY349" i="15"/>
  <c r="DK349" i="15"/>
  <c r="DW349" i="15"/>
  <c r="DS349" i="15"/>
  <c r="DT349" i="15"/>
  <c r="DU349" i="15"/>
  <c r="DZ349" i="15"/>
  <c r="DG349" i="15"/>
  <c r="DH349" i="15"/>
  <c r="DI349" i="15"/>
  <c r="DN349" i="15"/>
  <c r="CU349" i="15"/>
  <c r="CV349" i="15"/>
  <c r="CW349" i="15"/>
  <c r="DB349" i="15"/>
  <c r="CI349" i="15"/>
  <c r="CJ349" i="15"/>
  <c r="CK349" i="15"/>
  <c r="CP349" i="15"/>
  <c r="BW349" i="15"/>
  <c r="BX349" i="15"/>
  <c r="BY349" i="15"/>
  <c r="CD349" i="15"/>
  <c r="BK349" i="15"/>
  <c r="BL349" i="15"/>
  <c r="BM349" i="15"/>
  <c r="BR349" i="15"/>
  <c r="AY349" i="15"/>
  <c r="AZ349" i="15"/>
  <c r="BA349" i="15"/>
  <c r="BF349" i="15"/>
  <c r="AM349" i="15"/>
  <c r="AN349" i="15"/>
  <c r="AO349" i="15"/>
  <c r="AT349" i="15"/>
  <c r="O349" i="15"/>
  <c r="P349" i="15"/>
  <c r="Q349" i="15"/>
  <c r="V349" i="15"/>
  <c r="E349" i="15"/>
  <c r="C349" i="15"/>
  <c r="G349" i="1"/>
  <c r="C349" i="1"/>
  <c r="D349" i="1"/>
  <c r="E349" i="1"/>
  <c r="J349" i="1"/>
  <c r="E349" i="17"/>
  <c r="D349" i="17"/>
  <c r="C349" i="17"/>
  <c r="I349" i="17"/>
  <c r="H349" i="17"/>
  <c r="J349" i="17" s="1"/>
  <c r="G349" i="17"/>
  <c r="F349" i="17"/>
  <c r="S349" i="17"/>
  <c r="AE349" i="17"/>
  <c r="AQ349" i="17"/>
  <c r="AM349" i="17"/>
  <c r="AN349" i="17"/>
  <c r="AO349" i="17"/>
  <c r="AT349" i="17"/>
  <c r="AA349" i="17"/>
  <c r="AB349" i="17"/>
  <c r="AC349" i="17"/>
  <c r="AH349" i="17"/>
  <c r="O349" i="17"/>
  <c r="P349" i="17"/>
  <c r="Q349" i="17"/>
  <c r="V349" i="17"/>
  <c r="I349" i="16"/>
  <c r="H349" i="16"/>
  <c r="J349" i="16" s="1"/>
  <c r="G349" i="16"/>
  <c r="F349" i="16"/>
  <c r="BF349" i="16"/>
  <c r="BO349" i="16"/>
  <c r="BC349" i="16"/>
  <c r="AQ349" i="16"/>
  <c r="AE349" i="16"/>
  <c r="S349" i="16"/>
  <c r="BK349" i="16"/>
  <c r="BL349" i="16"/>
  <c r="BM349" i="16"/>
  <c r="BR349" i="16"/>
  <c r="AY349" i="16"/>
  <c r="AZ349" i="16"/>
  <c r="BA349" i="16"/>
  <c r="AM349" i="16"/>
  <c r="AN349" i="16"/>
  <c r="AO349" i="16"/>
  <c r="AT349" i="16"/>
  <c r="AA349" i="16"/>
  <c r="AB349" i="16"/>
  <c r="AC349" i="16"/>
  <c r="AH349" i="16"/>
  <c r="O349" i="16"/>
  <c r="P349" i="16"/>
  <c r="Q349" i="16"/>
  <c r="V349" i="16"/>
  <c r="E349" i="16"/>
  <c r="C349" i="16"/>
  <c r="F350" i="96"/>
  <c r="H350" i="96"/>
  <c r="I350" i="96"/>
  <c r="K350" i="96"/>
  <c r="C348" i="96"/>
  <c r="D348" i="96"/>
  <c r="E348" i="96"/>
  <c r="G348" i="96"/>
  <c r="J348" i="96"/>
  <c r="I348" i="14"/>
  <c r="H348" i="14"/>
  <c r="J348" i="14" s="1"/>
  <c r="F348" i="14"/>
  <c r="AE348" i="14"/>
  <c r="AA348" i="14"/>
  <c r="AB348" i="14"/>
  <c r="AC348" i="14"/>
  <c r="AH348" i="14"/>
  <c r="S348" i="14"/>
  <c r="O348" i="14"/>
  <c r="P348" i="14"/>
  <c r="Q348" i="14"/>
  <c r="V348" i="14"/>
  <c r="G348" i="13"/>
  <c r="C348" i="13"/>
  <c r="D348" i="13"/>
  <c r="E348" i="13"/>
  <c r="J348" i="13"/>
  <c r="G348" i="12"/>
  <c r="C348" i="12"/>
  <c r="D348" i="12"/>
  <c r="E348" i="12"/>
  <c r="J348" i="12"/>
  <c r="DW348" i="15"/>
  <c r="DS348" i="15"/>
  <c r="DT348" i="15"/>
  <c r="DU348" i="15"/>
  <c r="DZ348" i="15"/>
  <c r="DK348" i="15"/>
  <c r="DG348" i="15"/>
  <c r="DH348" i="15"/>
  <c r="DI348" i="15"/>
  <c r="DN348" i="15"/>
  <c r="CY348" i="15"/>
  <c r="CU348" i="15"/>
  <c r="CV348" i="15"/>
  <c r="CW348" i="15"/>
  <c r="DB348" i="15"/>
  <c r="CM348" i="15"/>
  <c r="CI348" i="15"/>
  <c r="CJ348" i="15"/>
  <c r="CK348" i="15"/>
  <c r="CP348" i="15"/>
  <c r="CA348" i="15"/>
  <c r="BW348" i="15"/>
  <c r="BX348" i="15"/>
  <c r="BY348" i="15"/>
  <c r="CD348" i="15"/>
  <c r="BO348" i="15"/>
  <c r="BK348" i="15"/>
  <c r="BL348" i="15"/>
  <c r="BM348" i="15"/>
  <c r="BR348" i="15"/>
  <c r="BC348" i="15"/>
  <c r="AY348" i="15"/>
  <c r="AZ348" i="15"/>
  <c r="BA348" i="15"/>
  <c r="BF348" i="15"/>
  <c r="AQ348" i="15"/>
  <c r="S348" i="15"/>
  <c r="AM348" i="15"/>
  <c r="AN348" i="15"/>
  <c r="AO348" i="15"/>
  <c r="AT348" i="15"/>
  <c r="O348" i="15"/>
  <c r="P348" i="15"/>
  <c r="Q348" i="15"/>
  <c r="V348" i="15"/>
  <c r="F348" i="15"/>
  <c r="H348" i="15"/>
  <c r="I348" i="15"/>
  <c r="G348" i="1"/>
  <c r="C348" i="1"/>
  <c r="D348" i="1"/>
  <c r="E348" i="1"/>
  <c r="J348" i="1"/>
  <c r="AQ348" i="17"/>
  <c r="AM348" i="17"/>
  <c r="AN348" i="17"/>
  <c r="AO348" i="17"/>
  <c r="AT348" i="17"/>
  <c r="AE348" i="17"/>
  <c r="AA348" i="17"/>
  <c r="AB348" i="17"/>
  <c r="AC348" i="17"/>
  <c r="AH348" i="17"/>
  <c r="S348" i="17"/>
  <c r="O348" i="17"/>
  <c r="P348" i="17"/>
  <c r="Q348" i="17"/>
  <c r="V348" i="17"/>
  <c r="F348" i="17"/>
  <c r="H348" i="17"/>
  <c r="E348" i="17" s="1"/>
  <c r="I348" i="17"/>
  <c r="C348" i="17" s="1"/>
  <c r="BO348" i="16"/>
  <c r="BK348" i="16"/>
  <c r="BL348" i="16"/>
  <c r="BM348" i="16"/>
  <c r="BR348" i="16"/>
  <c r="BF348" i="16"/>
  <c r="BC348" i="16"/>
  <c r="AY348" i="16"/>
  <c r="AZ348" i="16"/>
  <c r="BA348" i="16"/>
  <c r="AQ348" i="16"/>
  <c r="AM348" i="16"/>
  <c r="AN348" i="16"/>
  <c r="AO348" i="16"/>
  <c r="AT348" i="16"/>
  <c r="AE348" i="16"/>
  <c r="AA348" i="16"/>
  <c r="AB348" i="16"/>
  <c r="AC348" i="16"/>
  <c r="AH348" i="16"/>
  <c r="S348" i="16"/>
  <c r="O348" i="16"/>
  <c r="P348" i="16"/>
  <c r="Q348" i="16"/>
  <c r="V348" i="16"/>
  <c r="F348" i="16"/>
  <c r="F348" i="87" s="1"/>
  <c r="H348" i="16"/>
  <c r="I348" i="16"/>
  <c r="D349" i="87" l="1"/>
  <c r="E349" i="14"/>
  <c r="C348" i="14"/>
  <c r="I348" i="87"/>
  <c r="C348" i="87" s="1"/>
  <c r="D349" i="15"/>
  <c r="D349" i="16"/>
  <c r="H348" i="87"/>
  <c r="E348" i="87" s="1"/>
  <c r="G348" i="14"/>
  <c r="D348" i="17"/>
  <c r="D348" i="14"/>
  <c r="E348" i="14"/>
  <c r="C348" i="15"/>
  <c r="J348" i="15"/>
  <c r="E348" i="15"/>
  <c r="D348" i="15"/>
  <c r="G348" i="15"/>
  <c r="J348" i="17"/>
  <c r="G348" i="17"/>
  <c r="C348" i="16"/>
  <c r="E348" i="16"/>
  <c r="J348" i="16"/>
  <c r="D348" i="16"/>
  <c r="G348" i="16"/>
  <c r="BF347" i="16"/>
  <c r="BF346" i="16"/>
  <c r="BC347" i="16"/>
  <c r="BC346" i="16"/>
  <c r="AQ346" i="16"/>
  <c r="G347" i="1"/>
  <c r="G346" i="1"/>
  <c r="G347" i="13"/>
  <c r="G346" i="13"/>
  <c r="D348" i="87" l="1"/>
  <c r="J348" i="87"/>
  <c r="G348" i="87"/>
  <c r="C346" i="96"/>
  <c r="C347" i="96"/>
  <c r="D346" i="96"/>
  <c r="D347" i="96"/>
  <c r="E346" i="96"/>
  <c r="E347" i="96"/>
  <c r="G346" i="96"/>
  <c r="G347" i="96"/>
  <c r="J346" i="96"/>
  <c r="J347" i="96"/>
  <c r="I347" i="14"/>
  <c r="H347" i="14"/>
  <c r="F347" i="14"/>
  <c r="I346" i="14"/>
  <c r="H346" i="14"/>
  <c r="F346" i="14"/>
  <c r="AA347" i="14"/>
  <c r="AB347" i="14"/>
  <c r="AC347" i="14"/>
  <c r="AE347" i="14"/>
  <c r="AH347" i="14"/>
  <c r="AA346" i="14"/>
  <c r="AB346" i="14"/>
  <c r="AC346" i="14"/>
  <c r="AE346" i="14"/>
  <c r="AH346" i="14"/>
  <c r="O347" i="14"/>
  <c r="P347" i="14"/>
  <c r="Q347" i="14"/>
  <c r="S347" i="14"/>
  <c r="V347" i="14"/>
  <c r="O346" i="14"/>
  <c r="P346" i="14"/>
  <c r="Q346" i="14"/>
  <c r="S346" i="14"/>
  <c r="V346" i="14"/>
  <c r="C346" i="13"/>
  <c r="C347" i="13"/>
  <c r="D346" i="13"/>
  <c r="D347" i="13"/>
  <c r="E346" i="13"/>
  <c r="E347" i="13"/>
  <c r="J346" i="13"/>
  <c r="J347" i="13"/>
  <c r="G347" i="12"/>
  <c r="G346" i="12"/>
  <c r="C346" i="12"/>
  <c r="C347" i="12"/>
  <c r="D346" i="12"/>
  <c r="D347" i="12"/>
  <c r="E346" i="12"/>
  <c r="E347" i="12"/>
  <c r="J346" i="12"/>
  <c r="J347" i="12"/>
  <c r="F346" i="15"/>
  <c r="F347" i="15"/>
  <c r="H346" i="15"/>
  <c r="H347" i="15"/>
  <c r="I346" i="15"/>
  <c r="I347" i="15"/>
  <c r="C347" i="15" s="1"/>
  <c r="DS347" i="15"/>
  <c r="DT347" i="15"/>
  <c r="DU347" i="15"/>
  <c r="DW347" i="15"/>
  <c r="DZ347" i="15"/>
  <c r="DS346" i="15"/>
  <c r="DT346" i="15"/>
  <c r="DU346" i="15"/>
  <c r="DW346" i="15"/>
  <c r="DZ346" i="15"/>
  <c r="DG347" i="15"/>
  <c r="DH347" i="15"/>
  <c r="DI347" i="15"/>
  <c r="DK347" i="15"/>
  <c r="DN347" i="15"/>
  <c r="DG346" i="15"/>
  <c r="DH346" i="15"/>
  <c r="DI346" i="15"/>
  <c r="DK346" i="15"/>
  <c r="DN346" i="15"/>
  <c r="CU347" i="15"/>
  <c r="CV347" i="15"/>
  <c r="CW347" i="15"/>
  <c r="CY347" i="15"/>
  <c r="DB347" i="15"/>
  <c r="CU346" i="15"/>
  <c r="CV346" i="15"/>
  <c r="CW346" i="15"/>
  <c r="CY346" i="15"/>
  <c r="DB346" i="15"/>
  <c r="CI347" i="15"/>
  <c r="CJ347" i="15"/>
  <c r="CK347" i="15"/>
  <c r="CM347" i="15"/>
  <c r="CP347" i="15"/>
  <c r="CI346" i="15"/>
  <c r="CJ346" i="15"/>
  <c r="CK346" i="15"/>
  <c r="CM346" i="15"/>
  <c r="CP346" i="15"/>
  <c r="BW347" i="15"/>
  <c r="BX347" i="15"/>
  <c r="BY347" i="15"/>
  <c r="CA347" i="15"/>
  <c r="CD347" i="15"/>
  <c r="BW346" i="15"/>
  <c r="BX346" i="15"/>
  <c r="BY346" i="15"/>
  <c r="CA346" i="15"/>
  <c r="CD346" i="15"/>
  <c r="BK347" i="15"/>
  <c r="BL347" i="15"/>
  <c r="BM347" i="15"/>
  <c r="BO347" i="15"/>
  <c r="BR347" i="15"/>
  <c r="BK346" i="15"/>
  <c r="BL346" i="15"/>
  <c r="BM346" i="15"/>
  <c r="BO346" i="15"/>
  <c r="BR346" i="15"/>
  <c r="AY347" i="15"/>
  <c r="AZ347" i="15"/>
  <c r="BA347" i="15"/>
  <c r="BC347" i="15"/>
  <c r="BF347" i="15"/>
  <c r="AY346" i="15"/>
  <c r="AZ346" i="15"/>
  <c r="BA346" i="15"/>
  <c r="BC346" i="15"/>
  <c r="BF346" i="15"/>
  <c r="AM347" i="15"/>
  <c r="AN347" i="15"/>
  <c r="AO347" i="15"/>
  <c r="AQ347" i="15"/>
  <c r="AT347" i="15"/>
  <c r="AM346" i="15"/>
  <c r="AN346" i="15"/>
  <c r="AO346" i="15"/>
  <c r="AQ346" i="15"/>
  <c r="AT346" i="15"/>
  <c r="O347" i="15"/>
  <c r="P347" i="15"/>
  <c r="Q347" i="15"/>
  <c r="S347" i="15"/>
  <c r="V347" i="15"/>
  <c r="O346" i="15"/>
  <c r="P346" i="15"/>
  <c r="Q346" i="15"/>
  <c r="S346" i="15"/>
  <c r="V346" i="15"/>
  <c r="C346" i="1"/>
  <c r="C347" i="1"/>
  <c r="D346" i="1"/>
  <c r="D347" i="1"/>
  <c r="E346" i="1"/>
  <c r="E347" i="1"/>
  <c r="J346" i="1"/>
  <c r="J347" i="1"/>
  <c r="F346" i="17"/>
  <c r="F347" i="17"/>
  <c r="H346" i="17"/>
  <c r="H347" i="17"/>
  <c r="E347" i="17" s="1"/>
  <c r="I346" i="17"/>
  <c r="I347" i="17"/>
  <c r="C347" i="17" s="1"/>
  <c r="AM347" i="17"/>
  <c r="AN347" i="17"/>
  <c r="AO347" i="17"/>
  <c r="AQ347" i="17"/>
  <c r="AT347" i="17"/>
  <c r="AM346" i="17"/>
  <c r="AN346" i="17"/>
  <c r="AO346" i="17"/>
  <c r="AQ346" i="17"/>
  <c r="AT346" i="17"/>
  <c r="AA347" i="17"/>
  <c r="AB347" i="17"/>
  <c r="AC347" i="17"/>
  <c r="AE347" i="17"/>
  <c r="AH347" i="17"/>
  <c r="AA346" i="17"/>
  <c r="AB346" i="17"/>
  <c r="AC346" i="17"/>
  <c r="AE346" i="17"/>
  <c r="AH346" i="17"/>
  <c r="O347" i="17"/>
  <c r="P347" i="17"/>
  <c r="Q347" i="17"/>
  <c r="S347" i="17"/>
  <c r="V347" i="17"/>
  <c r="O346" i="17"/>
  <c r="P346" i="17"/>
  <c r="Q346" i="17"/>
  <c r="S346" i="17"/>
  <c r="V346" i="17"/>
  <c r="F346" i="16"/>
  <c r="F347" i="16"/>
  <c r="H346" i="16"/>
  <c r="H347" i="16"/>
  <c r="I346" i="16"/>
  <c r="C346" i="16" s="1"/>
  <c r="I347" i="16"/>
  <c r="C347" i="16" s="1"/>
  <c r="BK347" i="16"/>
  <c r="BL347" i="16"/>
  <c r="BM347" i="16"/>
  <c r="BO347" i="16"/>
  <c r="BR347" i="16"/>
  <c r="AY347" i="16"/>
  <c r="AZ347" i="16"/>
  <c r="BA347" i="16"/>
  <c r="AQ347" i="16"/>
  <c r="AM346" i="16"/>
  <c r="AM347" i="16"/>
  <c r="AN346" i="16"/>
  <c r="AN347" i="16"/>
  <c r="AO346" i="16"/>
  <c r="AO347" i="16"/>
  <c r="AT346" i="16"/>
  <c r="AT347" i="16"/>
  <c r="G346" i="15" l="1"/>
  <c r="D346" i="17"/>
  <c r="G347" i="16"/>
  <c r="E347" i="15"/>
  <c r="D346" i="14"/>
  <c r="C346" i="17"/>
  <c r="J347" i="15"/>
  <c r="G347" i="14"/>
  <c r="E346" i="14"/>
  <c r="C347" i="14"/>
  <c r="J346" i="14"/>
  <c r="C346" i="14"/>
  <c r="J347" i="14"/>
  <c r="D347" i="14"/>
  <c r="C346" i="15"/>
  <c r="G347" i="15"/>
  <c r="J346" i="15"/>
  <c r="E346" i="15"/>
  <c r="D347" i="17"/>
  <c r="G346" i="17"/>
  <c r="F346" i="87"/>
  <c r="G347" i="17"/>
  <c r="E346" i="17"/>
  <c r="I347" i="87"/>
  <c r="J347" i="16"/>
  <c r="E347" i="16"/>
  <c r="I346" i="87"/>
  <c r="F347" i="87"/>
  <c r="J346" i="16"/>
  <c r="E346" i="16"/>
  <c r="H347" i="87"/>
  <c r="H346" i="87"/>
  <c r="G346" i="16"/>
  <c r="E347" i="14"/>
  <c r="G346" i="14"/>
  <c r="D347" i="15"/>
  <c r="D346" i="15"/>
  <c r="J347" i="17"/>
  <c r="J346" i="17"/>
  <c r="D347" i="16"/>
  <c r="D346" i="16"/>
  <c r="G347" i="87" l="1"/>
  <c r="G346" i="87"/>
  <c r="C347" i="87"/>
  <c r="C346" i="87"/>
  <c r="D347" i="87"/>
  <c r="E347" i="87"/>
  <c r="J346" i="87"/>
  <c r="J347" i="87"/>
  <c r="D346" i="87"/>
  <c r="E346" i="87"/>
  <c r="AA347" i="16"/>
  <c r="AB347" i="16"/>
  <c r="AC347" i="16"/>
  <c r="AE347" i="16"/>
  <c r="AH347" i="16"/>
  <c r="O347" i="16"/>
  <c r="P347" i="16"/>
  <c r="Q347" i="16"/>
  <c r="S347" i="16"/>
  <c r="V347" i="16"/>
  <c r="BK346" i="16"/>
  <c r="BL346" i="16"/>
  <c r="BM346" i="16"/>
  <c r="BO346" i="16"/>
  <c r="BR346" i="16"/>
  <c r="AY346" i="16"/>
  <c r="AZ346" i="16"/>
  <c r="BA346" i="16"/>
  <c r="AA346" i="16"/>
  <c r="AB346" i="16"/>
  <c r="AC346" i="16"/>
  <c r="AE346" i="16"/>
  <c r="AH346" i="16"/>
  <c r="O346" i="16"/>
  <c r="P346" i="16"/>
  <c r="Q346" i="16"/>
  <c r="S346" i="16"/>
  <c r="V346" i="16"/>
  <c r="G345" i="96" l="1"/>
  <c r="G344" i="96"/>
  <c r="C345" i="96"/>
  <c r="D345" i="96"/>
  <c r="E345" i="96"/>
  <c r="J345" i="96"/>
  <c r="C344" i="96"/>
  <c r="D344" i="96"/>
  <c r="E344" i="96"/>
  <c r="J344" i="96"/>
  <c r="I345" i="14"/>
  <c r="D345" i="14" s="1"/>
  <c r="I344" i="14"/>
  <c r="J344" i="14" s="1"/>
  <c r="H345" i="14"/>
  <c r="H344" i="14"/>
  <c r="F345" i="14"/>
  <c r="C345" i="14" s="1"/>
  <c r="F344" i="14"/>
  <c r="C344" i="14" s="1"/>
  <c r="AA345" i="14"/>
  <c r="AB345" i="14"/>
  <c r="AC345" i="14"/>
  <c r="AE345" i="14"/>
  <c r="AH345" i="14"/>
  <c r="AA344" i="14"/>
  <c r="AB344" i="14"/>
  <c r="AC344" i="14"/>
  <c r="AE344" i="14"/>
  <c r="AH344" i="14"/>
  <c r="O345" i="14"/>
  <c r="P345" i="14"/>
  <c r="Q345" i="14"/>
  <c r="S345" i="14"/>
  <c r="V345" i="14"/>
  <c r="O344" i="14"/>
  <c r="P344" i="14"/>
  <c r="Q344" i="14"/>
  <c r="S344" i="14"/>
  <c r="V344" i="14"/>
  <c r="G345" i="13"/>
  <c r="G344" i="13"/>
  <c r="C344" i="13"/>
  <c r="C345" i="13"/>
  <c r="D344" i="13"/>
  <c r="D345" i="13"/>
  <c r="E344" i="13"/>
  <c r="E345" i="13"/>
  <c r="J344" i="13"/>
  <c r="J345" i="13"/>
  <c r="G345" i="12"/>
  <c r="G344" i="12"/>
  <c r="C344" i="12"/>
  <c r="C345" i="12"/>
  <c r="D344" i="12"/>
  <c r="D345" i="12"/>
  <c r="E344" i="12"/>
  <c r="E345" i="12"/>
  <c r="J344" i="12"/>
  <c r="J345" i="12"/>
  <c r="F344" i="15"/>
  <c r="F345" i="15"/>
  <c r="H344" i="15"/>
  <c r="E344" i="15" s="1"/>
  <c r="H345" i="15"/>
  <c r="I344" i="15"/>
  <c r="C344" i="15" s="1"/>
  <c r="I345" i="15"/>
  <c r="C345" i="15" s="1"/>
  <c r="DS345" i="15"/>
  <c r="DT345" i="15"/>
  <c r="DU345" i="15"/>
  <c r="DW345" i="15"/>
  <c r="DZ345" i="15"/>
  <c r="DS344" i="15"/>
  <c r="DT344" i="15"/>
  <c r="DU344" i="15"/>
  <c r="DW344" i="15"/>
  <c r="DZ344" i="15"/>
  <c r="DG345" i="15"/>
  <c r="DH345" i="15"/>
  <c r="DI345" i="15"/>
  <c r="DK345" i="15"/>
  <c r="DN345" i="15"/>
  <c r="DG344" i="15"/>
  <c r="DH344" i="15"/>
  <c r="DI344" i="15"/>
  <c r="DK344" i="15"/>
  <c r="DN344" i="15"/>
  <c r="CU345" i="15"/>
  <c r="CV345" i="15"/>
  <c r="CW345" i="15"/>
  <c r="CY345" i="15"/>
  <c r="DB345" i="15"/>
  <c r="CI345" i="15"/>
  <c r="CJ345" i="15"/>
  <c r="CK345" i="15"/>
  <c r="CM345" i="15"/>
  <c r="CP345" i="15"/>
  <c r="CI344" i="15"/>
  <c r="CJ344" i="15"/>
  <c r="CK344" i="15"/>
  <c r="CM344" i="15"/>
  <c r="CP344" i="15"/>
  <c r="BW345" i="15"/>
  <c r="BX345" i="15"/>
  <c r="BY345" i="15"/>
  <c r="CA345" i="15"/>
  <c r="CD345" i="15"/>
  <c r="BW344" i="15"/>
  <c r="BX344" i="15"/>
  <c r="BY344" i="15"/>
  <c r="CA344" i="15"/>
  <c r="CD344" i="15"/>
  <c r="BK345" i="15"/>
  <c r="BL345" i="15"/>
  <c r="BM345" i="15"/>
  <c r="BO345" i="15"/>
  <c r="BR345" i="15"/>
  <c r="BK344" i="15"/>
  <c r="BL344" i="15"/>
  <c r="BM344" i="15"/>
  <c r="BO344" i="15"/>
  <c r="BR344" i="15"/>
  <c r="AY345" i="15"/>
  <c r="AZ345" i="15"/>
  <c r="BA345" i="15"/>
  <c r="BC345" i="15"/>
  <c r="BF345" i="15"/>
  <c r="AY344" i="15"/>
  <c r="AZ344" i="15"/>
  <c r="BA344" i="15"/>
  <c r="BC344" i="15"/>
  <c r="BF344" i="15"/>
  <c r="AM345" i="15"/>
  <c r="AN345" i="15"/>
  <c r="AO345" i="15"/>
  <c r="AQ345" i="15"/>
  <c r="AT345" i="15"/>
  <c r="AM344" i="15"/>
  <c r="AN344" i="15"/>
  <c r="AO344" i="15"/>
  <c r="AQ344" i="15"/>
  <c r="AT344" i="15"/>
  <c r="O345" i="15"/>
  <c r="P345" i="15"/>
  <c r="Q345" i="15"/>
  <c r="S345" i="15"/>
  <c r="V345" i="15"/>
  <c r="O344" i="15"/>
  <c r="P344" i="15"/>
  <c r="Q344" i="15"/>
  <c r="S344" i="15"/>
  <c r="V344" i="15"/>
  <c r="D344" i="14" l="1"/>
  <c r="J345" i="14"/>
  <c r="E345" i="14"/>
  <c r="E345" i="15"/>
  <c r="G345" i="14"/>
  <c r="G345" i="15"/>
  <c r="J344" i="15"/>
  <c r="G344" i="15"/>
  <c r="G344" i="14"/>
  <c r="E344" i="14"/>
  <c r="J345" i="15"/>
  <c r="D345" i="15"/>
  <c r="D344" i="15"/>
  <c r="G345" i="1"/>
  <c r="G344" i="1"/>
  <c r="C344" i="1"/>
  <c r="C345" i="1"/>
  <c r="D344" i="1"/>
  <c r="D345" i="1"/>
  <c r="E344" i="1"/>
  <c r="E345" i="1"/>
  <c r="J344" i="1"/>
  <c r="J345" i="1"/>
  <c r="F344" i="17"/>
  <c r="F345" i="17"/>
  <c r="H344" i="17"/>
  <c r="H345" i="17"/>
  <c r="I344" i="17"/>
  <c r="I345" i="17"/>
  <c r="AM345" i="17"/>
  <c r="AN345" i="17"/>
  <c r="AO345" i="17"/>
  <c r="AQ345" i="17"/>
  <c r="AT345" i="17"/>
  <c r="AM344" i="17"/>
  <c r="AN344" i="17"/>
  <c r="AO344" i="17"/>
  <c r="AQ344" i="17"/>
  <c r="AT344" i="17"/>
  <c r="AA345" i="17"/>
  <c r="AB345" i="17"/>
  <c r="AC345" i="17"/>
  <c r="AE345" i="17"/>
  <c r="AH345" i="17"/>
  <c r="AA344" i="17"/>
  <c r="AB344" i="17"/>
  <c r="AC344" i="17"/>
  <c r="AE344" i="17"/>
  <c r="AH344" i="17"/>
  <c r="O345" i="17"/>
  <c r="P345" i="17"/>
  <c r="Q345" i="17"/>
  <c r="S345" i="17"/>
  <c r="V345" i="17"/>
  <c r="O344" i="17"/>
  <c r="P344" i="17"/>
  <c r="Q344" i="17"/>
  <c r="S344" i="17"/>
  <c r="V344" i="17"/>
  <c r="F345" i="16"/>
  <c r="F345" i="87" s="1"/>
  <c r="H345" i="16"/>
  <c r="I345" i="16"/>
  <c r="F344" i="16"/>
  <c r="H344" i="16"/>
  <c r="I344" i="16"/>
  <c r="BF345" i="16"/>
  <c r="BF344" i="16"/>
  <c r="BC345" i="16"/>
  <c r="BC344" i="16"/>
  <c r="BK345" i="16"/>
  <c r="BL345" i="16"/>
  <c r="BM345" i="16"/>
  <c r="BO345" i="16"/>
  <c r="BR345" i="16"/>
  <c r="BK344" i="16"/>
  <c r="BL344" i="16"/>
  <c r="BM344" i="16"/>
  <c r="BO344" i="16"/>
  <c r="BR344" i="16"/>
  <c r="AY345" i="16"/>
  <c r="AZ345" i="16"/>
  <c r="BA345" i="16"/>
  <c r="AY344" i="16"/>
  <c r="AZ344" i="16"/>
  <c r="BA344" i="16"/>
  <c r="AM345" i="16"/>
  <c r="AN345" i="16"/>
  <c r="AO345" i="16"/>
  <c r="AQ345" i="16"/>
  <c r="AT345" i="16"/>
  <c r="AM344" i="16"/>
  <c r="AN344" i="16"/>
  <c r="AO344" i="16"/>
  <c r="AQ344" i="16"/>
  <c r="AT344" i="16"/>
  <c r="AA345" i="16"/>
  <c r="AB345" i="16"/>
  <c r="AC345" i="16"/>
  <c r="AE345" i="16"/>
  <c r="AH345" i="16"/>
  <c r="AA344" i="16"/>
  <c r="AB344" i="16"/>
  <c r="AC344" i="16"/>
  <c r="AE344" i="16"/>
  <c r="AH344" i="16"/>
  <c r="O345" i="16"/>
  <c r="P345" i="16"/>
  <c r="Q345" i="16"/>
  <c r="S345" i="16"/>
  <c r="V345" i="16"/>
  <c r="O344" i="16"/>
  <c r="P344" i="16"/>
  <c r="Q344" i="16"/>
  <c r="S344" i="16"/>
  <c r="V344" i="16"/>
  <c r="G342" i="96"/>
  <c r="C343" i="96"/>
  <c r="D343" i="96"/>
  <c r="E343" i="96"/>
  <c r="G343" i="96"/>
  <c r="J343" i="96"/>
  <c r="C342" i="96"/>
  <c r="D342" i="96"/>
  <c r="E342" i="96"/>
  <c r="J342" i="96"/>
  <c r="I343" i="14"/>
  <c r="H343" i="14"/>
  <c r="F343" i="14"/>
  <c r="I342" i="14"/>
  <c r="H342" i="14"/>
  <c r="F342" i="14"/>
  <c r="AA343" i="14"/>
  <c r="AB343" i="14"/>
  <c r="AC343" i="14"/>
  <c r="AE343" i="14"/>
  <c r="AH343" i="14"/>
  <c r="AA342" i="14"/>
  <c r="AB342" i="14"/>
  <c r="AC342" i="14"/>
  <c r="AE342" i="14"/>
  <c r="AH342" i="14"/>
  <c r="O343" i="14"/>
  <c r="P343" i="14"/>
  <c r="Q343" i="14"/>
  <c r="S343" i="14"/>
  <c r="V343" i="14"/>
  <c r="O342" i="14"/>
  <c r="P342" i="14"/>
  <c r="Q342" i="14"/>
  <c r="S342" i="14"/>
  <c r="V342" i="14"/>
  <c r="G343" i="13"/>
  <c r="G342" i="13"/>
  <c r="C342" i="13"/>
  <c r="C343" i="13"/>
  <c r="D342" i="13"/>
  <c r="D343" i="13"/>
  <c r="E342" i="13"/>
  <c r="E343" i="13"/>
  <c r="J342" i="13"/>
  <c r="J343" i="13"/>
  <c r="G343" i="12"/>
  <c r="G342" i="12"/>
  <c r="G341" i="12"/>
  <c r="C342" i="12"/>
  <c r="C343" i="12"/>
  <c r="D342" i="12"/>
  <c r="D343" i="12"/>
  <c r="E342" i="12"/>
  <c r="E343" i="12"/>
  <c r="J342" i="12"/>
  <c r="J343" i="12"/>
  <c r="DS343" i="15"/>
  <c r="DT343" i="15"/>
  <c r="DU343" i="15"/>
  <c r="DW343" i="15"/>
  <c r="DZ343" i="15"/>
  <c r="DS342" i="15"/>
  <c r="DT342" i="15"/>
  <c r="DU342" i="15"/>
  <c r="DW342" i="15"/>
  <c r="DZ342" i="15"/>
  <c r="DG343" i="15"/>
  <c r="DH343" i="15"/>
  <c r="DI343" i="15"/>
  <c r="DK343" i="15"/>
  <c r="DN343" i="15"/>
  <c r="DG342" i="15"/>
  <c r="DH342" i="15"/>
  <c r="DI342" i="15"/>
  <c r="DK342" i="15"/>
  <c r="DN342" i="15"/>
  <c r="CI343" i="15"/>
  <c r="CJ343" i="15"/>
  <c r="CK343" i="15"/>
  <c r="CM343" i="15"/>
  <c r="CP343" i="15"/>
  <c r="CI342" i="15"/>
  <c r="CJ342" i="15"/>
  <c r="CK342" i="15"/>
  <c r="CM342" i="15"/>
  <c r="CP342" i="15"/>
  <c r="BW343" i="15"/>
  <c r="BX343" i="15"/>
  <c r="BY343" i="15"/>
  <c r="CA343" i="15"/>
  <c r="CD343" i="15"/>
  <c r="BW342" i="15"/>
  <c r="BX342" i="15"/>
  <c r="BY342" i="15"/>
  <c r="CA342" i="15"/>
  <c r="CD342" i="15"/>
  <c r="BK343" i="15"/>
  <c r="BL343" i="15"/>
  <c r="BM343" i="15"/>
  <c r="BO343" i="15"/>
  <c r="BR343" i="15"/>
  <c r="BK342" i="15"/>
  <c r="BL342" i="15"/>
  <c r="BM342" i="15"/>
  <c r="BO342" i="15"/>
  <c r="BR342" i="15"/>
  <c r="AY343" i="15"/>
  <c r="AZ343" i="15"/>
  <c r="BA343" i="15"/>
  <c r="BC343" i="15"/>
  <c r="BF343" i="15"/>
  <c r="AY342" i="15"/>
  <c r="AZ342" i="15"/>
  <c r="BA342" i="15"/>
  <c r="BC342" i="15"/>
  <c r="BF342" i="15"/>
  <c r="AM343" i="15"/>
  <c r="AN343" i="15"/>
  <c r="AO343" i="15"/>
  <c r="AQ343" i="15"/>
  <c r="AT343" i="15"/>
  <c r="AM342" i="15"/>
  <c r="AN342" i="15"/>
  <c r="AO342" i="15"/>
  <c r="AQ342" i="15"/>
  <c r="AT342" i="15"/>
  <c r="O343" i="15"/>
  <c r="P343" i="15"/>
  <c r="Q343" i="15"/>
  <c r="S343" i="15"/>
  <c r="V343" i="15"/>
  <c r="O342" i="15"/>
  <c r="P342" i="15"/>
  <c r="Q342" i="15"/>
  <c r="S342" i="15"/>
  <c r="V342" i="15"/>
  <c r="F342" i="15"/>
  <c r="F343" i="15"/>
  <c r="H342" i="15"/>
  <c r="H343" i="15"/>
  <c r="I342" i="15"/>
  <c r="C342" i="15" s="1"/>
  <c r="I343" i="15"/>
  <c r="C343" i="15" s="1"/>
  <c r="G343" i="1"/>
  <c r="G342" i="1"/>
  <c r="C342" i="1"/>
  <c r="C343" i="1"/>
  <c r="D342" i="1"/>
  <c r="D343" i="1"/>
  <c r="E342" i="1"/>
  <c r="E343" i="1"/>
  <c r="J342" i="1"/>
  <c r="J343" i="1"/>
  <c r="F342" i="17"/>
  <c r="F343" i="17"/>
  <c r="H342" i="17"/>
  <c r="H343" i="17"/>
  <c r="I342" i="17"/>
  <c r="C342" i="17" s="1"/>
  <c r="I343" i="17"/>
  <c r="AM343" i="17"/>
  <c r="AN343" i="17"/>
  <c r="AO343" i="17"/>
  <c r="AQ343" i="17"/>
  <c r="AT343" i="17"/>
  <c r="AA343" i="17"/>
  <c r="AB343" i="17"/>
  <c r="AC343" i="17"/>
  <c r="AE343" i="17"/>
  <c r="AH343" i="17"/>
  <c r="O343" i="17"/>
  <c r="P343" i="17"/>
  <c r="Q343" i="17"/>
  <c r="S343" i="17"/>
  <c r="V343" i="17"/>
  <c r="BF343" i="16"/>
  <c r="BF342" i="16"/>
  <c r="BF341" i="16"/>
  <c r="BC343" i="16"/>
  <c r="BC342" i="16"/>
  <c r="BC341" i="16"/>
  <c r="F343" i="16"/>
  <c r="H343" i="16"/>
  <c r="I343" i="16"/>
  <c r="F342" i="16"/>
  <c r="H342" i="16"/>
  <c r="I342" i="16"/>
  <c r="BK343" i="16"/>
  <c r="BL343" i="16"/>
  <c r="BM343" i="16"/>
  <c r="BO343" i="16"/>
  <c r="BR343" i="16"/>
  <c r="AY343" i="16"/>
  <c r="AZ343" i="16"/>
  <c r="BA343" i="16"/>
  <c r="AM343" i="16"/>
  <c r="AN343" i="16"/>
  <c r="AO343" i="16"/>
  <c r="AQ343" i="16"/>
  <c r="AT343" i="16"/>
  <c r="AA343" i="16"/>
  <c r="AB343" i="16"/>
  <c r="AC343" i="16"/>
  <c r="AE343" i="16"/>
  <c r="AH343" i="16"/>
  <c r="S343" i="16"/>
  <c r="AM342" i="17"/>
  <c r="AN342" i="17"/>
  <c r="AO342" i="17"/>
  <c r="AQ342" i="17"/>
  <c r="AT342" i="17"/>
  <c r="AA342" i="17"/>
  <c r="AB342" i="17"/>
  <c r="AC342" i="17"/>
  <c r="AE342" i="17"/>
  <c r="AH342" i="17"/>
  <c r="O342" i="17"/>
  <c r="P342" i="17"/>
  <c r="Q342" i="17"/>
  <c r="S342" i="17"/>
  <c r="V342" i="17"/>
  <c r="AY342" i="16"/>
  <c r="AZ342" i="16"/>
  <c r="BA342" i="16"/>
  <c r="BK342" i="16"/>
  <c r="BL342" i="16"/>
  <c r="BM342" i="16"/>
  <c r="BO342" i="16"/>
  <c r="BR342" i="16"/>
  <c r="AM342" i="16"/>
  <c r="AN342" i="16"/>
  <c r="AO342" i="16"/>
  <c r="AQ342" i="16"/>
  <c r="AT342" i="16"/>
  <c r="AA342" i="16"/>
  <c r="AB342" i="16"/>
  <c r="AC342" i="16"/>
  <c r="AE342" i="16"/>
  <c r="AH342" i="16"/>
  <c r="O343" i="16"/>
  <c r="P343" i="16"/>
  <c r="Q343" i="16"/>
  <c r="V343" i="16"/>
  <c r="O342" i="16"/>
  <c r="P342" i="16"/>
  <c r="Q342" i="16"/>
  <c r="S342" i="16"/>
  <c r="V342" i="16"/>
  <c r="I341" i="15"/>
  <c r="H341" i="15"/>
  <c r="F341" i="15"/>
  <c r="I340" i="15"/>
  <c r="H340" i="15"/>
  <c r="F340" i="15"/>
  <c r="I339" i="15"/>
  <c r="H339" i="15"/>
  <c r="F339" i="15"/>
  <c r="I338" i="15"/>
  <c r="H338" i="15"/>
  <c r="F338" i="15"/>
  <c r="I337" i="15"/>
  <c r="H337" i="15"/>
  <c r="F337" i="15"/>
  <c r="I336" i="15"/>
  <c r="H336" i="15"/>
  <c r="F336" i="15"/>
  <c r="I335" i="15"/>
  <c r="H335" i="15"/>
  <c r="F335" i="15"/>
  <c r="I334" i="15"/>
  <c r="H334" i="15"/>
  <c r="F334" i="15"/>
  <c r="I333" i="15"/>
  <c r="H333" i="15"/>
  <c r="I321" i="15"/>
  <c r="H321" i="15"/>
  <c r="F321" i="15"/>
  <c r="I320" i="15"/>
  <c r="H320" i="15"/>
  <c r="F320" i="15"/>
  <c r="I319" i="15"/>
  <c r="H319" i="15"/>
  <c r="F319" i="15"/>
  <c r="I318" i="15"/>
  <c r="H318" i="15"/>
  <c r="F318" i="15"/>
  <c r="I317" i="15"/>
  <c r="H317" i="15"/>
  <c r="F317" i="15"/>
  <c r="I316" i="15"/>
  <c r="H316" i="15"/>
  <c r="F316" i="15"/>
  <c r="I315" i="15"/>
  <c r="H315" i="15"/>
  <c r="F315" i="15"/>
  <c r="I314" i="15"/>
  <c r="H314" i="15"/>
  <c r="F314" i="15"/>
  <c r="I313" i="15"/>
  <c r="H313" i="15"/>
  <c r="F313" i="15"/>
  <c r="I312" i="15"/>
  <c r="H312" i="15"/>
  <c r="F312" i="15"/>
  <c r="I311" i="15"/>
  <c r="H311" i="15"/>
  <c r="F311" i="15"/>
  <c r="I310" i="15"/>
  <c r="H310" i="15"/>
  <c r="F310" i="15"/>
  <c r="I309" i="15"/>
  <c r="H309" i="15"/>
  <c r="F309" i="15"/>
  <c r="I308" i="15"/>
  <c r="H308" i="15"/>
  <c r="F308" i="15"/>
  <c r="I307" i="15"/>
  <c r="H307" i="15"/>
  <c r="F307" i="15"/>
  <c r="I306" i="15"/>
  <c r="H306" i="15"/>
  <c r="F306" i="15"/>
  <c r="I305" i="15"/>
  <c r="H305" i="15"/>
  <c r="F305" i="15"/>
  <c r="I304" i="15"/>
  <c r="H304" i="15"/>
  <c r="F304" i="15"/>
  <c r="I303" i="15"/>
  <c r="H303" i="15"/>
  <c r="F303" i="15"/>
  <c r="I302" i="15"/>
  <c r="H302" i="15"/>
  <c r="F302" i="15"/>
  <c r="I301" i="15"/>
  <c r="H301" i="15"/>
  <c r="F301" i="15"/>
  <c r="I300" i="15"/>
  <c r="H300" i="15"/>
  <c r="F300" i="15"/>
  <c r="I299" i="15"/>
  <c r="H299" i="15"/>
  <c r="F299" i="15"/>
  <c r="I298" i="15"/>
  <c r="H298" i="15"/>
  <c r="F298" i="15"/>
  <c r="I297" i="15"/>
  <c r="H297" i="15"/>
  <c r="F297" i="15"/>
  <c r="I296" i="15"/>
  <c r="H296" i="15"/>
  <c r="F296" i="15"/>
  <c r="I295" i="15"/>
  <c r="H295" i="15"/>
  <c r="F295" i="15"/>
  <c r="I294" i="15"/>
  <c r="H294" i="15"/>
  <c r="F294" i="15"/>
  <c r="I293" i="15"/>
  <c r="H293" i="15"/>
  <c r="F293" i="15"/>
  <c r="I292" i="15"/>
  <c r="H292" i="15"/>
  <c r="F292" i="15"/>
  <c r="I291" i="15"/>
  <c r="H291" i="15"/>
  <c r="F291" i="15"/>
  <c r="I290" i="15"/>
  <c r="H290" i="15"/>
  <c r="F290" i="15"/>
  <c r="I289" i="15"/>
  <c r="H289" i="15"/>
  <c r="F289" i="15"/>
  <c r="I288" i="15"/>
  <c r="H288" i="15"/>
  <c r="F288" i="15"/>
  <c r="I287" i="15"/>
  <c r="H287" i="15"/>
  <c r="F287" i="15"/>
  <c r="I286" i="15"/>
  <c r="H286" i="15"/>
  <c r="F286" i="15"/>
  <c r="I285" i="15"/>
  <c r="H285" i="15"/>
  <c r="F285" i="15"/>
  <c r="I284" i="15"/>
  <c r="H284" i="15"/>
  <c r="F284" i="15"/>
  <c r="I283" i="15"/>
  <c r="H283" i="15"/>
  <c r="F283" i="15"/>
  <c r="I282" i="15"/>
  <c r="H282" i="15"/>
  <c r="F282" i="15"/>
  <c r="I281" i="15"/>
  <c r="H281" i="15"/>
  <c r="F281" i="15"/>
  <c r="I280" i="15"/>
  <c r="H280" i="15"/>
  <c r="F280" i="15"/>
  <c r="I279" i="15"/>
  <c r="H279" i="15"/>
  <c r="F279" i="15"/>
  <c r="I278" i="15"/>
  <c r="H278" i="15"/>
  <c r="F278" i="15"/>
  <c r="I277" i="15"/>
  <c r="H277" i="15"/>
  <c r="F277" i="15"/>
  <c r="I276" i="15"/>
  <c r="H276" i="15"/>
  <c r="F276" i="15"/>
  <c r="I275" i="15"/>
  <c r="H275" i="15"/>
  <c r="F275" i="15"/>
  <c r="I274" i="15"/>
  <c r="H274" i="15"/>
  <c r="F274" i="15"/>
  <c r="I273" i="15"/>
  <c r="H273" i="15"/>
  <c r="F273" i="15"/>
  <c r="I272" i="15"/>
  <c r="H272" i="15"/>
  <c r="F272" i="15"/>
  <c r="I271" i="15"/>
  <c r="H271" i="15"/>
  <c r="F271" i="15"/>
  <c r="I270" i="15"/>
  <c r="H270" i="15"/>
  <c r="F270" i="15"/>
  <c r="I269" i="15"/>
  <c r="H269" i="15"/>
  <c r="F269" i="15"/>
  <c r="I268" i="15"/>
  <c r="H268" i="15"/>
  <c r="F268" i="15"/>
  <c r="I267" i="15"/>
  <c r="H267" i="15"/>
  <c r="F267" i="15"/>
  <c r="I266" i="15"/>
  <c r="H266" i="15"/>
  <c r="F266" i="15"/>
  <c r="I265" i="15"/>
  <c r="H265" i="15"/>
  <c r="F265" i="15"/>
  <c r="I264" i="15"/>
  <c r="H264" i="15"/>
  <c r="F264" i="15"/>
  <c r="I263" i="15"/>
  <c r="H263" i="15"/>
  <c r="F263" i="15"/>
  <c r="I262" i="15"/>
  <c r="H262" i="15"/>
  <c r="F262" i="15"/>
  <c r="I261" i="15"/>
  <c r="H261" i="15"/>
  <c r="F261" i="15"/>
  <c r="I260" i="15"/>
  <c r="H260" i="15"/>
  <c r="F260" i="15"/>
  <c r="I259" i="15"/>
  <c r="H259" i="15"/>
  <c r="F259" i="15"/>
  <c r="I258" i="15"/>
  <c r="H258" i="15"/>
  <c r="F258" i="15"/>
  <c r="I257" i="15"/>
  <c r="H257" i="15"/>
  <c r="F257" i="15"/>
  <c r="I256" i="15"/>
  <c r="H256" i="15"/>
  <c r="F256" i="15"/>
  <c r="I255" i="15"/>
  <c r="H255" i="15"/>
  <c r="F255" i="15"/>
  <c r="I254" i="15"/>
  <c r="H254" i="15"/>
  <c r="F254" i="15"/>
  <c r="I253" i="15"/>
  <c r="H253" i="15"/>
  <c r="F253" i="15"/>
  <c r="I252" i="15"/>
  <c r="H252" i="15"/>
  <c r="F252" i="15"/>
  <c r="I251" i="15"/>
  <c r="H251" i="15"/>
  <c r="F251" i="15"/>
  <c r="I250" i="15"/>
  <c r="H250" i="15"/>
  <c r="F250" i="15"/>
  <c r="I249" i="15"/>
  <c r="H249" i="15"/>
  <c r="F249" i="15"/>
  <c r="I248" i="15"/>
  <c r="H248" i="15"/>
  <c r="F248" i="15"/>
  <c r="I247" i="15"/>
  <c r="H247" i="15"/>
  <c r="F247" i="15"/>
  <c r="I246" i="15"/>
  <c r="H246" i="15"/>
  <c r="F246" i="15"/>
  <c r="I245" i="15"/>
  <c r="H245" i="15"/>
  <c r="F245" i="15"/>
  <c r="I244" i="15"/>
  <c r="H244" i="15"/>
  <c r="F244" i="15"/>
  <c r="I243" i="15"/>
  <c r="H243" i="15"/>
  <c r="F243" i="15"/>
  <c r="I242" i="15"/>
  <c r="H242" i="15"/>
  <c r="F242" i="15"/>
  <c r="I241" i="15"/>
  <c r="H241" i="15"/>
  <c r="F241" i="15"/>
  <c r="I240" i="15"/>
  <c r="H240" i="15"/>
  <c r="F240" i="15"/>
  <c r="I239" i="15"/>
  <c r="H239" i="15"/>
  <c r="F239" i="15"/>
  <c r="I238" i="15"/>
  <c r="H238" i="15"/>
  <c r="F238" i="15"/>
  <c r="I237" i="15"/>
  <c r="H237" i="15"/>
  <c r="F237" i="15"/>
  <c r="I236" i="15"/>
  <c r="H236" i="15"/>
  <c r="F236" i="15"/>
  <c r="I235" i="15"/>
  <c r="H235" i="15"/>
  <c r="F235" i="15"/>
  <c r="I234" i="15"/>
  <c r="H234" i="15"/>
  <c r="F234" i="15"/>
  <c r="I233" i="15"/>
  <c r="H233" i="15"/>
  <c r="F233" i="15"/>
  <c r="I232" i="15"/>
  <c r="H232" i="15"/>
  <c r="F232" i="15"/>
  <c r="I231" i="15"/>
  <c r="H231" i="15"/>
  <c r="F231" i="15"/>
  <c r="I230" i="15"/>
  <c r="H230" i="15"/>
  <c r="F230" i="15"/>
  <c r="I229" i="15"/>
  <c r="H229" i="15"/>
  <c r="F229" i="15"/>
  <c r="I228" i="15"/>
  <c r="H228" i="15"/>
  <c r="F228" i="15"/>
  <c r="I227" i="15"/>
  <c r="H227" i="15"/>
  <c r="F227" i="15"/>
  <c r="I226" i="15"/>
  <c r="H226" i="15"/>
  <c r="F226" i="15"/>
  <c r="I225" i="15"/>
  <c r="H225" i="15"/>
  <c r="F225" i="15"/>
  <c r="I224" i="15"/>
  <c r="H224" i="15"/>
  <c r="F224" i="15"/>
  <c r="I223" i="15"/>
  <c r="H223" i="15"/>
  <c r="F223" i="15"/>
  <c r="I222" i="15"/>
  <c r="H222" i="15"/>
  <c r="F222" i="15"/>
  <c r="I221" i="15"/>
  <c r="H221" i="15"/>
  <c r="F221" i="15"/>
  <c r="I220" i="15"/>
  <c r="H220" i="15"/>
  <c r="F220" i="15"/>
  <c r="I219" i="15"/>
  <c r="H219" i="15"/>
  <c r="F219" i="15"/>
  <c r="I218" i="15"/>
  <c r="H218" i="15"/>
  <c r="F218" i="15"/>
  <c r="I217" i="15"/>
  <c r="H217" i="15"/>
  <c r="F217" i="15"/>
  <c r="I216" i="15"/>
  <c r="H216" i="15"/>
  <c r="F216" i="15"/>
  <c r="I215" i="15"/>
  <c r="H215" i="15"/>
  <c r="F215" i="15"/>
  <c r="I214" i="15"/>
  <c r="H214" i="15"/>
  <c r="F214" i="15"/>
  <c r="I213" i="15"/>
  <c r="H213" i="15"/>
  <c r="F213" i="15"/>
  <c r="I212" i="15"/>
  <c r="H212" i="15"/>
  <c r="F212" i="15"/>
  <c r="I211" i="15"/>
  <c r="H211" i="15"/>
  <c r="F211" i="15"/>
  <c r="I210" i="15"/>
  <c r="H210" i="15"/>
  <c r="F210" i="15"/>
  <c r="I209" i="15"/>
  <c r="H209" i="15"/>
  <c r="F209" i="15"/>
  <c r="I208" i="15"/>
  <c r="H208" i="15"/>
  <c r="F208" i="15"/>
  <c r="I207" i="15"/>
  <c r="H207" i="15"/>
  <c r="F207" i="15"/>
  <c r="I206" i="15"/>
  <c r="H206" i="15"/>
  <c r="F206" i="15"/>
  <c r="I205" i="15"/>
  <c r="H205" i="15"/>
  <c r="F205" i="15"/>
  <c r="I204" i="15"/>
  <c r="H204" i="15"/>
  <c r="F204" i="15"/>
  <c r="I203" i="15"/>
  <c r="H203" i="15"/>
  <c r="F203" i="15"/>
  <c r="I202" i="15"/>
  <c r="H202" i="15"/>
  <c r="F202" i="15"/>
  <c r="I201" i="15"/>
  <c r="H201" i="15"/>
  <c r="F201" i="15"/>
  <c r="I200" i="15"/>
  <c r="H200" i="15"/>
  <c r="F200" i="15"/>
  <c r="I199" i="15"/>
  <c r="H199" i="15"/>
  <c r="F199" i="15"/>
  <c r="I198" i="15"/>
  <c r="H198" i="15"/>
  <c r="F198" i="15"/>
  <c r="I197" i="15"/>
  <c r="H197" i="15"/>
  <c r="F197" i="15"/>
  <c r="I196" i="15"/>
  <c r="H196" i="15"/>
  <c r="F196" i="15"/>
  <c r="I195" i="15"/>
  <c r="H195" i="15"/>
  <c r="F195" i="15"/>
  <c r="I194" i="15"/>
  <c r="H194" i="15"/>
  <c r="F194" i="15"/>
  <c r="I193" i="15"/>
  <c r="H193" i="15"/>
  <c r="F193" i="15"/>
  <c r="I192" i="15"/>
  <c r="H192" i="15"/>
  <c r="F192" i="15"/>
  <c r="I191" i="15"/>
  <c r="H191" i="15"/>
  <c r="F191" i="15"/>
  <c r="I190" i="15"/>
  <c r="H190" i="15"/>
  <c r="F190" i="15"/>
  <c r="I189" i="15"/>
  <c r="H189" i="15"/>
  <c r="F189" i="15"/>
  <c r="I188" i="15"/>
  <c r="H188" i="15"/>
  <c r="F188" i="15"/>
  <c r="I187" i="15"/>
  <c r="H187" i="15"/>
  <c r="F187" i="15"/>
  <c r="I186" i="15"/>
  <c r="H186" i="15"/>
  <c r="F186" i="15"/>
  <c r="I185" i="15"/>
  <c r="H185" i="15"/>
  <c r="F185" i="15"/>
  <c r="I184" i="15"/>
  <c r="H184" i="15"/>
  <c r="F184" i="15"/>
  <c r="I183" i="15"/>
  <c r="H183" i="15"/>
  <c r="F183" i="15"/>
  <c r="I182" i="15"/>
  <c r="H182" i="15"/>
  <c r="F182" i="15"/>
  <c r="I181" i="15"/>
  <c r="H181" i="15"/>
  <c r="F181" i="15"/>
  <c r="I180" i="15"/>
  <c r="H180" i="15"/>
  <c r="F180" i="15"/>
  <c r="I179" i="15"/>
  <c r="H179" i="15"/>
  <c r="F179" i="15"/>
  <c r="I178" i="15"/>
  <c r="H178" i="15"/>
  <c r="F178" i="15"/>
  <c r="I177" i="15"/>
  <c r="H177" i="15"/>
  <c r="F177" i="15"/>
  <c r="I176" i="15"/>
  <c r="H176" i="15"/>
  <c r="F176" i="15"/>
  <c r="I175" i="15"/>
  <c r="H175" i="15"/>
  <c r="F175" i="15"/>
  <c r="I174" i="15"/>
  <c r="H174" i="15"/>
  <c r="F174" i="15"/>
  <c r="I173" i="15"/>
  <c r="H173" i="15"/>
  <c r="F173" i="15"/>
  <c r="I172" i="15"/>
  <c r="H172" i="15"/>
  <c r="F172" i="15"/>
  <c r="I171" i="15"/>
  <c r="H171" i="15"/>
  <c r="F171" i="15"/>
  <c r="I170" i="15"/>
  <c r="H170" i="15"/>
  <c r="F170" i="15"/>
  <c r="I169" i="15"/>
  <c r="H169" i="15"/>
  <c r="F169" i="15"/>
  <c r="I168" i="15"/>
  <c r="H168" i="15"/>
  <c r="F168" i="15"/>
  <c r="I167" i="15"/>
  <c r="H167" i="15"/>
  <c r="F167" i="15"/>
  <c r="I166" i="15"/>
  <c r="H166" i="15"/>
  <c r="F166" i="15"/>
  <c r="I165" i="15"/>
  <c r="H165" i="15"/>
  <c r="F165" i="15"/>
  <c r="I164" i="15"/>
  <c r="H164" i="15"/>
  <c r="F164" i="15"/>
  <c r="I163" i="15"/>
  <c r="H163" i="15"/>
  <c r="F163" i="15"/>
  <c r="I162" i="15"/>
  <c r="H162" i="15"/>
  <c r="F162" i="15"/>
  <c r="I161" i="15"/>
  <c r="H161" i="15"/>
  <c r="F161" i="15"/>
  <c r="I160" i="15"/>
  <c r="H160" i="15"/>
  <c r="F160" i="15"/>
  <c r="I159" i="15"/>
  <c r="H159" i="15"/>
  <c r="F159" i="15"/>
  <c r="I158" i="15"/>
  <c r="H158" i="15"/>
  <c r="F158" i="15"/>
  <c r="I157" i="15"/>
  <c r="H157" i="15"/>
  <c r="F157" i="15"/>
  <c r="I156" i="15"/>
  <c r="H156" i="15"/>
  <c r="F156" i="15"/>
  <c r="I155" i="15"/>
  <c r="H155" i="15"/>
  <c r="F155" i="15"/>
  <c r="I154" i="15"/>
  <c r="H154" i="15"/>
  <c r="F154" i="15"/>
  <c r="I153" i="15"/>
  <c r="H153" i="15"/>
  <c r="F153" i="15"/>
  <c r="I152" i="15"/>
  <c r="H152" i="15"/>
  <c r="F152" i="15"/>
  <c r="I151" i="15"/>
  <c r="H151" i="15"/>
  <c r="F151" i="15"/>
  <c r="I150" i="15"/>
  <c r="H150" i="15"/>
  <c r="F150" i="15"/>
  <c r="I149" i="15"/>
  <c r="H149" i="15"/>
  <c r="F149" i="15"/>
  <c r="I148" i="15"/>
  <c r="H148" i="15"/>
  <c r="F148" i="15"/>
  <c r="I147" i="15"/>
  <c r="H147" i="15"/>
  <c r="F147" i="15"/>
  <c r="I146" i="15"/>
  <c r="H146" i="15"/>
  <c r="F146" i="15"/>
  <c r="I145" i="15"/>
  <c r="H145" i="15"/>
  <c r="F145" i="15"/>
  <c r="I144" i="15"/>
  <c r="H144" i="15"/>
  <c r="F144" i="15"/>
  <c r="I143" i="15"/>
  <c r="H143" i="15"/>
  <c r="F143" i="15"/>
  <c r="I142" i="15"/>
  <c r="H142" i="15"/>
  <c r="F142" i="15"/>
  <c r="I141" i="15"/>
  <c r="H141" i="15"/>
  <c r="F141" i="15"/>
  <c r="I140" i="15"/>
  <c r="H140" i="15"/>
  <c r="F140" i="15"/>
  <c r="I139" i="15"/>
  <c r="H139" i="15"/>
  <c r="F139" i="15"/>
  <c r="I138" i="15"/>
  <c r="H138" i="15"/>
  <c r="F138" i="15"/>
  <c r="I137" i="15"/>
  <c r="H137" i="15"/>
  <c r="F137" i="15"/>
  <c r="I136" i="15"/>
  <c r="H136" i="15"/>
  <c r="F136" i="15"/>
  <c r="I135" i="15"/>
  <c r="H135" i="15"/>
  <c r="F135" i="15"/>
  <c r="I134" i="15"/>
  <c r="H134" i="15"/>
  <c r="F134" i="15"/>
  <c r="CK198" i="15"/>
  <c r="CJ198" i="15"/>
  <c r="CI198" i="15"/>
  <c r="CK197" i="15"/>
  <c r="CJ197" i="15"/>
  <c r="CI197" i="15"/>
  <c r="CK196" i="15"/>
  <c r="CJ196" i="15"/>
  <c r="CI196" i="15"/>
  <c r="CK195" i="15"/>
  <c r="CJ195" i="15"/>
  <c r="CI195" i="15"/>
  <c r="CK194" i="15"/>
  <c r="CJ194" i="15"/>
  <c r="CI194" i="15"/>
  <c r="CK193" i="15"/>
  <c r="CJ193" i="15"/>
  <c r="CI193" i="15"/>
  <c r="CK192" i="15"/>
  <c r="CJ192" i="15"/>
  <c r="CI192" i="15"/>
  <c r="CK191" i="15"/>
  <c r="CJ191" i="15"/>
  <c r="CI191" i="15"/>
  <c r="CK190" i="15"/>
  <c r="CJ190" i="15"/>
  <c r="CI190" i="15"/>
  <c r="CK189" i="15"/>
  <c r="CJ189" i="15"/>
  <c r="CI189" i="15"/>
  <c r="CK188" i="15"/>
  <c r="CJ188" i="15"/>
  <c r="CI188" i="15"/>
  <c r="CK187" i="15"/>
  <c r="CJ187" i="15"/>
  <c r="CI187" i="15"/>
  <c r="CK186" i="15"/>
  <c r="CJ186" i="15"/>
  <c r="CI186" i="15"/>
  <c r="CK185" i="15"/>
  <c r="CJ185" i="15"/>
  <c r="CI185" i="15"/>
  <c r="CK184" i="15"/>
  <c r="CJ184" i="15"/>
  <c r="CI184" i="15"/>
  <c r="CK183" i="15"/>
  <c r="CJ183" i="15"/>
  <c r="CI183" i="15"/>
  <c r="CK182" i="15"/>
  <c r="CJ182" i="15"/>
  <c r="CI182" i="15"/>
  <c r="CK181" i="15"/>
  <c r="CJ181" i="15"/>
  <c r="CI181" i="15"/>
  <c r="CK180" i="15"/>
  <c r="CJ180" i="15"/>
  <c r="CI180" i="15"/>
  <c r="CK179" i="15"/>
  <c r="CJ179" i="15"/>
  <c r="CI179" i="15"/>
  <c r="CK178" i="15"/>
  <c r="CJ178" i="15"/>
  <c r="CI178" i="15"/>
  <c r="CK177" i="15"/>
  <c r="CJ177" i="15"/>
  <c r="CI177" i="15"/>
  <c r="CK176" i="15"/>
  <c r="CJ176" i="15"/>
  <c r="CI176" i="15"/>
  <c r="CK175" i="15"/>
  <c r="CJ175" i="15"/>
  <c r="CI175" i="15"/>
  <c r="CK174" i="15"/>
  <c r="CJ174" i="15"/>
  <c r="CI174" i="15"/>
  <c r="CK173" i="15"/>
  <c r="CJ173" i="15"/>
  <c r="CI173" i="15"/>
  <c r="CK172" i="15"/>
  <c r="CJ172" i="15"/>
  <c r="CI172" i="15"/>
  <c r="CK171" i="15"/>
  <c r="CJ171" i="15"/>
  <c r="CI171" i="15"/>
  <c r="CK170" i="15"/>
  <c r="CJ170" i="15"/>
  <c r="CI170" i="15"/>
  <c r="CK169" i="15"/>
  <c r="CJ169" i="15"/>
  <c r="CI169" i="15"/>
  <c r="CK168" i="15"/>
  <c r="CJ168" i="15"/>
  <c r="CI168" i="15"/>
  <c r="CK167" i="15"/>
  <c r="CJ167" i="15"/>
  <c r="CI167" i="15"/>
  <c r="CK166" i="15"/>
  <c r="CJ166" i="15"/>
  <c r="CI166" i="15"/>
  <c r="CK165" i="15"/>
  <c r="CJ165" i="15"/>
  <c r="CI165" i="15"/>
  <c r="CK164" i="15"/>
  <c r="CJ164" i="15"/>
  <c r="CI164" i="15"/>
  <c r="CK163" i="15"/>
  <c r="CJ163" i="15"/>
  <c r="CI163" i="15"/>
  <c r="CK162" i="15"/>
  <c r="CJ162" i="15"/>
  <c r="CI162" i="15"/>
  <c r="CK161" i="15"/>
  <c r="CJ161" i="15"/>
  <c r="CI161" i="15"/>
  <c r="CK160" i="15"/>
  <c r="CJ160" i="15"/>
  <c r="CI160" i="15"/>
  <c r="CK159" i="15"/>
  <c r="CJ159" i="15"/>
  <c r="CI159" i="15"/>
  <c r="CK158" i="15"/>
  <c r="CJ158" i="15"/>
  <c r="CI158" i="15"/>
  <c r="CK157" i="15"/>
  <c r="CJ157" i="15"/>
  <c r="CI157" i="15"/>
  <c r="CK156" i="15"/>
  <c r="CJ156" i="15"/>
  <c r="CI156" i="15"/>
  <c r="CK155" i="15"/>
  <c r="CJ155" i="15"/>
  <c r="CI155" i="15"/>
  <c r="CK154" i="15"/>
  <c r="CJ154" i="15"/>
  <c r="CI154" i="15"/>
  <c r="CK153" i="15"/>
  <c r="CJ153" i="15"/>
  <c r="CI153" i="15"/>
  <c r="CK152" i="15"/>
  <c r="CJ152" i="15"/>
  <c r="CI152" i="15"/>
  <c r="CK151" i="15"/>
  <c r="CJ151" i="15"/>
  <c r="CI151" i="15"/>
  <c r="CK150" i="15"/>
  <c r="CJ150" i="15"/>
  <c r="CI150" i="15"/>
  <c r="CK149" i="15"/>
  <c r="CJ149" i="15"/>
  <c r="CI149" i="15"/>
  <c r="CK148" i="15"/>
  <c r="CJ148" i="15"/>
  <c r="CI148" i="15"/>
  <c r="CK147" i="15"/>
  <c r="CJ147" i="15"/>
  <c r="CI147" i="15"/>
  <c r="CK146" i="15"/>
  <c r="CJ146" i="15"/>
  <c r="CI146" i="15"/>
  <c r="CK145" i="15"/>
  <c r="CJ145" i="15"/>
  <c r="CI145" i="15"/>
  <c r="CK144" i="15"/>
  <c r="CJ144" i="15"/>
  <c r="CI144" i="15"/>
  <c r="CK143" i="15"/>
  <c r="CJ143" i="15"/>
  <c r="CI143" i="15"/>
  <c r="CK142" i="15"/>
  <c r="CJ142" i="15"/>
  <c r="CI142" i="15"/>
  <c r="CK141" i="15"/>
  <c r="CJ141" i="15"/>
  <c r="CI141" i="15"/>
  <c r="CK140" i="15"/>
  <c r="CJ140" i="15"/>
  <c r="CI140" i="15"/>
  <c r="CK139" i="15"/>
  <c r="CJ139" i="15"/>
  <c r="CI139" i="15"/>
  <c r="CK138" i="15"/>
  <c r="CJ138" i="15"/>
  <c r="CI138" i="15"/>
  <c r="CK137" i="15"/>
  <c r="CJ137" i="15"/>
  <c r="CI137" i="15"/>
  <c r="CK136" i="15"/>
  <c r="CJ136" i="15"/>
  <c r="CI136" i="15"/>
  <c r="CK135" i="15"/>
  <c r="CJ135" i="15"/>
  <c r="CI135" i="15"/>
  <c r="CK134" i="15"/>
  <c r="CJ134" i="15"/>
  <c r="CI134" i="15"/>
  <c r="CP277" i="15"/>
  <c r="CP276" i="15"/>
  <c r="CP275" i="15"/>
  <c r="CP274" i="15"/>
  <c r="CP273" i="15"/>
  <c r="CP272" i="15"/>
  <c r="CP271" i="15"/>
  <c r="CP270" i="15"/>
  <c r="CP269" i="15"/>
  <c r="CP268" i="15"/>
  <c r="CP267" i="15"/>
  <c r="CP266" i="15"/>
  <c r="CP265" i="15"/>
  <c r="CP264" i="15"/>
  <c r="CP263" i="15"/>
  <c r="CP262" i="15"/>
  <c r="CP261" i="15"/>
  <c r="CP260" i="15"/>
  <c r="CP259" i="15"/>
  <c r="CP258" i="15"/>
  <c r="CP257" i="15"/>
  <c r="CP256" i="15"/>
  <c r="CP255" i="15"/>
  <c r="CP254" i="15"/>
  <c r="CP253" i="15"/>
  <c r="CP252" i="15"/>
  <c r="CP251" i="15"/>
  <c r="CP250" i="15"/>
  <c r="CP249" i="15"/>
  <c r="CP248" i="15"/>
  <c r="CP247" i="15"/>
  <c r="CP246" i="15"/>
  <c r="CP245" i="15"/>
  <c r="CP244" i="15"/>
  <c r="CP243" i="15"/>
  <c r="CP242" i="15"/>
  <c r="CP241" i="15"/>
  <c r="CP240" i="15"/>
  <c r="CP239" i="15"/>
  <c r="CP238" i="15"/>
  <c r="CP237" i="15"/>
  <c r="CP236" i="15"/>
  <c r="CP235" i="15"/>
  <c r="CP234" i="15"/>
  <c r="CP233" i="15"/>
  <c r="CP232" i="15"/>
  <c r="CP231" i="15"/>
  <c r="CP230" i="15"/>
  <c r="CP229" i="15"/>
  <c r="CP228" i="15"/>
  <c r="CP227" i="15"/>
  <c r="CP226" i="15"/>
  <c r="CP225" i="15"/>
  <c r="CP224" i="15"/>
  <c r="CP223" i="15"/>
  <c r="CP222" i="15"/>
  <c r="CP221" i="15"/>
  <c r="CP220" i="15"/>
  <c r="CP219" i="15"/>
  <c r="CP218" i="15"/>
  <c r="CP217" i="15"/>
  <c r="CP216" i="15"/>
  <c r="CP215" i="15"/>
  <c r="CP214" i="15"/>
  <c r="CP213" i="15"/>
  <c r="CP212" i="15"/>
  <c r="CP211" i="15"/>
  <c r="CP210" i="15"/>
  <c r="CP209" i="15"/>
  <c r="CP208" i="15"/>
  <c r="CP207" i="15"/>
  <c r="CP206" i="15"/>
  <c r="CP205" i="15"/>
  <c r="CP204" i="15"/>
  <c r="CP203" i="15"/>
  <c r="CP202" i="15"/>
  <c r="CP201" i="15"/>
  <c r="CP200" i="15"/>
  <c r="CP199" i="15"/>
  <c r="CP198" i="15"/>
  <c r="CP197" i="15"/>
  <c r="CP196" i="15"/>
  <c r="CP195" i="15"/>
  <c r="CP194" i="15"/>
  <c r="CP193" i="15"/>
  <c r="CP192" i="15"/>
  <c r="CP191" i="15"/>
  <c r="CP190" i="15"/>
  <c r="CP189" i="15"/>
  <c r="CP188" i="15"/>
  <c r="CP187" i="15"/>
  <c r="CP186" i="15"/>
  <c r="CP185" i="15"/>
  <c r="CP184" i="15"/>
  <c r="CP183" i="15"/>
  <c r="CP182" i="15"/>
  <c r="CP181" i="15"/>
  <c r="CP180" i="15"/>
  <c r="CP179" i="15"/>
  <c r="CP178" i="15"/>
  <c r="CP177" i="15"/>
  <c r="CP176" i="15"/>
  <c r="CP175" i="15"/>
  <c r="CP174" i="15"/>
  <c r="CP173" i="15"/>
  <c r="CP172" i="15"/>
  <c r="CP171" i="15"/>
  <c r="CP170" i="15"/>
  <c r="CP169" i="15"/>
  <c r="CP168" i="15"/>
  <c r="CP167" i="15"/>
  <c r="CP166" i="15"/>
  <c r="CP165" i="15"/>
  <c r="CP164" i="15"/>
  <c r="CP163" i="15"/>
  <c r="CP162" i="15"/>
  <c r="CP161" i="15"/>
  <c r="CP160" i="15"/>
  <c r="CP159" i="15"/>
  <c r="CP158" i="15"/>
  <c r="CP157" i="15"/>
  <c r="CP156" i="15"/>
  <c r="CP155" i="15"/>
  <c r="CP154" i="15"/>
  <c r="CP153" i="15"/>
  <c r="CP152" i="15"/>
  <c r="CP151" i="15"/>
  <c r="CP150" i="15"/>
  <c r="CP149" i="15"/>
  <c r="CP148" i="15"/>
  <c r="CP147" i="15"/>
  <c r="CP146" i="15"/>
  <c r="CP145" i="15"/>
  <c r="CP144" i="15"/>
  <c r="CP143" i="15"/>
  <c r="CP142" i="15"/>
  <c r="CP141" i="15"/>
  <c r="CP140" i="15"/>
  <c r="CP139" i="15"/>
  <c r="CP138" i="15"/>
  <c r="CP137" i="15"/>
  <c r="CP136" i="15"/>
  <c r="CP135" i="15"/>
  <c r="CP134" i="15"/>
  <c r="CM277" i="15"/>
  <c r="CM276" i="15"/>
  <c r="CM275" i="15"/>
  <c r="CM274" i="15"/>
  <c r="CM273" i="15"/>
  <c r="CM272" i="15"/>
  <c r="CM271" i="15"/>
  <c r="CM270" i="15"/>
  <c r="CM269" i="15"/>
  <c r="CM268" i="15"/>
  <c r="CM267" i="15"/>
  <c r="CM266" i="15"/>
  <c r="CM265" i="15"/>
  <c r="CM264" i="15"/>
  <c r="CM263" i="15"/>
  <c r="CM262" i="15"/>
  <c r="CM261" i="15"/>
  <c r="CM260" i="15"/>
  <c r="CM259" i="15"/>
  <c r="CM258" i="15"/>
  <c r="CM257" i="15"/>
  <c r="CM256" i="15"/>
  <c r="CM255" i="15"/>
  <c r="CM254" i="15"/>
  <c r="CM253" i="15"/>
  <c r="CM252" i="15"/>
  <c r="CM251" i="15"/>
  <c r="CM250" i="15"/>
  <c r="CM249" i="15"/>
  <c r="CM248" i="15"/>
  <c r="CM247" i="15"/>
  <c r="CM246" i="15"/>
  <c r="CM245" i="15"/>
  <c r="CM244" i="15"/>
  <c r="CM243" i="15"/>
  <c r="CM242" i="15"/>
  <c r="CM241" i="15"/>
  <c r="CM240" i="15"/>
  <c r="CM239" i="15"/>
  <c r="CM238" i="15"/>
  <c r="CM237" i="15"/>
  <c r="CM236" i="15"/>
  <c r="CM235" i="15"/>
  <c r="CM234" i="15"/>
  <c r="CM233" i="15"/>
  <c r="CM232" i="15"/>
  <c r="CM231" i="15"/>
  <c r="CM230" i="15"/>
  <c r="CM229" i="15"/>
  <c r="CM228" i="15"/>
  <c r="CM227" i="15"/>
  <c r="CM226" i="15"/>
  <c r="CM225" i="15"/>
  <c r="CM224" i="15"/>
  <c r="CM223" i="15"/>
  <c r="CM222" i="15"/>
  <c r="CM221" i="15"/>
  <c r="CM220" i="15"/>
  <c r="CM219" i="15"/>
  <c r="CM218" i="15"/>
  <c r="CM217" i="15"/>
  <c r="CM216" i="15"/>
  <c r="CM215" i="15"/>
  <c r="CM214" i="15"/>
  <c r="CM213" i="15"/>
  <c r="CM212" i="15"/>
  <c r="CM211" i="15"/>
  <c r="CM210" i="15"/>
  <c r="CM209" i="15"/>
  <c r="CM208" i="15"/>
  <c r="CM207" i="15"/>
  <c r="CM206" i="15"/>
  <c r="CM205" i="15"/>
  <c r="CM204" i="15"/>
  <c r="CM203" i="15"/>
  <c r="CM202" i="15"/>
  <c r="CM201" i="15"/>
  <c r="CM200" i="15"/>
  <c r="CM199" i="15"/>
  <c r="CM198" i="15"/>
  <c r="CM197" i="15"/>
  <c r="CM196" i="15"/>
  <c r="CM195" i="15"/>
  <c r="CM194" i="15"/>
  <c r="CM193" i="15"/>
  <c r="CM192" i="15"/>
  <c r="CM191" i="15"/>
  <c r="CM190" i="15"/>
  <c r="CM189" i="15"/>
  <c r="CM188" i="15"/>
  <c r="CM187" i="15"/>
  <c r="CM186" i="15"/>
  <c r="CM185" i="15"/>
  <c r="CM184" i="15"/>
  <c r="CM183" i="15"/>
  <c r="CM182" i="15"/>
  <c r="CM181" i="15"/>
  <c r="CM180" i="15"/>
  <c r="CM179" i="15"/>
  <c r="CM178" i="15"/>
  <c r="CM177" i="15"/>
  <c r="CM176" i="15"/>
  <c r="CM175" i="15"/>
  <c r="CM174" i="15"/>
  <c r="CM173" i="15"/>
  <c r="CM172" i="15"/>
  <c r="CM171" i="15"/>
  <c r="CM170" i="15"/>
  <c r="CM169" i="15"/>
  <c r="CM168" i="15"/>
  <c r="CM167" i="15"/>
  <c r="CM166" i="15"/>
  <c r="CM165" i="15"/>
  <c r="CM164" i="15"/>
  <c r="CM163" i="15"/>
  <c r="CM162" i="15"/>
  <c r="CM161" i="15"/>
  <c r="CM160" i="15"/>
  <c r="CM159" i="15"/>
  <c r="CM158" i="15"/>
  <c r="CM157" i="15"/>
  <c r="CM156" i="15"/>
  <c r="CM155" i="15"/>
  <c r="CM154" i="15"/>
  <c r="CM153" i="15"/>
  <c r="CM152" i="15"/>
  <c r="CM151" i="15"/>
  <c r="CM150" i="15"/>
  <c r="CM149" i="15"/>
  <c r="CM148" i="15"/>
  <c r="CM147" i="15"/>
  <c r="CM146" i="15"/>
  <c r="CM145" i="15"/>
  <c r="CM144" i="15"/>
  <c r="CM143" i="15"/>
  <c r="CM142" i="15"/>
  <c r="CM141" i="15"/>
  <c r="CM140" i="15"/>
  <c r="CM139" i="15"/>
  <c r="CM138" i="15"/>
  <c r="CM137" i="15"/>
  <c r="CM136" i="15"/>
  <c r="CM135" i="15"/>
  <c r="CM134" i="15"/>
  <c r="CK199" i="15"/>
  <c r="CK200" i="15"/>
  <c r="CK201" i="15"/>
  <c r="CK202" i="15"/>
  <c r="CK203" i="15"/>
  <c r="CK204" i="15"/>
  <c r="CK205" i="15"/>
  <c r="CK206" i="15"/>
  <c r="CK207" i="15"/>
  <c r="CK208" i="15"/>
  <c r="CK209" i="15"/>
  <c r="CK210" i="15"/>
  <c r="CK211" i="15"/>
  <c r="CK212" i="15"/>
  <c r="CK213" i="15"/>
  <c r="CK214" i="15"/>
  <c r="CK215" i="15"/>
  <c r="CK216" i="15"/>
  <c r="CK217" i="15"/>
  <c r="CK218" i="15"/>
  <c r="CK219" i="15"/>
  <c r="CK220" i="15"/>
  <c r="CK221" i="15"/>
  <c r="CK222" i="15"/>
  <c r="CK223" i="15"/>
  <c r="CK224" i="15"/>
  <c r="CK225" i="15"/>
  <c r="CK226" i="15"/>
  <c r="CK227" i="15"/>
  <c r="CK228" i="15"/>
  <c r="CK229" i="15"/>
  <c r="CK230" i="15"/>
  <c r="CK231" i="15"/>
  <c r="CK232" i="15"/>
  <c r="CK233" i="15"/>
  <c r="CK234" i="15"/>
  <c r="CK235" i="15"/>
  <c r="CK236" i="15"/>
  <c r="CK237" i="15"/>
  <c r="CK238" i="15"/>
  <c r="CK239" i="15"/>
  <c r="CK240" i="15"/>
  <c r="CK241" i="15"/>
  <c r="CK242" i="15"/>
  <c r="CK243" i="15"/>
  <c r="CK244" i="15"/>
  <c r="CK245" i="15"/>
  <c r="CK246" i="15"/>
  <c r="CK247" i="15"/>
  <c r="CK248" i="15"/>
  <c r="CK249" i="15"/>
  <c r="CK250" i="15"/>
  <c r="CK251" i="15"/>
  <c r="CK252" i="15"/>
  <c r="CK253" i="15"/>
  <c r="CK254" i="15"/>
  <c r="CK255" i="15"/>
  <c r="CK256" i="15"/>
  <c r="CK257" i="15"/>
  <c r="CK258" i="15"/>
  <c r="CK259" i="15"/>
  <c r="CK260" i="15"/>
  <c r="CK261" i="15"/>
  <c r="CK262" i="15"/>
  <c r="CK263" i="15"/>
  <c r="CK264" i="15"/>
  <c r="CK265" i="15"/>
  <c r="CK266" i="15"/>
  <c r="CK267" i="15"/>
  <c r="CK268" i="15"/>
  <c r="CK269" i="15"/>
  <c r="CK270" i="15"/>
  <c r="CK271" i="15"/>
  <c r="CK272" i="15"/>
  <c r="CK273" i="15"/>
  <c r="CK274" i="15"/>
  <c r="CK275" i="15"/>
  <c r="CK276" i="15"/>
  <c r="CK277" i="15"/>
  <c r="J345" i="17" l="1"/>
  <c r="E344" i="17"/>
  <c r="G342" i="16"/>
  <c r="F343" i="87"/>
  <c r="G343" i="14"/>
  <c r="G344" i="16"/>
  <c r="D345" i="17"/>
  <c r="G342" i="14"/>
  <c r="D343" i="17"/>
  <c r="E345" i="17"/>
  <c r="C345" i="17"/>
  <c r="D344" i="17"/>
  <c r="G344" i="17"/>
  <c r="C342" i="16"/>
  <c r="G343" i="16"/>
  <c r="E342" i="14"/>
  <c r="C342" i="14"/>
  <c r="D342" i="14"/>
  <c r="J343" i="14"/>
  <c r="E343" i="14"/>
  <c r="F342" i="87"/>
  <c r="E343" i="17"/>
  <c r="D342" i="17"/>
  <c r="C344" i="17"/>
  <c r="J342" i="17"/>
  <c r="E342" i="17"/>
  <c r="J344" i="17"/>
  <c r="F344" i="87"/>
  <c r="G345" i="17"/>
  <c r="C345" i="16"/>
  <c r="I345" i="87"/>
  <c r="C344" i="16"/>
  <c r="I344" i="87"/>
  <c r="G345" i="16"/>
  <c r="H345" i="87"/>
  <c r="H344" i="87"/>
  <c r="G344" i="87" s="1"/>
  <c r="C343" i="14"/>
  <c r="J342" i="14"/>
  <c r="G343" i="17"/>
  <c r="C343" i="17"/>
  <c r="G342" i="17"/>
  <c r="J345" i="16"/>
  <c r="E345" i="16"/>
  <c r="D345" i="16"/>
  <c r="C343" i="16"/>
  <c r="H343" i="87"/>
  <c r="H342" i="87"/>
  <c r="J344" i="16"/>
  <c r="E344" i="16"/>
  <c r="D344" i="16"/>
  <c r="I343" i="87"/>
  <c r="I342" i="87"/>
  <c r="D343" i="14"/>
  <c r="D213" i="15"/>
  <c r="J221" i="15"/>
  <c r="C306" i="15"/>
  <c r="C310" i="15"/>
  <c r="C312" i="15"/>
  <c r="C316" i="15"/>
  <c r="C318" i="15"/>
  <c r="G169" i="15"/>
  <c r="J170" i="15"/>
  <c r="D266" i="15"/>
  <c r="G187" i="15"/>
  <c r="D189" i="15"/>
  <c r="J192" i="15"/>
  <c r="D197" i="15"/>
  <c r="C265" i="15"/>
  <c r="C287" i="15"/>
  <c r="C291" i="15"/>
  <c r="C339" i="15"/>
  <c r="G342" i="15"/>
  <c r="D203" i="15"/>
  <c r="C267" i="15"/>
  <c r="G343" i="15"/>
  <c r="D140" i="15"/>
  <c r="E147" i="15"/>
  <c r="E163" i="15"/>
  <c r="C164" i="15"/>
  <c r="C168" i="15"/>
  <c r="D171" i="15"/>
  <c r="E179" i="15"/>
  <c r="C180" i="15"/>
  <c r="C184" i="15"/>
  <c r="J240" i="15"/>
  <c r="J248" i="15"/>
  <c r="J252" i="15"/>
  <c r="J256" i="15"/>
  <c r="G263" i="15"/>
  <c r="G299" i="15"/>
  <c r="J147" i="15"/>
  <c r="J163" i="15"/>
  <c r="D142" i="15"/>
  <c r="J187" i="15"/>
  <c r="J195" i="15"/>
  <c r="C222" i="15"/>
  <c r="C260" i="15"/>
  <c r="C305" i="15"/>
  <c r="E342" i="15"/>
  <c r="D139" i="15"/>
  <c r="J155" i="15"/>
  <c r="D141" i="15"/>
  <c r="D157" i="15"/>
  <c r="D165" i="15"/>
  <c r="D173" i="15"/>
  <c r="D181" i="15"/>
  <c r="D187" i="15"/>
  <c r="J203" i="15"/>
  <c r="D215" i="15"/>
  <c r="E222" i="15"/>
  <c r="G225" i="15"/>
  <c r="J231" i="15"/>
  <c r="G233" i="15"/>
  <c r="G241" i="15"/>
  <c r="J247" i="15"/>
  <c r="G249" i="15"/>
  <c r="G253" i="15"/>
  <c r="G257" i="15"/>
  <c r="J258" i="15"/>
  <c r="C261" i="15"/>
  <c r="C263" i="15"/>
  <c r="C272" i="15"/>
  <c r="C274" i="15"/>
  <c r="G281" i="15"/>
  <c r="D298" i="15"/>
  <c r="C304" i="15"/>
  <c r="D338" i="15"/>
  <c r="D144" i="15"/>
  <c r="G147" i="15"/>
  <c r="D149" i="15"/>
  <c r="J152" i="15"/>
  <c r="D155" i="15"/>
  <c r="J171" i="15"/>
  <c r="G177" i="15"/>
  <c r="J179" i="15"/>
  <c r="G185" i="15"/>
  <c r="J186" i="15"/>
  <c r="E195" i="15"/>
  <c r="C196" i="15"/>
  <c r="C200" i="15"/>
  <c r="G203" i="15"/>
  <c r="D205" i="15"/>
  <c r="J208" i="15"/>
  <c r="G211" i="15"/>
  <c r="J212" i="15"/>
  <c r="G219" i="15"/>
  <c r="E220" i="15"/>
  <c r="C273" i="15"/>
  <c r="C281" i="15"/>
  <c r="C285" i="15"/>
  <c r="C289" i="15"/>
  <c r="C297" i="15"/>
  <c r="C307" i="15"/>
  <c r="C309" i="15"/>
  <c r="C315" i="15"/>
  <c r="C148" i="15"/>
  <c r="C152" i="15"/>
  <c r="G155" i="15"/>
  <c r="J160" i="15"/>
  <c r="J168" i="15"/>
  <c r="G201" i="15"/>
  <c r="J202" i="15"/>
  <c r="J215" i="15"/>
  <c r="J219" i="15"/>
  <c r="G227" i="15"/>
  <c r="C280" i="15"/>
  <c r="C284" i="15"/>
  <c r="C286" i="15"/>
  <c r="C298" i="15"/>
  <c r="D146" i="15"/>
  <c r="G153" i="15"/>
  <c r="J154" i="15"/>
  <c r="G171" i="15"/>
  <c r="J176" i="15"/>
  <c r="J184" i="15"/>
  <c r="E221" i="15"/>
  <c r="G273" i="15"/>
  <c r="C295" i="15"/>
  <c r="G307" i="15"/>
  <c r="G337" i="15"/>
  <c r="C156" i="15"/>
  <c r="D159" i="15"/>
  <c r="C160" i="15"/>
  <c r="C172" i="15"/>
  <c r="D175" i="15"/>
  <c r="C176" i="15"/>
  <c r="C188" i="15"/>
  <c r="D191" i="15"/>
  <c r="C192" i="15"/>
  <c r="C204" i="15"/>
  <c r="D207" i="15"/>
  <c r="C208" i="15"/>
  <c r="D211" i="15"/>
  <c r="D217" i="15"/>
  <c r="E219" i="15"/>
  <c r="G224" i="15"/>
  <c r="G228" i="15"/>
  <c r="G232" i="15"/>
  <c r="J237" i="15"/>
  <c r="J245" i="15"/>
  <c r="J253" i="15"/>
  <c r="D262" i="15"/>
  <c r="C266" i="15"/>
  <c r="G267" i="15"/>
  <c r="C269" i="15"/>
  <c r="C275" i="15"/>
  <c r="C277" i="15"/>
  <c r="C279" i="15"/>
  <c r="C283" i="15"/>
  <c r="G285" i="15"/>
  <c r="G291" i="15"/>
  <c r="G295" i="15"/>
  <c r="D306" i="15"/>
  <c r="G313" i="15"/>
  <c r="D318" i="15"/>
  <c r="C320" i="15"/>
  <c r="C334" i="15"/>
  <c r="C338" i="15"/>
  <c r="D147" i="15"/>
  <c r="D163" i="15"/>
  <c r="G161" i="15"/>
  <c r="J162" i="15"/>
  <c r="G163" i="15"/>
  <c r="J178" i="15"/>
  <c r="G179" i="15"/>
  <c r="G193" i="15"/>
  <c r="J194" i="15"/>
  <c r="G195" i="15"/>
  <c r="J200" i="15"/>
  <c r="G209" i="15"/>
  <c r="J210" i="15"/>
  <c r="E213" i="15"/>
  <c r="C216" i="15"/>
  <c r="C290" i="15"/>
  <c r="C292" i="15"/>
  <c r="C313" i="15"/>
  <c r="C317" i="15"/>
  <c r="E343" i="15"/>
  <c r="D179" i="15"/>
  <c r="D195" i="15"/>
  <c r="D151" i="15"/>
  <c r="E155" i="15"/>
  <c r="D167" i="15"/>
  <c r="E171" i="15"/>
  <c r="D183" i="15"/>
  <c r="E187" i="15"/>
  <c r="D199" i="15"/>
  <c r="E203" i="15"/>
  <c r="G213" i="15"/>
  <c r="D219" i="15"/>
  <c r="G220" i="15"/>
  <c r="G222" i="15"/>
  <c r="G258" i="15"/>
  <c r="G269" i="15"/>
  <c r="G275" i="15"/>
  <c r="G279" i="15"/>
  <c r="C299" i="15"/>
  <c r="G305" i="15"/>
  <c r="J343" i="15"/>
  <c r="D294" i="15"/>
  <c r="C294" i="15"/>
  <c r="D282" i="15"/>
  <c r="G301" i="15"/>
  <c r="C301" i="15"/>
  <c r="D314" i="15"/>
  <c r="C262" i="15"/>
  <c r="C258" i="15"/>
  <c r="G311" i="15"/>
  <c r="C311" i="15"/>
  <c r="C319" i="15"/>
  <c r="G319" i="15"/>
  <c r="C214" i="15"/>
  <c r="G265" i="15"/>
  <c r="C268" i="15"/>
  <c r="C271" i="15"/>
  <c r="D278" i="15"/>
  <c r="C293" i="15"/>
  <c r="G297" i="15"/>
  <c r="C300" i="15"/>
  <c r="C303" i="15"/>
  <c r="D310" i="15"/>
  <c r="G317" i="15"/>
  <c r="D334" i="15"/>
  <c r="C336" i="15"/>
  <c r="G339" i="15"/>
  <c r="C340" i="15"/>
  <c r="E225" i="15"/>
  <c r="E241" i="15"/>
  <c r="E249" i="15"/>
  <c r="D259" i="15"/>
  <c r="D270" i="15"/>
  <c r="D290" i="15"/>
  <c r="D302" i="15"/>
  <c r="D145" i="15"/>
  <c r="J149" i="15"/>
  <c r="C150" i="15"/>
  <c r="J153" i="15"/>
  <c r="J157" i="15"/>
  <c r="C158" i="15"/>
  <c r="J161" i="15"/>
  <c r="J165" i="15"/>
  <c r="C166" i="15"/>
  <c r="J169" i="15"/>
  <c r="J173" i="15"/>
  <c r="C174" i="15"/>
  <c r="J177" i="15"/>
  <c r="J181" i="15"/>
  <c r="C182" i="15"/>
  <c r="J185" i="15"/>
  <c r="J189" i="15"/>
  <c r="C190" i="15"/>
  <c r="J193" i="15"/>
  <c r="J197" i="15"/>
  <c r="C198" i="15"/>
  <c r="J201" i="15"/>
  <c r="J205" i="15"/>
  <c r="C206" i="15"/>
  <c r="J209" i="15"/>
  <c r="J211" i="15"/>
  <c r="J213" i="15"/>
  <c r="C218" i="15"/>
  <c r="J223" i="15"/>
  <c r="J239" i="15"/>
  <c r="J243" i="15"/>
  <c r="J251" i="15"/>
  <c r="G254" i="15"/>
  <c r="J255" i="15"/>
  <c r="C259" i="15"/>
  <c r="C264" i="15"/>
  <c r="C270" i="15"/>
  <c r="D274" i="15"/>
  <c r="C276" i="15"/>
  <c r="C278" i="15"/>
  <c r="C282" i="15"/>
  <c r="G283" i="15"/>
  <c r="D286" i="15"/>
  <c r="C288" i="15"/>
  <c r="G289" i="15"/>
  <c r="C296" i="15"/>
  <c r="C302" i="15"/>
  <c r="C308" i="15"/>
  <c r="C314" i="15"/>
  <c r="G315" i="15"/>
  <c r="G321" i="15"/>
  <c r="C335" i="15"/>
  <c r="C341" i="15"/>
  <c r="D343" i="15"/>
  <c r="J342" i="15"/>
  <c r="D342" i="15"/>
  <c r="G135" i="15"/>
  <c r="G136" i="15"/>
  <c r="G137" i="15"/>
  <c r="G138" i="15"/>
  <c r="G139" i="15"/>
  <c r="G140" i="15"/>
  <c r="G141" i="15"/>
  <c r="G142" i="15"/>
  <c r="C143" i="15"/>
  <c r="C144" i="15"/>
  <c r="C145" i="15"/>
  <c r="C146" i="15"/>
  <c r="J148" i="15"/>
  <c r="G149" i="15"/>
  <c r="E151" i="15"/>
  <c r="J151" i="15"/>
  <c r="D153" i="15"/>
  <c r="C154" i="15"/>
  <c r="J156" i="15"/>
  <c r="G157" i="15"/>
  <c r="E159" i="15"/>
  <c r="J159" i="15"/>
  <c r="D161" i="15"/>
  <c r="C162" i="15"/>
  <c r="J164" i="15"/>
  <c r="G165" i="15"/>
  <c r="E167" i="15"/>
  <c r="J167" i="15"/>
  <c r="D169" i="15"/>
  <c r="C170" i="15"/>
  <c r="J172" i="15"/>
  <c r="G173" i="15"/>
  <c r="E175" i="15"/>
  <c r="J175" i="15"/>
  <c r="D177" i="15"/>
  <c r="C178" i="15"/>
  <c r="J180" i="15"/>
  <c r="G181" i="15"/>
  <c r="E183" i="15"/>
  <c r="J183" i="15"/>
  <c r="D185" i="15"/>
  <c r="C186" i="15"/>
  <c r="J188" i="15"/>
  <c r="G189" i="15"/>
  <c r="E191" i="15"/>
  <c r="J191" i="15"/>
  <c r="D193" i="15"/>
  <c r="C194" i="15"/>
  <c r="J196" i="15"/>
  <c r="G197" i="15"/>
  <c r="E199" i="15"/>
  <c r="J199" i="15"/>
  <c r="D201" i="15"/>
  <c r="C202" i="15"/>
  <c r="J204" i="15"/>
  <c r="G205" i="15"/>
  <c r="E207" i="15"/>
  <c r="J207" i="15"/>
  <c r="D209" i="15"/>
  <c r="C210" i="15"/>
  <c r="G217" i="15"/>
  <c r="J218" i="15"/>
  <c r="J227" i="15"/>
  <c r="E227" i="15"/>
  <c r="J232" i="15"/>
  <c r="E232" i="15"/>
  <c r="C135" i="15"/>
  <c r="C136" i="15"/>
  <c r="C137" i="15"/>
  <c r="C138" i="15"/>
  <c r="C139" i="15"/>
  <c r="C140" i="15"/>
  <c r="C141" i="15"/>
  <c r="C142" i="15"/>
  <c r="J150" i="15"/>
  <c r="G151" i="15"/>
  <c r="E153" i="15"/>
  <c r="J158" i="15"/>
  <c r="G159" i="15"/>
  <c r="E161" i="15"/>
  <c r="J166" i="15"/>
  <c r="G167" i="15"/>
  <c r="E169" i="15"/>
  <c r="J174" i="15"/>
  <c r="G175" i="15"/>
  <c r="E177" i="15"/>
  <c r="J182" i="15"/>
  <c r="G183" i="15"/>
  <c r="E185" i="15"/>
  <c r="J190" i="15"/>
  <c r="G191" i="15"/>
  <c r="E193" i="15"/>
  <c r="J198" i="15"/>
  <c r="G199" i="15"/>
  <c r="E201" i="15"/>
  <c r="J206" i="15"/>
  <c r="G207" i="15"/>
  <c r="E209" i="15"/>
  <c r="E211" i="15"/>
  <c r="J216" i="15"/>
  <c r="J217" i="15"/>
  <c r="E217" i="15"/>
  <c r="G229" i="15"/>
  <c r="J235" i="15"/>
  <c r="E235" i="15"/>
  <c r="D135" i="15"/>
  <c r="D136" i="15"/>
  <c r="D137" i="15"/>
  <c r="D138" i="15"/>
  <c r="J224" i="15"/>
  <c r="E224" i="15"/>
  <c r="J229" i="15"/>
  <c r="E229" i="15"/>
  <c r="G143" i="15"/>
  <c r="G144" i="15"/>
  <c r="G145" i="15"/>
  <c r="G146" i="15"/>
  <c r="E149" i="15"/>
  <c r="E157" i="15"/>
  <c r="E165" i="15"/>
  <c r="E173" i="15"/>
  <c r="E181" i="15"/>
  <c r="E189" i="15"/>
  <c r="E197" i="15"/>
  <c r="E205" i="15"/>
  <c r="E215" i="15"/>
  <c r="E233" i="15"/>
  <c r="G235" i="15"/>
  <c r="G236" i="15"/>
  <c r="G237" i="15"/>
  <c r="G240" i="15"/>
  <c r="G243" i="15"/>
  <c r="G244" i="15"/>
  <c r="G245" i="15"/>
  <c r="G248" i="15"/>
  <c r="G251" i="15"/>
  <c r="G252" i="15"/>
  <c r="E253" i="15"/>
  <c r="G256" i="15"/>
  <c r="E257" i="15"/>
  <c r="C321" i="15"/>
  <c r="C337" i="15"/>
  <c r="D258" i="15"/>
  <c r="G259" i="15"/>
  <c r="G261" i="15"/>
  <c r="G271" i="15"/>
  <c r="G277" i="15"/>
  <c r="G287" i="15"/>
  <c r="G293" i="15"/>
  <c r="G303" i="15"/>
  <c r="G309" i="15"/>
  <c r="G335" i="15"/>
  <c r="G341" i="15"/>
  <c r="C212" i="15"/>
  <c r="J214" i="15"/>
  <c r="G215" i="15"/>
  <c r="D221" i="15"/>
  <c r="G223" i="15"/>
  <c r="G231" i="15"/>
  <c r="E237" i="15"/>
  <c r="G239" i="15"/>
  <c r="E240" i="15"/>
  <c r="E243" i="15"/>
  <c r="E245" i="15"/>
  <c r="G247" i="15"/>
  <c r="E248" i="15"/>
  <c r="E251" i="15"/>
  <c r="J343" i="17"/>
  <c r="J343" i="16"/>
  <c r="E343" i="16"/>
  <c r="D343" i="16"/>
  <c r="J342" i="16"/>
  <c r="E342" i="16"/>
  <c r="D342" i="16"/>
  <c r="D143" i="15"/>
  <c r="D225" i="15"/>
  <c r="C225" i="15"/>
  <c r="D226" i="15"/>
  <c r="C226" i="15"/>
  <c r="J226" i="15"/>
  <c r="G230" i="15"/>
  <c r="E230" i="15"/>
  <c r="D233" i="15"/>
  <c r="C233" i="15"/>
  <c r="D234" i="15"/>
  <c r="C234" i="15"/>
  <c r="J234" i="15"/>
  <c r="G238" i="15"/>
  <c r="E238" i="15"/>
  <c r="D241" i="15"/>
  <c r="C241" i="15"/>
  <c r="D242" i="15"/>
  <c r="C242" i="15"/>
  <c r="J242" i="15"/>
  <c r="G246" i="15"/>
  <c r="E246" i="15"/>
  <c r="D249" i="15"/>
  <c r="C249" i="15"/>
  <c r="D250" i="15"/>
  <c r="C250" i="15"/>
  <c r="J250" i="15"/>
  <c r="J264" i="15"/>
  <c r="E264" i="15"/>
  <c r="G264" i="15"/>
  <c r="D264" i="15"/>
  <c r="J280" i="15"/>
  <c r="E280" i="15"/>
  <c r="G280" i="15"/>
  <c r="D280" i="15"/>
  <c r="J296" i="15"/>
  <c r="E296" i="15"/>
  <c r="G296" i="15"/>
  <c r="D296" i="15"/>
  <c r="J312" i="15"/>
  <c r="E312" i="15"/>
  <c r="G312" i="15"/>
  <c r="D312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D148" i="15"/>
  <c r="D150" i="15"/>
  <c r="D152" i="15"/>
  <c r="D154" i="15"/>
  <c r="D156" i="15"/>
  <c r="D158" i="15"/>
  <c r="D160" i="15"/>
  <c r="D162" i="15"/>
  <c r="D164" i="15"/>
  <c r="D166" i="15"/>
  <c r="D168" i="15"/>
  <c r="D170" i="15"/>
  <c r="D172" i="15"/>
  <c r="D174" i="15"/>
  <c r="D176" i="15"/>
  <c r="D178" i="15"/>
  <c r="D180" i="15"/>
  <c r="D182" i="15"/>
  <c r="D184" i="15"/>
  <c r="D186" i="15"/>
  <c r="D188" i="15"/>
  <c r="D190" i="15"/>
  <c r="D192" i="15"/>
  <c r="D194" i="15"/>
  <c r="D196" i="15"/>
  <c r="D198" i="15"/>
  <c r="D200" i="15"/>
  <c r="D202" i="15"/>
  <c r="D204" i="15"/>
  <c r="D206" i="15"/>
  <c r="D208" i="15"/>
  <c r="D210" i="15"/>
  <c r="D212" i="15"/>
  <c r="D214" i="15"/>
  <c r="D216" i="15"/>
  <c r="D218" i="15"/>
  <c r="D220" i="15"/>
  <c r="C220" i="15"/>
  <c r="G221" i="15"/>
  <c r="J225" i="15"/>
  <c r="D228" i="15"/>
  <c r="C228" i="15"/>
  <c r="J233" i="15"/>
  <c r="D236" i="15"/>
  <c r="C236" i="15"/>
  <c r="J241" i="15"/>
  <c r="D244" i="15"/>
  <c r="C244" i="15"/>
  <c r="J249" i="15"/>
  <c r="J260" i="15"/>
  <c r="G260" i="15"/>
  <c r="E260" i="15"/>
  <c r="D260" i="15"/>
  <c r="J276" i="15"/>
  <c r="E276" i="15"/>
  <c r="G276" i="15"/>
  <c r="D276" i="15"/>
  <c r="J292" i="15"/>
  <c r="E292" i="15"/>
  <c r="G292" i="15"/>
  <c r="D292" i="15"/>
  <c r="J308" i="15"/>
  <c r="E308" i="15"/>
  <c r="G308" i="15"/>
  <c r="D308" i="15"/>
  <c r="J340" i="15"/>
  <c r="E340" i="15"/>
  <c r="G340" i="15"/>
  <c r="D340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E148" i="15"/>
  <c r="E150" i="15"/>
  <c r="E152" i="15"/>
  <c r="E154" i="15"/>
  <c r="E156" i="15"/>
  <c r="E158" i="15"/>
  <c r="E160" i="15"/>
  <c r="E162" i="15"/>
  <c r="E164" i="15"/>
  <c r="E166" i="15"/>
  <c r="E168" i="15"/>
  <c r="E170" i="15"/>
  <c r="E172" i="15"/>
  <c r="E174" i="15"/>
  <c r="E176" i="15"/>
  <c r="E178" i="15"/>
  <c r="E180" i="15"/>
  <c r="E182" i="15"/>
  <c r="E184" i="15"/>
  <c r="E186" i="15"/>
  <c r="E188" i="15"/>
  <c r="E190" i="15"/>
  <c r="E192" i="15"/>
  <c r="E194" i="15"/>
  <c r="E196" i="15"/>
  <c r="E198" i="15"/>
  <c r="E200" i="15"/>
  <c r="E202" i="15"/>
  <c r="E204" i="15"/>
  <c r="E206" i="15"/>
  <c r="E208" i="15"/>
  <c r="E210" i="15"/>
  <c r="E212" i="15"/>
  <c r="E214" i="15"/>
  <c r="E216" i="15"/>
  <c r="E218" i="15"/>
  <c r="J220" i="15"/>
  <c r="D222" i="15"/>
  <c r="J222" i="15"/>
  <c r="G226" i="15"/>
  <c r="E226" i="15"/>
  <c r="E228" i="15"/>
  <c r="J228" i="15"/>
  <c r="D229" i="15"/>
  <c r="C229" i="15"/>
  <c r="D230" i="15"/>
  <c r="C230" i="15"/>
  <c r="J230" i="15"/>
  <c r="G234" i="15"/>
  <c r="E234" i="15"/>
  <c r="E236" i="15"/>
  <c r="J236" i="15"/>
  <c r="D237" i="15"/>
  <c r="C237" i="15"/>
  <c r="D238" i="15"/>
  <c r="C238" i="15"/>
  <c r="J238" i="15"/>
  <c r="G242" i="15"/>
  <c r="E242" i="15"/>
  <c r="E244" i="15"/>
  <c r="J244" i="15"/>
  <c r="D245" i="15"/>
  <c r="C245" i="15"/>
  <c r="D246" i="15"/>
  <c r="C246" i="15"/>
  <c r="J246" i="15"/>
  <c r="G250" i="15"/>
  <c r="E250" i="15"/>
  <c r="E252" i="15"/>
  <c r="D253" i="15"/>
  <c r="C253" i="15"/>
  <c r="D254" i="15"/>
  <c r="C254" i="15"/>
  <c r="J254" i="15"/>
  <c r="J272" i="15"/>
  <c r="E272" i="15"/>
  <c r="G272" i="15"/>
  <c r="D272" i="15"/>
  <c r="J288" i="15"/>
  <c r="E288" i="15"/>
  <c r="G288" i="15"/>
  <c r="D288" i="15"/>
  <c r="J304" i="15"/>
  <c r="E304" i="15"/>
  <c r="G304" i="15"/>
  <c r="D304" i="15"/>
  <c r="J320" i="15"/>
  <c r="E320" i="15"/>
  <c r="G320" i="15"/>
  <c r="D320" i="15"/>
  <c r="J336" i="15"/>
  <c r="E336" i="15"/>
  <c r="G336" i="15"/>
  <c r="D336" i="15"/>
  <c r="C147" i="15"/>
  <c r="G148" i="15"/>
  <c r="C149" i="15"/>
  <c r="G150" i="15"/>
  <c r="C151" i="15"/>
  <c r="G152" i="15"/>
  <c r="C153" i="15"/>
  <c r="G154" i="15"/>
  <c r="C155" i="15"/>
  <c r="G156" i="15"/>
  <c r="C157" i="15"/>
  <c r="G158" i="15"/>
  <c r="C159" i="15"/>
  <c r="G160" i="15"/>
  <c r="C161" i="15"/>
  <c r="G162" i="15"/>
  <c r="C163" i="15"/>
  <c r="G164" i="15"/>
  <c r="C165" i="15"/>
  <c r="G166" i="15"/>
  <c r="C167" i="15"/>
  <c r="G168" i="15"/>
  <c r="C169" i="15"/>
  <c r="G170" i="15"/>
  <c r="C171" i="15"/>
  <c r="G172" i="15"/>
  <c r="C173" i="15"/>
  <c r="G174" i="15"/>
  <c r="C175" i="15"/>
  <c r="G176" i="15"/>
  <c r="C177" i="15"/>
  <c r="G178" i="15"/>
  <c r="C179" i="15"/>
  <c r="G180" i="15"/>
  <c r="C181" i="15"/>
  <c r="G182" i="15"/>
  <c r="C183" i="15"/>
  <c r="G184" i="15"/>
  <c r="C185" i="15"/>
  <c r="G186" i="15"/>
  <c r="C187" i="15"/>
  <c r="G188" i="15"/>
  <c r="C189" i="15"/>
  <c r="G190" i="15"/>
  <c r="C191" i="15"/>
  <c r="G192" i="15"/>
  <c r="C193" i="15"/>
  <c r="G194" i="15"/>
  <c r="C195" i="15"/>
  <c r="G196" i="15"/>
  <c r="C197" i="15"/>
  <c r="G198" i="15"/>
  <c r="C199" i="15"/>
  <c r="G200" i="15"/>
  <c r="C201" i="15"/>
  <c r="G202" i="15"/>
  <c r="C203" i="15"/>
  <c r="G204" i="15"/>
  <c r="C205" i="15"/>
  <c r="G206" i="15"/>
  <c r="C207" i="15"/>
  <c r="G208" i="15"/>
  <c r="C209" i="15"/>
  <c r="G210" i="15"/>
  <c r="C211" i="15"/>
  <c r="G212" i="15"/>
  <c r="C213" i="15"/>
  <c r="G214" i="15"/>
  <c r="C215" i="15"/>
  <c r="G216" i="15"/>
  <c r="C217" i="15"/>
  <c r="G218" i="15"/>
  <c r="C219" i="15"/>
  <c r="C221" i="15"/>
  <c r="E223" i="15"/>
  <c r="D224" i="15"/>
  <c r="C224" i="15"/>
  <c r="E231" i="15"/>
  <c r="D232" i="15"/>
  <c r="C232" i="15"/>
  <c r="E239" i="15"/>
  <c r="D240" i="15"/>
  <c r="C240" i="15"/>
  <c r="E247" i="15"/>
  <c r="D248" i="15"/>
  <c r="C248" i="15"/>
  <c r="G255" i="15"/>
  <c r="E255" i="15"/>
  <c r="E256" i="15"/>
  <c r="D257" i="15"/>
  <c r="C257" i="15"/>
  <c r="J268" i="15"/>
  <c r="E268" i="15"/>
  <c r="G268" i="15"/>
  <c r="D268" i="15"/>
  <c r="J284" i="15"/>
  <c r="E284" i="15"/>
  <c r="G284" i="15"/>
  <c r="D284" i="15"/>
  <c r="J300" i="15"/>
  <c r="E300" i="15"/>
  <c r="G300" i="15"/>
  <c r="D300" i="15"/>
  <c r="J316" i="15"/>
  <c r="E316" i="15"/>
  <c r="G316" i="15"/>
  <c r="D316" i="15"/>
  <c r="D223" i="15"/>
  <c r="C223" i="15"/>
  <c r="D227" i="15"/>
  <c r="C227" i="15"/>
  <c r="D231" i="15"/>
  <c r="C231" i="15"/>
  <c r="D235" i="15"/>
  <c r="C235" i="15"/>
  <c r="D239" i="15"/>
  <c r="C239" i="15"/>
  <c r="D243" i="15"/>
  <c r="C243" i="15"/>
  <c r="D247" i="15"/>
  <c r="C247" i="15"/>
  <c r="D251" i="15"/>
  <c r="C251" i="15"/>
  <c r="E254" i="15"/>
  <c r="D255" i="15"/>
  <c r="C255" i="15"/>
  <c r="D252" i="15"/>
  <c r="C252" i="15"/>
  <c r="D256" i="15"/>
  <c r="C256" i="15"/>
  <c r="J259" i="15"/>
  <c r="E259" i="15"/>
  <c r="J262" i="15"/>
  <c r="E262" i="15"/>
  <c r="G262" i="15"/>
  <c r="J266" i="15"/>
  <c r="E266" i="15"/>
  <c r="G266" i="15"/>
  <c r="J270" i="15"/>
  <c r="E270" i="15"/>
  <c r="G270" i="15"/>
  <c r="J274" i="15"/>
  <c r="E274" i="15"/>
  <c r="G274" i="15"/>
  <c r="J278" i="15"/>
  <c r="E278" i="15"/>
  <c r="G278" i="15"/>
  <c r="J282" i="15"/>
  <c r="E282" i="15"/>
  <c r="G282" i="15"/>
  <c r="J286" i="15"/>
  <c r="E286" i="15"/>
  <c r="G286" i="15"/>
  <c r="J290" i="15"/>
  <c r="E290" i="15"/>
  <c r="G290" i="15"/>
  <c r="J294" i="15"/>
  <c r="E294" i="15"/>
  <c r="G294" i="15"/>
  <c r="J298" i="15"/>
  <c r="E298" i="15"/>
  <c r="G298" i="15"/>
  <c r="J302" i="15"/>
  <c r="E302" i="15"/>
  <c r="G302" i="15"/>
  <c r="J306" i="15"/>
  <c r="E306" i="15"/>
  <c r="G306" i="15"/>
  <c r="J310" i="15"/>
  <c r="E310" i="15"/>
  <c r="G310" i="15"/>
  <c r="J314" i="15"/>
  <c r="E314" i="15"/>
  <c r="G314" i="15"/>
  <c r="J318" i="15"/>
  <c r="E318" i="15"/>
  <c r="G318" i="15"/>
  <c r="J334" i="15"/>
  <c r="E334" i="15"/>
  <c r="G334" i="15"/>
  <c r="J338" i="15"/>
  <c r="E338" i="15"/>
  <c r="G338" i="15"/>
  <c r="J261" i="15"/>
  <c r="E261" i="15"/>
  <c r="J263" i="15"/>
  <c r="E263" i="15"/>
  <c r="J265" i="15"/>
  <c r="E265" i="15"/>
  <c r="J267" i="15"/>
  <c r="E267" i="15"/>
  <c r="J269" i="15"/>
  <c r="E269" i="15"/>
  <c r="J271" i="15"/>
  <c r="E271" i="15"/>
  <c r="J273" i="15"/>
  <c r="E273" i="15"/>
  <c r="J275" i="15"/>
  <c r="E275" i="15"/>
  <c r="J277" i="15"/>
  <c r="E277" i="15"/>
  <c r="J279" i="15"/>
  <c r="E279" i="15"/>
  <c r="J281" i="15"/>
  <c r="E281" i="15"/>
  <c r="J283" i="15"/>
  <c r="E283" i="15"/>
  <c r="J285" i="15"/>
  <c r="E285" i="15"/>
  <c r="J287" i="15"/>
  <c r="E287" i="15"/>
  <c r="J289" i="15"/>
  <c r="E289" i="15"/>
  <c r="J291" i="15"/>
  <c r="E291" i="15"/>
  <c r="J293" i="15"/>
  <c r="E293" i="15"/>
  <c r="J295" i="15"/>
  <c r="E295" i="15"/>
  <c r="J297" i="15"/>
  <c r="E297" i="15"/>
  <c r="J299" i="15"/>
  <c r="E299" i="15"/>
  <c r="J301" i="15"/>
  <c r="E301" i="15"/>
  <c r="J303" i="15"/>
  <c r="E303" i="15"/>
  <c r="J305" i="15"/>
  <c r="E305" i="15"/>
  <c r="J307" i="15"/>
  <c r="E307" i="15"/>
  <c r="J309" i="15"/>
  <c r="E309" i="15"/>
  <c r="J311" i="15"/>
  <c r="E311" i="15"/>
  <c r="J313" i="15"/>
  <c r="E313" i="15"/>
  <c r="J315" i="15"/>
  <c r="E315" i="15"/>
  <c r="J317" i="15"/>
  <c r="E317" i="15"/>
  <c r="J319" i="15"/>
  <c r="E319" i="15"/>
  <c r="J321" i="15"/>
  <c r="E321" i="15"/>
  <c r="J333" i="15"/>
  <c r="J335" i="15"/>
  <c r="E335" i="15"/>
  <c r="J337" i="15"/>
  <c r="E337" i="15"/>
  <c r="J339" i="15"/>
  <c r="E339" i="15"/>
  <c r="J341" i="15"/>
  <c r="E341" i="15"/>
  <c r="J257" i="15"/>
  <c r="E258" i="15"/>
  <c r="D261" i="15"/>
  <c r="D263" i="15"/>
  <c r="D265" i="15"/>
  <c r="D267" i="15"/>
  <c r="D269" i="15"/>
  <c r="D271" i="15"/>
  <c r="D273" i="15"/>
  <c r="D275" i="15"/>
  <c r="D277" i="15"/>
  <c r="D279" i="15"/>
  <c r="D281" i="15"/>
  <c r="D283" i="15"/>
  <c r="D285" i="15"/>
  <c r="D287" i="15"/>
  <c r="D289" i="15"/>
  <c r="D291" i="15"/>
  <c r="D293" i="15"/>
  <c r="D295" i="15"/>
  <c r="D297" i="15"/>
  <c r="D299" i="15"/>
  <c r="D301" i="15"/>
  <c r="D303" i="15"/>
  <c r="D305" i="15"/>
  <c r="D307" i="15"/>
  <c r="D309" i="15"/>
  <c r="D311" i="15"/>
  <c r="D313" i="15"/>
  <c r="D315" i="15"/>
  <c r="D317" i="15"/>
  <c r="D319" i="15"/>
  <c r="D321" i="15"/>
  <c r="D333" i="15"/>
  <c r="D335" i="15"/>
  <c r="D337" i="15"/>
  <c r="D339" i="15"/>
  <c r="D341" i="15"/>
  <c r="C343" i="87" l="1"/>
  <c r="G343" i="87"/>
  <c r="C342" i="87"/>
  <c r="G342" i="87"/>
  <c r="D344" i="87"/>
  <c r="C344" i="87"/>
  <c r="E345" i="87"/>
  <c r="J345" i="87"/>
  <c r="C345" i="87"/>
  <c r="D345" i="87"/>
  <c r="J344" i="87"/>
  <c r="E344" i="87"/>
  <c r="G345" i="87"/>
  <c r="J343" i="87"/>
  <c r="E343" i="87"/>
  <c r="E342" i="87"/>
  <c r="D342" i="87"/>
  <c r="J342" i="87"/>
  <c r="D343" i="87"/>
  <c r="I139" i="17"/>
  <c r="H139" i="17"/>
  <c r="F139" i="17"/>
  <c r="I138" i="17"/>
  <c r="H138" i="17"/>
  <c r="F138" i="17"/>
  <c r="I137" i="17"/>
  <c r="H137" i="17"/>
  <c r="F137" i="17"/>
  <c r="I136" i="17"/>
  <c r="H136" i="17"/>
  <c r="F136" i="17"/>
  <c r="I135" i="17"/>
  <c r="H135" i="17"/>
  <c r="F135" i="17"/>
  <c r="I134" i="17"/>
  <c r="H134" i="17"/>
  <c r="F134" i="17"/>
  <c r="AT137" i="17"/>
  <c r="AT136" i="17"/>
  <c r="AT135" i="17"/>
  <c r="AT134" i="17"/>
  <c r="AQ137" i="17"/>
  <c r="AQ136" i="17"/>
  <c r="AQ135" i="17"/>
  <c r="AQ134" i="17"/>
  <c r="AO137" i="17"/>
  <c r="AN137" i="17"/>
  <c r="AM137" i="17"/>
  <c r="AO136" i="17"/>
  <c r="AN136" i="17"/>
  <c r="AM136" i="17"/>
  <c r="AO135" i="17"/>
  <c r="AN135" i="17"/>
  <c r="AM135" i="17"/>
  <c r="AO134" i="17"/>
  <c r="AN134" i="17"/>
  <c r="AM134" i="17"/>
  <c r="AH137" i="17"/>
  <c r="AH136" i="17"/>
  <c r="AH135" i="17"/>
  <c r="AH134" i="17"/>
  <c r="AE137" i="17"/>
  <c r="AE136" i="17"/>
  <c r="AE135" i="17"/>
  <c r="AE134" i="17"/>
  <c r="AC137" i="17"/>
  <c r="AB137" i="17"/>
  <c r="AA137" i="17"/>
  <c r="AC136" i="17"/>
  <c r="AB136" i="17"/>
  <c r="AA136" i="17"/>
  <c r="AC135" i="17"/>
  <c r="AB135" i="17"/>
  <c r="AA135" i="17"/>
  <c r="AC134" i="17"/>
  <c r="AB134" i="17"/>
  <c r="AA134" i="17"/>
  <c r="V137" i="17"/>
  <c r="V136" i="17"/>
  <c r="V135" i="17"/>
  <c r="V134" i="17"/>
  <c r="S137" i="17"/>
  <c r="S136" i="17"/>
  <c r="S135" i="17"/>
  <c r="S134" i="17"/>
  <c r="Q137" i="17"/>
  <c r="P137" i="17"/>
  <c r="O137" i="17"/>
  <c r="Q136" i="17"/>
  <c r="P136" i="17"/>
  <c r="O136" i="17"/>
  <c r="Q135" i="17"/>
  <c r="P135" i="17"/>
  <c r="O135" i="17"/>
  <c r="Q134" i="17"/>
  <c r="P134" i="17"/>
  <c r="O134" i="17"/>
  <c r="I139" i="16"/>
  <c r="H139" i="16"/>
  <c r="F139" i="16"/>
  <c r="I138" i="16"/>
  <c r="H138" i="16"/>
  <c r="F138" i="16"/>
  <c r="I137" i="16"/>
  <c r="H137" i="16"/>
  <c r="F137" i="16"/>
  <c r="I136" i="16"/>
  <c r="H136" i="16"/>
  <c r="F136" i="16"/>
  <c r="I135" i="16"/>
  <c r="H135" i="16"/>
  <c r="F135" i="16"/>
  <c r="I134" i="16"/>
  <c r="H134" i="16"/>
  <c r="F134" i="16"/>
  <c r="BR137" i="16"/>
  <c r="BR136" i="16"/>
  <c r="BR135" i="16"/>
  <c r="BR134" i="16"/>
  <c r="BO137" i="16"/>
  <c r="BO136" i="16"/>
  <c r="BO135" i="16"/>
  <c r="BO134" i="16"/>
  <c r="BM137" i="16"/>
  <c r="BL137" i="16"/>
  <c r="BK137" i="16"/>
  <c r="BM136" i="16"/>
  <c r="BL136" i="16"/>
  <c r="BK136" i="16"/>
  <c r="BM135" i="16"/>
  <c r="BL135" i="16"/>
  <c r="BK135" i="16"/>
  <c r="BM134" i="16"/>
  <c r="BL134" i="16"/>
  <c r="BK134" i="16"/>
  <c r="BF137" i="16"/>
  <c r="BF136" i="16"/>
  <c r="BF135" i="16"/>
  <c r="BF134" i="16"/>
  <c r="BC137" i="16"/>
  <c r="BC136" i="16"/>
  <c r="BC135" i="16"/>
  <c r="BC134" i="16"/>
  <c r="BA137" i="16"/>
  <c r="AZ137" i="16"/>
  <c r="AY137" i="16"/>
  <c r="BA136" i="16"/>
  <c r="AZ136" i="16"/>
  <c r="AY136" i="16"/>
  <c r="BA135" i="16"/>
  <c r="AZ135" i="16"/>
  <c r="AY135" i="16"/>
  <c r="BA134" i="16"/>
  <c r="AZ134" i="16"/>
  <c r="AY134" i="16"/>
  <c r="AT137" i="16"/>
  <c r="AT136" i="16"/>
  <c r="AT135" i="16"/>
  <c r="AT134" i="16"/>
  <c r="AQ137" i="16"/>
  <c r="AQ136" i="16"/>
  <c r="AQ135" i="16"/>
  <c r="AQ134" i="16"/>
  <c r="AO137" i="16"/>
  <c r="AN137" i="16"/>
  <c r="AM137" i="16"/>
  <c r="AO136" i="16"/>
  <c r="AN136" i="16"/>
  <c r="AM136" i="16"/>
  <c r="AO135" i="16"/>
  <c r="AN135" i="16"/>
  <c r="AM135" i="16"/>
  <c r="AO134" i="16"/>
  <c r="AN134" i="16"/>
  <c r="AM134" i="16"/>
  <c r="AH137" i="16"/>
  <c r="AH136" i="16"/>
  <c r="AH135" i="16"/>
  <c r="AH134" i="16"/>
  <c r="AE137" i="16"/>
  <c r="AE136" i="16"/>
  <c r="AE135" i="16"/>
  <c r="AE134" i="16"/>
  <c r="AC137" i="16"/>
  <c r="AB137" i="16"/>
  <c r="AA137" i="16"/>
  <c r="AC136" i="16"/>
  <c r="AB136" i="16"/>
  <c r="AA136" i="16"/>
  <c r="AC135" i="16"/>
  <c r="AB135" i="16"/>
  <c r="AA135" i="16"/>
  <c r="AC134" i="16"/>
  <c r="AB134" i="16"/>
  <c r="AA134" i="16"/>
  <c r="V137" i="16"/>
  <c r="V136" i="16"/>
  <c r="V135" i="16"/>
  <c r="V134" i="16"/>
  <c r="S137" i="16"/>
  <c r="S136" i="16"/>
  <c r="S135" i="16"/>
  <c r="S134" i="16"/>
  <c r="Q137" i="16"/>
  <c r="P137" i="16"/>
  <c r="O137" i="16"/>
  <c r="Q136" i="16"/>
  <c r="P136" i="16"/>
  <c r="O136" i="16"/>
  <c r="Q135" i="16"/>
  <c r="P135" i="16"/>
  <c r="O135" i="16"/>
  <c r="Q134" i="16"/>
  <c r="P134" i="16"/>
  <c r="O134" i="16"/>
  <c r="DN149" i="15"/>
  <c r="DN148" i="15"/>
  <c r="DN147" i="15"/>
  <c r="DN146" i="15"/>
  <c r="DN145" i="15"/>
  <c r="DN144" i="15"/>
  <c r="DN143" i="15"/>
  <c r="DN142" i="15"/>
  <c r="DN141" i="15"/>
  <c r="DN140" i="15"/>
  <c r="DN139" i="15"/>
  <c r="DN138" i="15"/>
  <c r="DN137" i="15"/>
  <c r="DN136" i="15"/>
  <c r="DN135" i="15"/>
  <c r="DN134" i="15"/>
  <c r="DK149" i="15"/>
  <c r="DK148" i="15"/>
  <c r="DK147" i="15"/>
  <c r="DK146" i="15"/>
  <c r="DK145" i="15"/>
  <c r="DK144" i="15"/>
  <c r="DK143" i="15"/>
  <c r="DK142" i="15"/>
  <c r="DK141" i="15"/>
  <c r="DK140" i="15"/>
  <c r="DK139" i="15"/>
  <c r="DK138" i="15"/>
  <c r="DK137" i="15"/>
  <c r="DK136" i="15"/>
  <c r="DK135" i="15"/>
  <c r="DK134" i="15"/>
  <c r="DI149" i="15"/>
  <c r="DH149" i="15"/>
  <c r="DG149" i="15"/>
  <c r="DI148" i="15"/>
  <c r="DH148" i="15"/>
  <c r="DG148" i="15"/>
  <c r="DI147" i="15"/>
  <c r="DH147" i="15"/>
  <c r="DG147" i="15"/>
  <c r="DI146" i="15"/>
  <c r="DH146" i="15"/>
  <c r="DG146" i="15"/>
  <c r="DI145" i="15"/>
  <c r="DH145" i="15"/>
  <c r="DG145" i="15"/>
  <c r="DI144" i="15"/>
  <c r="DH144" i="15"/>
  <c r="DG144" i="15"/>
  <c r="DI143" i="15"/>
  <c r="DH143" i="15"/>
  <c r="DG143" i="15"/>
  <c r="DI142" i="15"/>
  <c r="DH142" i="15"/>
  <c r="DG142" i="15"/>
  <c r="DI141" i="15"/>
  <c r="DH141" i="15"/>
  <c r="DG141" i="15"/>
  <c r="DI140" i="15"/>
  <c r="DH140" i="15"/>
  <c r="DG140" i="15"/>
  <c r="DI139" i="15"/>
  <c r="DH139" i="15"/>
  <c r="DG139" i="15"/>
  <c r="DI138" i="15"/>
  <c r="DH138" i="15"/>
  <c r="DG138" i="15"/>
  <c r="DI137" i="15"/>
  <c r="DH137" i="15"/>
  <c r="DG137" i="15"/>
  <c r="DI136" i="15"/>
  <c r="DH136" i="15"/>
  <c r="DG136" i="15"/>
  <c r="DI135" i="15"/>
  <c r="DH135" i="15"/>
  <c r="DG135" i="15"/>
  <c r="DI134" i="15"/>
  <c r="DH134" i="15"/>
  <c r="DG134" i="15"/>
  <c r="DB149" i="15"/>
  <c r="DB148" i="15"/>
  <c r="DB147" i="15"/>
  <c r="DB146" i="15"/>
  <c r="DB145" i="15"/>
  <c r="DB144" i="15"/>
  <c r="DB143" i="15"/>
  <c r="DB142" i="15"/>
  <c r="DB141" i="15"/>
  <c r="DB140" i="15"/>
  <c r="DB139" i="15"/>
  <c r="DB138" i="15"/>
  <c r="DB137" i="15"/>
  <c r="DB136" i="15"/>
  <c r="DB135" i="15"/>
  <c r="DB134" i="15"/>
  <c r="CY149" i="15"/>
  <c r="CY148" i="15"/>
  <c r="CY147" i="15"/>
  <c r="CY146" i="15"/>
  <c r="CY145" i="15"/>
  <c r="CY144" i="15"/>
  <c r="CY143" i="15"/>
  <c r="CY142" i="15"/>
  <c r="CY141" i="15"/>
  <c r="CY140" i="15"/>
  <c r="CY139" i="15"/>
  <c r="CY138" i="15"/>
  <c r="CY137" i="15"/>
  <c r="CY136" i="15"/>
  <c r="CY135" i="15"/>
  <c r="CY134" i="15"/>
  <c r="CW149" i="15"/>
  <c r="CV149" i="15"/>
  <c r="CU149" i="15"/>
  <c r="CW148" i="15"/>
  <c r="CV148" i="15"/>
  <c r="CU148" i="15"/>
  <c r="CW147" i="15"/>
  <c r="CV147" i="15"/>
  <c r="CU147" i="15"/>
  <c r="CW146" i="15"/>
  <c r="CV146" i="15"/>
  <c r="CU146" i="15"/>
  <c r="CW145" i="15"/>
  <c r="CV145" i="15"/>
  <c r="CU145" i="15"/>
  <c r="CW144" i="15"/>
  <c r="CV144" i="15"/>
  <c r="CU144" i="15"/>
  <c r="CW143" i="15"/>
  <c r="CV143" i="15"/>
  <c r="CU143" i="15"/>
  <c r="CW142" i="15"/>
  <c r="CV142" i="15"/>
  <c r="CU142" i="15"/>
  <c r="CW141" i="15"/>
  <c r="CV141" i="15"/>
  <c r="CU141" i="15"/>
  <c r="CW140" i="15"/>
  <c r="CV140" i="15"/>
  <c r="CU140" i="15"/>
  <c r="CW139" i="15"/>
  <c r="CV139" i="15"/>
  <c r="CU139" i="15"/>
  <c r="CW138" i="15"/>
  <c r="CV138" i="15"/>
  <c r="CU138" i="15"/>
  <c r="CW137" i="15"/>
  <c r="CV137" i="15"/>
  <c r="CU137" i="15"/>
  <c r="CW136" i="15"/>
  <c r="CV136" i="15"/>
  <c r="CU136" i="15"/>
  <c r="CW135" i="15"/>
  <c r="CV135" i="15"/>
  <c r="CU135" i="15"/>
  <c r="CW134" i="15"/>
  <c r="CV134" i="15"/>
  <c r="CU134" i="15"/>
  <c r="CD149" i="15"/>
  <c r="CD148" i="15"/>
  <c r="CD147" i="15"/>
  <c r="CD146" i="15"/>
  <c r="CD145" i="15"/>
  <c r="CD144" i="15"/>
  <c r="CD143" i="15"/>
  <c r="CD142" i="15"/>
  <c r="CD141" i="15"/>
  <c r="CD140" i="15"/>
  <c r="CD139" i="15"/>
  <c r="CD138" i="15"/>
  <c r="CD137" i="15"/>
  <c r="CD136" i="15"/>
  <c r="CD135" i="15"/>
  <c r="CD134" i="15"/>
  <c r="CA149" i="15"/>
  <c r="CA148" i="15"/>
  <c r="CA147" i="15"/>
  <c r="CA146" i="15"/>
  <c r="CA145" i="15"/>
  <c r="CA144" i="15"/>
  <c r="CA143" i="15"/>
  <c r="CA142" i="15"/>
  <c r="CA141" i="15"/>
  <c r="CA140" i="15"/>
  <c r="CA139" i="15"/>
  <c r="CA138" i="15"/>
  <c r="CA137" i="15"/>
  <c r="CA136" i="15"/>
  <c r="CA135" i="15"/>
  <c r="CA134" i="15"/>
  <c r="BY149" i="15"/>
  <c r="BX149" i="15"/>
  <c r="BW149" i="15"/>
  <c r="BY148" i="15"/>
  <c r="BX148" i="15"/>
  <c r="BW148" i="15"/>
  <c r="BY147" i="15"/>
  <c r="BX147" i="15"/>
  <c r="BW147" i="15"/>
  <c r="BY146" i="15"/>
  <c r="BX146" i="15"/>
  <c r="BW146" i="15"/>
  <c r="BY145" i="15"/>
  <c r="BX145" i="15"/>
  <c r="BW145" i="15"/>
  <c r="BY144" i="15"/>
  <c r="BX144" i="15"/>
  <c r="BW144" i="15"/>
  <c r="BY143" i="15"/>
  <c r="BX143" i="15"/>
  <c r="BW143" i="15"/>
  <c r="BY142" i="15"/>
  <c r="BX142" i="15"/>
  <c r="BW142" i="15"/>
  <c r="BY141" i="15"/>
  <c r="BX141" i="15"/>
  <c r="BW141" i="15"/>
  <c r="BY140" i="15"/>
  <c r="BX140" i="15"/>
  <c r="BW140" i="15"/>
  <c r="BY139" i="15"/>
  <c r="BX139" i="15"/>
  <c r="BW139" i="15"/>
  <c r="BY138" i="15"/>
  <c r="BX138" i="15"/>
  <c r="BW138" i="15"/>
  <c r="BY137" i="15"/>
  <c r="BX137" i="15"/>
  <c r="BW137" i="15"/>
  <c r="BY136" i="15"/>
  <c r="BX136" i="15"/>
  <c r="BW136" i="15"/>
  <c r="BY135" i="15"/>
  <c r="BX135" i="15"/>
  <c r="BW135" i="15"/>
  <c r="BY134" i="15"/>
  <c r="BX134" i="15"/>
  <c r="BW134" i="15"/>
  <c r="BR149" i="15"/>
  <c r="BR148" i="15"/>
  <c r="BR147" i="15"/>
  <c r="BR146" i="15"/>
  <c r="BR145" i="15"/>
  <c r="BR144" i="15"/>
  <c r="BR143" i="15"/>
  <c r="BR142" i="15"/>
  <c r="BR141" i="15"/>
  <c r="BR140" i="15"/>
  <c r="BR139" i="15"/>
  <c r="BR138" i="15"/>
  <c r="BR137" i="15"/>
  <c r="BR136" i="15"/>
  <c r="BR135" i="15"/>
  <c r="BR134" i="15"/>
  <c r="BO149" i="15"/>
  <c r="BO148" i="15"/>
  <c r="BO147" i="15"/>
  <c r="BO146" i="15"/>
  <c r="BO145" i="15"/>
  <c r="BO144" i="15"/>
  <c r="BO143" i="15"/>
  <c r="BO142" i="15"/>
  <c r="BO141" i="15"/>
  <c r="BO140" i="15"/>
  <c r="BO139" i="15"/>
  <c r="BO138" i="15"/>
  <c r="BO137" i="15"/>
  <c r="BO136" i="15"/>
  <c r="BO135" i="15"/>
  <c r="BO134" i="15"/>
  <c r="BM149" i="15"/>
  <c r="BL149" i="15"/>
  <c r="BK149" i="15"/>
  <c r="BM148" i="15"/>
  <c r="BL148" i="15"/>
  <c r="BK148" i="15"/>
  <c r="BM147" i="15"/>
  <c r="BL147" i="15"/>
  <c r="BK147" i="15"/>
  <c r="BM146" i="15"/>
  <c r="BL146" i="15"/>
  <c r="BK146" i="15"/>
  <c r="BM145" i="15"/>
  <c r="BL145" i="15"/>
  <c r="BK145" i="15"/>
  <c r="BM144" i="15"/>
  <c r="BL144" i="15"/>
  <c r="BK144" i="15"/>
  <c r="BM143" i="15"/>
  <c r="BL143" i="15"/>
  <c r="BK143" i="15"/>
  <c r="BM142" i="15"/>
  <c r="BL142" i="15"/>
  <c r="BK142" i="15"/>
  <c r="BM141" i="15"/>
  <c r="BL141" i="15"/>
  <c r="BK141" i="15"/>
  <c r="BM140" i="15"/>
  <c r="BL140" i="15"/>
  <c r="BK140" i="15"/>
  <c r="BM139" i="15"/>
  <c r="BL139" i="15"/>
  <c r="BK139" i="15"/>
  <c r="BM138" i="15"/>
  <c r="BL138" i="15"/>
  <c r="BK138" i="15"/>
  <c r="BM137" i="15"/>
  <c r="BL137" i="15"/>
  <c r="BK137" i="15"/>
  <c r="BM136" i="15"/>
  <c r="BL136" i="15"/>
  <c r="BK136" i="15"/>
  <c r="BM135" i="15"/>
  <c r="BL135" i="15"/>
  <c r="BK135" i="15"/>
  <c r="BM134" i="15"/>
  <c r="BL134" i="15"/>
  <c r="BK134" i="15"/>
  <c r="BF149" i="15"/>
  <c r="BF148" i="15"/>
  <c r="BF147" i="15"/>
  <c r="BF146" i="15"/>
  <c r="BF145" i="15"/>
  <c r="BF144" i="15"/>
  <c r="BF143" i="15"/>
  <c r="BF142" i="15"/>
  <c r="BF141" i="15"/>
  <c r="BF140" i="15"/>
  <c r="BF139" i="15"/>
  <c r="BF138" i="15"/>
  <c r="BF137" i="15"/>
  <c r="BF136" i="15"/>
  <c r="BF135" i="15"/>
  <c r="BF134" i="15"/>
  <c r="BC149" i="15"/>
  <c r="BC148" i="15"/>
  <c r="BC147" i="15"/>
  <c r="BC146" i="15"/>
  <c r="BC145" i="15"/>
  <c r="BC144" i="15"/>
  <c r="BC143" i="15"/>
  <c r="BC142" i="15"/>
  <c r="BC141" i="15"/>
  <c r="BC140" i="15"/>
  <c r="BC139" i="15"/>
  <c r="BC138" i="15"/>
  <c r="BC137" i="15"/>
  <c r="BC136" i="15"/>
  <c r="BC135" i="15"/>
  <c r="BC134" i="15"/>
  <c r="BA149" i="15"/>
  <c r="AZ149" i="15"/>
  <c r="AY149" i="15"/>
  <c r="BA148" i="15"/>
  <c r="AZ148" i="15"/>
  <c r="AY148" i="15"/>
  <c r="BA147" i="15"/>
  <c r="AZ147" i="15"/>
  <c r="AY147" i="15"/>
  <c r="BA146" i="15"/>
  <c r="AZ146" i="15"/>
  <c r="AY146" i="15"/>
  <c r="BA145" i="15"/>
  <c r="AZ145" i="15"/>
  <c r="AY145" i="15"/>
  <c r="BA144" i="15"/>
  <c r="AZ144" i="15"/>
  <c r="AY144" i="15"/>
  <c r="BA143" i="15"/>
  <c r="AZ143" i="15"/>
  <c r="AY143" i="15"/>
  <c r="BA142" i="15"/>
  <c r="AZ142" i="15"/>
  <c r="AY142" i="15"/>
  <c r="BA141" i="15"/>
  <c r="AZ141" i="15"/>
  <c r="AY141" i="15"/>
  <c r="BA140" i="15"/>
  <c r="AZ140" i="15"/>
  <c r="AY140" i="15"/>
  <c r="BA139" i="15"/>
  <c r="AZ139" i="15"/>
  <c r="AY139" i="15"/>
  <c r="BA138" i="15"/>
  <c r="AZ138" i="15"/>
  <c r="AY138" i="15"/>
  <c r="BA137" i="15"/>
  <c r="AZ137" i="15"/>
  <c r="AY137" i="15"/>
  <c r="BA136" i="15"/>
  <c r="AZ136" i="15"/>
  <c r="AY136" i="15"/>
  <c r="BA135" i="15"/>
  <c r="AZ135" i="15"/>
  <c r="AY135" i="15"/>
  <c r="BA134" i="15"/>
  <c r="AZ134" i="15"/>
  <c r="AY134" i="15"/>
  <c r="AT149" i="15"/>
  <c r="AT148" i="15"/>
  <c r="AT147" i="15"/>
  <c r="AT146" i="15"/>
  <c r="AT145" i="15"/>
  <c r="AT144" i="15"/>
  <c r="AT143" i="15"/>
  <c r="AT142" i="15"/>
  <c r="AT141" i="15"/>
  <c r="AT140" i="15"/>
  <c r="AT139" i="15"/>
  <c r="AT138" i="15"/>
  <c r="AT137" i="15"/>
  <c r="AT136" i="15"/>
  <c r="AT135" i="15"/>
  <c r="AT134" i="15"/>
  <c r="AQ149" i="15"/>
  <c r="AQ148" i="15"/>
  <c r="AQ147" i="15"/>
  <c r="AQ146" i="15"/>
  <c r="AQ145" i="15"/>
  <c r="AQ144" i="15"/>
  <c r="AQ143" i="15"/>
  <c r="AQ142" i="15"/>
  <c r="AQ141" i="15"/>
  <c r="AQ140" i="15"/>
  <c r="AQ139" i="15"/>
  <c r="AQ138" i="15"/>
  <c r="AQ137" i="15"/>
  <c r="AQ136" i="15"/>
  <c r="AQ135" i="15"/>
  <c r="AQ134" i="15"/>
  <c r="AO149" i="15"/>
  <c r="AN149" i="15"/>
  <c r="AM149" i="15"/>
  <c r="AO148" i="15"/>
  <c r="AN148" i="15"/>
  <c r="AM148" i="15"/>
  <c r="AO147" i="15"/>
  <c r="AN147" i="15"/>
  <c r="AM147" i="15"/>
  <c r="AO146" i="15"/>
  <c r="AN146" i="15"/>
  <c r="AM146" i="15"/>
  <c r="AO145" i="15"/>
  <c r="AN145" i="15"/>
  <c r="AM145" i="15"/>
  <c r="AO144" i="15"/>
  <c r="AN144" i="15"/>
  <c r="AM144" i="15"/>
  <c r="AO143" i="15"/>
  <c r="AN143" i="15"/>
  <c r="AM143" i="15"/>
  <c r="AO142" i="15"/>
  <c r="AN142" i="15"/>
  <c r="AM142" i="15"/>
  <c r="AO141" i="15"/>
  <c r="AN141" i="15"/>
  <c r="AM141" i="15"/>
  <c r="AO140" i="15"/>
  <c r="AN140" i="15"/>
  <c r="AM140" i="15"/>
  <c r="AO139" i="15"/>
  <c r="AN139" i="15"/>
  <c r="AM139" i="15"/>
  <c r="AO138" i="15"/>
  <c r="AN138" i="15"/>
  <c r="AM138" i="15"/>
  <c r="AO137" i="15"/>
  <c r="AN137" i="15"/>
  <c r="AM137" i="15"/>
  <c r="AO136" i="15"/>
  <c r="AN136" i="15"/>
  <c r="AM136" i="15"/>
  <c r="AO135" i="15"/>
  <c r="AN135" i="15"/>
  <c r="AM135" i="15"/>
  <c r="AO134" i="15"/>
  <c r="AN134" i="15"/>
  <c r="AM134" i="15"/>
  <c r="S135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S172" i="15"/>
  <c r="S171" i="15"/>
  <c r="S170" i="15"/>
  <c r="S169" i="15"/>
  <c r="S168" i="15"/>
  <c r="S167" i="15"/>
  <c r="S166" i="15"/>
  <c r="S165" i="15"/>
  <c r="S164" i="15"/>
  <c r="S163" i="15"/>
  <c r="S162" i="15"/>
  <c r="S161" i="15"/>
  <c r="S160" i="15"/>
  <c r="S159" i="15"/>
  <c r="S158" i="15"/>
  <c r="S157" i="15"/>
  <c r="S156" i="15"/>
  <c r="S155" i="15"/>
  <c r="S154" i="15"/>
  <c r="S153" i="15"/>
  <c r="S152" i="15"/>
  <c r="S151" i="15"/>
  <c r="S150" i="15"/>
  <c r="S149" i="15"/>
  <c r="S148" i="15"/>
  <c r="S147" i="15"/>
  <c r="S146" i="15"/>
  <c r="S145" i="15"/>
  <c r="S144" i="15"/>
  <c r="S143" i="15"/>
  <c r="S142" i="15"/>
  <c r="S141" i="15"/>
  <c r="S140" i="15"/>
  <c r="S139" i="15"/>
  <c r="S138" i="15"/>
  <c r="S137" i="15"/>
  <c r="S136" i="15"/>
  <c r="S134" i="15"/>
  <c r="Q149" i="15"/>
  <c r="P149" i="15"/>
  <c r="O149" i="15"/>
  <c r="Q148" i="15"/>
  <c r="P148" i="15"/>
  <c r="O148" i="15"/>
  <c r="Q147" i="15"/>
  <c r="P147" i="15"/>
  <c r="O147" i="15"/>
  <c r="Q146" i="15"/>
  <c r="P146" i="15"/>
  <c r="O146" i="15"/>
  <c r="Q145" i="15"/>
  <c r="P145" i="15"/>
  <c r="O145" i="15"/>
  <c r="Q144" i="15"/>
  <c r="P144" i="15"/>
  <c r="O144" i="15"/>
  <c r="Q143" i="15"/>
  <c r="P143" i="15"/>
  <c r="O143" i="15"/>
  <c r="Q142" i="15"/>
  <c r="P142" i="15"/>
  <c r="O142" i="15"/>
  <c r="Q141" i="15"/>
  <c r="P141" i="15"/>
  <c r="O141" i="15"/>
  <c r="Q140" i="15"/>
  <c r="P140" i="15"/>
  <c r="O140" i="15"/>
  <c r="Q139" i="15"/>
  <c r="P139" i="15"/>
  <c r="O139" i="15"/>
  <c r="Q138" i="15"/>
  <c r="P138" i="15"/>
  <c r="O138" i="15"/>
  <c r="Q137" i="15"/>
  <c r="P137" i="15"/>
  <c r="O137" i="15"/>
  <c r="Q136" i="15"/>
  <c r="P136" i="15"/>
  <c r="O136" i="15"/>
  <c r="Q135" i="15"/>
  <c r="P135" i="15"/>
  <c r="O135" i="15"/>
  <c r="Q134" i="15"/>
  <c r="P134" i="15"/>
  <c r="O134" i="15"/>
  <c r="AH149" i="15"/>
  <c r="AH148" i="15"/>
  <c r="AH147" i="15"/>
  <c r="AH146" i="15"/>
  <c r="AH145" i="15"/>
  <c r="AH144" i="15"/>
  <c r="AH143" i="15"/>
  <c r="AH142" i="15"/>
  <c r="AH141" i="15"/>
  <c r="AH140" i="15"/>
  <c r="AH139" i="15"/>
  <c r="AH138" i="15"/>
  <c r="AH137" i="15"/>
  <c r="AH136" i="15"/>
  <c r="AH135" i="15"/>
  <c r="AH134" i="15"/>
  <c r="AC149" i="15"/>
  <c r="AB149" i="15"/>
  <c r="AA149" i="15"/>
  <c r="AC148" i="15"/>
  <c r="AB148" i="15"/>
  <c r="AA148" i="15"/>
  <c r="AC147" i="15"/>
  <c r="AB147" i="15"/>
  <c r="AA147" i="15"/>
  <c r="AC146" i="15"/>
  <c r="AB146" i="15"/>
  <c r="AA146" i="15"/>
  <c r="AC145" i="15"/>
  <c r="AB145" i="15"/>
  <c r="AA145" i="15"/>
  <c r="AC144" i="15"/>
  <c r="AB144" i="15"/>
  <c r="AA144" i="15"/>
  <c r="AC143" i="15"/>
  <c r="AB143" i="15"/>
  <c r="AA143" i="15"/>
  <c r="AC142" i="15"/>
  <c r="AB142" i="15"/>
  <c r="AA142" i="15"/>
  <c r="AC141" i="15"/>
  <c r="AB141" i="15"/>
  <c r="AA141" i="15"/>
  <c r="AC140" i="15"/>
  <c r="AB140" i="15"/>
  <c r="AA140" i="15"/>
  <c r="AC139" i="15"/>
  <c r="AB139" i="15"/>
  <c r="AA139" i="15"/>
  <c r="AC138" i="15"/>
  <c r="AB138" i="15"/>
  <c r="AA138" i="15"/>
  <c r="AC137" i="15"/>
  <c r="AB137" i="15"/>
  <c r="AA137" i="15"/>
  <c r="AC136" i="15"/>
  <c r="AB136" i="15"/>
  <c r="AA136" i="15"/>
  <c r="AC135" i="15"/>
  <c r="AB135" i="15"/>
  <c r="AA135" i="15"/>
  <c r="AC134" i="15"/>
  <c r="AB134" i="15"/>
  <c r="AA134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H171" i="15"/>
  <c r="AC171" i="15"/>
  <c r="AB171" i="15"/>
  <c r="AA171" i="15"/>
  <c r="AH170" i="15"/>
  <c r="AC170" i="15"/>
  <c r="AB170" i="15"/>
  <c r="AA170" i="15"/>
  <c r="AH169" i="15"/>
  <c r="AC169" i="15"/>
  <c r="AB169" i="15"/>
  <c r="AA169" i="15"/>
  <c r="AH168" i="15"/>
  <c r="AC168" i="15"/>
  <c r="AB168" i="15"/>
  <c r="AA168" i="15"/>
  <c r="AH167" i="15"/>
  <c r="AC167" i="15"/>
  <c r="AB167" i="15"/>
  <c r="AA167" i="15"/>
  <c r="AH166" i="15"/>
  <c r="AC166" i="15"/>
  <c r="AB166" i="15"/>
  <c r="AA166" i="15"/>
  <c r="AH165" i="15"/>
  <c r="AC165" i="15"/>
  <c r="AB165" i="15"/>
  <c r="AA165" i="15"/>
  <c r="AH164" i="15"/>
  <c r="AC164" i="15"/>
  <c r="AB164" i="15"/>
  <c r="AA164" i="15"/>
  <c r="AH163" i="15"/>
  <c r="AC163" i="15"/>
  <c r="AB163" i="15"/>
  <c r="AA163" i="15"/>
  <c r="AH162" i="15"/>
  <c r="AC162" i="15"/>
  <c r="AB162" i="15"/>
  <c r="AA162" i="15"/>
  <c r="AH161" i="15"/>
  <c r="AC161" i="15"/>
  <c r="AB161" i="15"/>
  <c r="AA161" i="15"/>
  <c r="AH160" i="15"/>
  <c r="AC160" i="15"/>
  <c r="AB160" i="15"/>
  <c r="AA160" i="15"/>
  <c r="AH159" i="15"/>
  <c r="AC159" i="15"/>
  <c r="AB159" i="15"/>
  <c r="AA159" i="15"/>
  <c r="AH158" i="15"/>
  <c r="AC158" i="15"/>
  <c r="AB158" i="15"/>
  <c r="AA158" i="15"/>
  <c r="AH157" i="15"/>
  <c r="AC157" i="15"/>
  <c r="AB157" i="15"/>
  <c r="AA157" i="15"/>
  <c r="AH156" i="15"/>
  <c r="AC156" i="15"/>
  <c r="AB156" i="15"/>
  <c r="AA156" i="15"/>
  <c r="AH155" i="15"/>
  <c r="AC155" i="15"/>
  <c r="AB155" i="15"/>
  <c r="AA155" i="15"/>
  <c r="AH154" i="15"/>
  <c r="AC154" i="15"/>
  <c r="AB154" i="15"/>
  <c r="AA154" i="15"/>
  <c r="AH153" i="15"/>
  <c r="AC153" i="15"/>
  <c r="AB153" i="15"/>
  <c r="AA153" i="15"/>
  <c r="AH152" i="15"/>
  <c r="AC152" i="15"/>
  <c r="AB152" i="15"/>
  <c r="AA152" i="15"/>
  <c r="AH151" i="15"/>
  <c r="AC151" i="15"/>
  <c r="AB151" i="15"/>
  <c r="AA151" i="15"/>
  <c r="AH150" i="15"/>
  <c r="AC150" i="15"/>
  <c r="AB150" i="15"/>
  <c r="AA150" i="15"/>
  <c r="I350" i="13"/>
  <c r="H350" i="13"/>
  <c r="K350" i="13"/>
  <c r="G135" i="17" l="1"/>
  <c r="G139" i="17"/>
  <c r="J137" i="17"/>
  <c r="J135" i="17"/>
  <c r="J136" i="17"/>
  <c r="G137" i="17"/>
  <c r="G136" i="17"/>
  <c r="G135" i="16"/>
  <c r="G139" i="16"/>
  <c r="J135" i="16"/>
  <c r="J139" i="16"/>
  <c r="G137" i="16"/>
  <c r="G134" i="17"/>
  <c r="G138" i="17"/>
  <c r="J139" i="17"/>
  <c r="J136" i="16"/>
  <c r="G136" i="16"/>
  <c r="G138" i="16"/>
  <c r="G134" i="16"/>
  <c r="J137" i="16"/>
  <c r="J134" i="17"/>
  <c r="J138" i="17"/>
  <c r="J134" i="16"/>
  <c r="J138" i="16"/>
  <c r="D350" i="13"/>
  <c r="I350" i="1" l="1"/>
  <c r="H350" i="1"/>
  <c r="F350" i="1"/>
  <c r="K350" i="1"/>
  <c r="D350" i="1" l="1"/>
  <c r="E350" i="1"/>
  <c r="C350" i="1"/>
  <c r="K350" i="14" l="1"/>
  <c r="I350" i="12" l="1"/>
  <c r="H350" i="12"/>
  <c r="F350" i="12"/>
  <c r="K350" i="12"/>
  <c r="E350" i="12" l="1"/>
  <c r="D350" i="12"/>
  <c r="C350" i="12"/>
  <c r="K350" i="15"/>
  <c r="K350" i="17" l="1"/>
  <c r="K350" i="16"/>
  <c r="K350" i="87" l="1"/>
  <c r="I148" i="14"/>
  <c r="H148" i="14"/>
  <c r="F148" i="14"/>
  <c r="I147" i="14"/>
  <c r="H147" i="14"/>
  <c r="F147" i="14"/>
  <c r="I146" i="14"/>
  <c r="H146" i="14"/>
  <c r="F146" i="14"/>
  <c r="I145" i="14"/>
  <c r="H145" i="14"/>
  <c r="F145" i="14"/>
  <c r="I144" i="14"/>
  <c r="H144" i="14"/>
  <c r="F144" i="14"/>
  <c r="I143" i="14"/>
  <c r="H143" i="14"/>
  <c r="F143" i="14"/>
  <c r="I142" i="14"/>
  <c r="H142" i="14"/>
  <c r="F142" i="14"/>
  <c r="I141" i="14"/>
  <c r="H141" i="14"/>
  <c r="F141" i="14"/>
  <c r="I140" i="14"/>
  <c r="H140" i="14"/>
  <c r="F140" i="14"/>
  <c r="I139" i="14"/>
  <c r="H139" i="14"/>
  <c r="F139" i="14"/>
  <c r="I138" i="14"/>
  <c r="H138" i="14"/>
  <c r="F138" i="14"/>
  <c r="I137" i="14"/>
  <c r="H137" i="14"/>
  <c r="F137" i="14"/>
  <c r="I136" i="14"/>
  <c r="H136" i="14"/>
  <c r="F136" i="14"/>
  <c r="I135" i="14"/>
  <c r="H135" i="14"/>
  <c r="F135" i="14"/>
  <c r="I134" i="14"/>
  <c r="H134" i="14"/>
  <c r="F134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O148" i="14"/>
  <c r="AN148" i="14"/>
  <c r="AM148" i="14"/>
  <c r="AO147" i="14"/>
  <c r="AN147" i="14"/>
  <c r="AM147" i="14"/>
  <c r="AO146" i="14"/>
  <c r="AN146" i="14"/>
  <c r="AM146" i="14"/>
  <c r="AO145" i="14"/>
  <c r="AN145" i="14"/>
  <c r="AM145" i="14"/>
  <c r="AO144" i="14"/>
  <c r="AN144" i="14"/>
  <c r="AM144" i="14"/>
  <c r="AO143" i="14"/>
  <c r="AN143" i="14"/>
  <c r="AM143" i="14"/>
  <c r="AO142" i="14"/>
  <c r="AN142" i="14"/>
  <c r="AM142" i="14"/>
  <c r="AO141" i="14"/>
  <c r="AN141" i="14"/>
  <c r="AM141" i="14"/>
  <c r="AO140" i="14"/>
  <c r="AN140" i="14"/>
  <c r="AM140" i="14"/>
  <c r="AO139" i="14"/>
  <c r="AN139" i="14"/>
  <c r="AM139" i="14"/>
  <c r="AO138" i="14"/>
  <c r="AN138" i="14"/>
  <c r="AM138" i="14"/>
  <c r="AO137" i="14"/>
  <c r="AN137" i="14"/>
  <c r="AM137" i="14"/>
  <c r="AO136" i="14"/>
  <c r="AN136" i="14"/>
  <c r="AM136" i="14"/>
  <c r="AO135" i="14"/>
  <c r="AN135" i="14"/>
  <c r="AM135" i="14"/>
  <c r="AO134" i="14"/>
  <c r="AN134" i="14"/>
  <c r="AM134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C148" i="14"/>
  <c r="AB148" i="14"/>
  <c r="AA148" i="14"/>
  <c r="AC147" i="14"/>
  <c r="AB147" i="14"/>
  <c r="AA147" i="14"/>
  <c r="AC146" i="14"/>
  <c r="AB146" i="14"/>
  <c r="AA146" i="14"/>
  <c r="AC145" i="14"/>
  <c r="AB145" i="14"/>
  <c r="AA145" i="14"/>
  <c r="AC144" i="14"/>
  <c r="AB144" i="14"/>
  <c r="AA144" i="14"/>
  <c r="AC143" i="14"/>
  <c r="AB143" i="14"/>
  <c r="AA143" i="14"/>
  <c r="AC142" i="14"/>
  <c r="AB142" i="14"/>
  <c r="AA142" i="14"/>
  <c r="AC141" i="14"/>
  <c r="AB141" i="14"/>
  <c r="AA141" i="14"/>
  <c r="AC140" i="14"/>
  <c r="AB140" i="14"/>
  <c r="AA140" i="14"/>
  <c r="AC139" i="14"/>
  <c r="AB139" i="14"/>
  <c r="AA139" i="14"/>
  <c r="AC138" i="14"/>
  <c r="AB138" i="14"/>
  <c r="AA138" i="14"/>
  <c r="AC137" i="14"/>
  <c r="AB137" i="14"/>
  <c r="AA137" i="14"/>
  <c r="AC136" i="14"/>
  <c r="AB136" i="14"/>
  <c r="AA136" i="14"/>
  <c r="AC135" i="14"/>
  <c r="AB135" i="14"/>
  <c r="AA135" i="14"/>
  <c r="AC134" i="14"/>
  <c r="AB134" i="14"/>
  <c r="AA134" i="14"/>
  <c r="Q148" i="14"/>
  <c r="P148" i="14"/>
  <c r="O148" i="14"/>
  <c r="Q147" i="14"/>
  <c r="P147" i="14"/>
  <c r="O147" i="14"/>
  <c r="Q146" i="14"/>
  <c r="P146" i="14"/>
  <c r="O146" i="14"/>
  <c r="Q145" i="14"/>
  <c r="P145" i="14"/>
  <c r="O145" i="14"/>
  <c r="Q144" i="14"/>
  <c r="P144" i="14"/>
  <c r="O144" i="14"/>
  <c r="Q143" i="14"/>
  <c r="P143" i="14"/>
  <c r="O143" i="14"/>
  <c r="Q142" i="14"/>
  <c r="P142" i="14"/>
  <c r="O142" i="14"/>
  <c r="Q141" i="14"/>
  <c r="P141" i="14"/>
  <c r="O141" i="14"/>
  <c r="Q140" i="14"/>
  <c r="P140" i="14"/>
  <c r="O140" i="14"/>
  <c r="Q139" i="14"/>
  <c r="P139" i="14"/>
  <c r="O139" i="14"/>
  <c r="Q138" i="14"/>
  <c r="P138" i="14"/>
  <c r="O138" i="14"/>
  <c r="Q137" i="14"/>
  <c r="P137" i="14"/>
  <c r="O137" i="14"/>
  <c r="Q136" i="14"/>
  <c r="P136" i="14"/>
  <c r="O136" i="14"/>
  <c r="Q135" i="14"/>
  <c r="P135" i="14"/>
  <c r="O135" i="14"/>
  <c r="Q134" i="14"/>
  <c r="P134" i="14"/>
  <c r="O134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J145" i="14" l="1"/>
  <c r="G148" i="14"/>
  <c r="J144" i="14"/>
  <c r="G141" i="14"/>
  <c r="G136" i="14"/>
  <c r="J137" i="14"/>
  <c r="G140" i="14"/>
  <c r="G144" i="14"/>
  <c r="G145" i="14"/>
  <c r="G146" i="14"/>
  <c r="J148" i="14"/>
  <c r="J136" i="14"/>
  <c r="J146" i="14"/>
  <c r="G134" i="14"/>
  <c r="G135" i="14"/>
  <c r="J141" i="14"/>
  <c r="J138" i="14"/>
  <c r="J140" i="14"/>
  <c r="G142" i="14"/>
  <c r="J134" i="14"/>
  <c r="G147" i="14"/>
  <c r="G143" i="14"/>
  <c r="G137" i="14"/>
  <c r="G138" i="14"/>
  <c r="G139" i="14"/>
  <c r="J142" i="14"/>
  <c r="J135" i="14"/>
  <c r="J139" i="14"/>
  <c r="J143" i="14"/>
  <c r="J147" i="14"/>
  <c r="H337" i="16" l="1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D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E6" i="13"/>
  <c r="D6" i="13"/>
  <c r="C6" i="13"/>
  <c r="C341" i="96"/>
  <c r="D341" i="96"/>
  <c r="E341" i="96"/>
  <c r="G341" i="96"/>
  <c r="J341" i="96"/>
  <c r="C340" i="96"/>
  <c r="D340" i="96"/>
  <c r="E340" i="96"/>
  <c r="G340" i="96"/>
  <c r="J340" i="96"/>
  <c r="F340" i="14"/>
  <c r="H340" i="14"/>
  <c r="I340" i="14"/>
  <c r="F341" i="14"/>
  <c r="H341" i="14"/>
  <c r="I341" i="14"/>
  <c r="AA341" i="14"/>
  <c r="AB341" i="14"/>
  <c r="AC341" i="14"/>
  <c r="AE341" i="14"/>
  <c r="AH341" i="14"/>
  <c r="AA340" i="14"/>
  <c r="AB340" i="14"/>
  <c r="AC340" i="14"/>
  <c r="AE340" i="14"/>
  <c r="AH340" i="14"/>
  <c r="S340" i="14"/>
  <c r="S341" i="14"/>
  <c r="O341" i="14"/>
  <c r="P341" i="14"/>
  <c r="Q341" i="14"/>
  <c r="V341" i="14"/>
  <c r="G341" i="13"/>
  <c r="J341" i="13"/>
  <c r="G340" i="13"/>
  <c r="J340" i="13"/>
  <c r="C341" i="12"/>
  <c r="D341" i="12"/>
  <c r="E341" i="12"/>
  <c r="J341" i="12"/>
  <c r="C340" i="12"/>
  <c r="D340" i="12"/>
  <c r="E340" i="12"/>
  <c r="G340" i="12"/>
  <c r="J340" i="12"/>
  <c r="CY327" i="15"/>
  <c r="DB327" i="15"/>
  <c r="DK340" i="15"/>
  <c r="DW341" i="15"/>
  <c r="DS341" i="15"/>
  <c r="DT341" i="15"/>
  <c r="DU341" i="15"/>
  <c r="DZ341" i="15"/>
  <c r="DG341" i="15"/>
  <c r="DH341" i="15"/>
  <c r="DI341" i="15"/>
  <c r="DK341" i="15"/>
  <c r="DN341" i="15"/>
  <c r="CI341" i="15"/>
  <c r="CJ341" i="15"/>
  <c r="CK341" i="15"/>
  <c r="CM341" i="15"/>
  <c r="CP341" i="15"/>
  <c r="CI340" i="15"/>
  <c r="CJ340" i="15"/>
  <c r="CK340" i="15"/>
  <c r="CM340" i="15"/>
  <c r="CP340" i="15"/>
  <c r="BW341" i="15"/>
  <c r="BX341" i="15"/>
  <c r="BY341" i="15"/>
  <c r="CA341" i="15"/>
  <c r="CD341" i="15"/>
  <c r="BW340" i="15"/>
  <c r="BX340" i="15"/>
  <c r="BY340" i="15"/>
  <c r="CA340" i="15"/>
  <c r="CD340" i="15"/>
  <c r="BK341" i="15"/>
  <c r="BL341" i="15"/>
  <c r="BM341" i="15"/>
  <c r="BO341" i="15"/>
  <c r="BR341" i="15"/>
  <c r="BK340" i="15"/>
  <c r="BL340" i="15"/>
  <c r="BM340" i="15"/>
  <c r="BO340" i="15"/>
  <c r="BR340" i="15"/>
  <c r="AY341" i="15"/>
  <c r="AZ341" i="15"/>
  <c r="BA341" i="15"/>
  <c r="BC341" i="15"/>
  <c r="BF341" i="15"/>
  <c r="AY340" i="15"/>
  <c r="AZ340" i="15"/>
  <c r="BA340" i="15"/>
  <c r="BC340" i="15"/>
  <c r="BF340" i="15"/>
  <c r="AM341" i="15"/>
  <c r="AN341" i="15"/>
  <c r="AO341" i="15"/>
  <c r="AQ341" i="15"/>
  <c r="AT341" i="15"/>
  <c r="AM340" i="15"/>
  <c r="AN340" i="15"/>
  <c r="AO340" i="15"/>
  <c r="AQ340" i="15"/>
  <c r="AT340" i="15"/>
  <c r="O341" i="15"/>
  <c r="P341" i="15"/>
  <c r="Q341" i="15"/>
  <c r="S341" i="15"/>
  <c r="V341" i="15"/>
  <c r="O340" i="15"/>
  <c r="P340" i="15"/>
  <c r="Q340" i="15"/>
  <c r="S340" i="15"/>
  <c r="V340" i="15"/>
  <c r="C341" i="1"/>
  <c r="D341" i="1"/>
  <c r="E341" i="1"/>
  <c r="G341" i="1"/>
  <c r="J341" i="1"/>
  <c r="C340" i="1"/>
  <c r="D340" i="1"/>
  <c r="E340" i="1"/>
  <c r="G340" i="1"/>
  <c r="J340" i="1"/>
  <c r="F340" i="17"/>
  <c r="F341" i="17"/>
  <c r="H340" i="17"/>
  <c r="H341" i="17"/>
  <c r="I340" i="17"/>
  <c r="C340" i="17" s="1"/>
  <c r="I341" i="17"/>
  <c r="O341" i="17"/>
  <c r="P341" i="17"/>
  <c r="Q341" i="17"/>
  <c r="S341" i="17"/>
  <c r="V341" i="17"/>
  <c r="AA341" i="17"/>
  <c r="AB341" i="17"/>
  <c r="AC341" i="17"/>
  <c r="AE341" i="17"/>
  <c r="AH341" i="17"/>
  <c r="AM341" i="17"/>
  <c r="AN341" i="17"/>
  <c r="AO341" i="17"/>
  <c r="AQ341" i="17"/>
  <c r="AT341" i="17"/>
  <c r="AM340" i="17"/>
  <c r="AN340" i="17"/>
  <c r="AO340" i="17"/>
  <c r="AQ340" i="17"/>
  <c r="AT340" i="17"/>
  <c r="AA340" i="17"/>
  <c r="AB340" i="17"/>
  <c r="AC340" i="17"/>
  <c r="AE340" i="17"/>
  <c r="AH340" i="17"/>
  <c r="O340" i="17"/>
  <c r="P340" i="17"/>
  <c r="Q340" i="17"/>
  <c r="S340" i="17"/>
  <c r="V340" i="17"/>
  <c r="F340" i="16"/>
  <c r="F341" i="16"/>
  <c r="H340" i="16"/>
  <c r="H341" i="16"/>
  <c r="I340" i="16"/>
  <c r="C340" i="16" s="1"/>
  <c r="I341" i="16"/>
  <c r="C341" i="16" s="1"/>
  <c r="S340" i="16"/>
  <c r="AE340" i="16"/>
  <c r="AQ340" i="16"/>
  <c r="BF340" i="16"/>
  <c r="BC340" i="16"/>
  <c r="BO340" i="16"/>
  <c r="BK341" i="16"/>
  <c r="BL341" i="16"/>
  <c r="BM341" i="16"/>
  <c r="BO341" i="16"/>
  <c r="BR341" i="16"/>
  <c r="AY341" i="16"/>
  <c r="AZ341" i="16"/>
  <c r="BA341" i="16"/>
  <c r="AM341" i="16"/>
  <c r="AN341" i="16"/>
  <c r="AO341" i="16"/>
  <c r="AQ341" i="16"/>
  <c r="AT341" i="16"/>
  <c r="AA341" i="16"/>
  <c r="AB341" i="16"/>
  <c r="AC341" i="16"/>
  <c r="AE341" i="16"/>
  <c r="AH341" i="16"/>
  <c r="O341" i="16"/>
  <c r="P341" i="16"/>
  <c r="Q341" i="16"/>
  <c r="S341" i="16"/>
  <c r="V341" i="16"/>
  <c r="BK340" i="16"/>
  <c r="BL340" i="16"/>
  <c r="BM340" i="16"/>
  <c r="BR340" i="16"/>
  <c r="AY340" i="16"/>
  <c r="AZ340" i="16"/>
  <c r="BA340" i="16"/>
  <c r="AM340" i="16"/>
  <c r="AN340" i="16"/>
  <c r="AO340" i="16"/>
  <c r="AT340" i="16"/>
  <c r="AA340" i="16"/>
  <c r="AB340" i="16"/>
  <c r="AC340" i="16"/>
  <c r="AH340" i="16"/>
  <c r="O340" i="16"/>
  <c r="P340" i="16"/>
  <c r="Q340" i="16"/>
  <c r="V340" i="16"/>
  <c r="D341" i="14" l="1"/>
  <c r="E340" i="14"/>
  <c r="G341" i="17"/>
  <c r="C341" i="17"/>
  <c r="D341" i="17"/>
  <c r="E341" i="17"/>
  <c r="E340" i="17"/>
  <c r="C340" i="14"/>
  <c r="J341" i="14"/>
  <c r="C341" i="14"/>
  <c r="G341" i="14"/>
  <c r="F341" i="87"/>
  <c r="J341" i="17"/>
  <c r="D340" i="17"/>
  <c r="G340" i="16"/>
  <c r="I341" i="87"/>
  <c r="E341" i="16"/>
  <c r="H341" i="87"/>
  <c r="J340" i="16"/>
  <c r="E340" i="16"/>
  <c r="H340" i="87"/>
  <c r="J341" i="16"/>
  <c r="G341" i="16"/>
  <c r="I340" i="87"/>
  <c r="F340" i="87"/>
  <c r="J340" i="14"/>
  <c r="D340" i="14"/>
  <c r="E341" i="14"/>
  <c r="G340" i="14"/>
  <c r="J340" i="17"/>
  <c r="G340" i="17"/>
  <c r="D341" i="16"/>
  <c r="D340" i="16"/>
  <c r="O340" i="14"/>
  <c r="P340" i="14"/>
  <c r="Q340" i="14"/>
  <c r="V340" i="14"/>
  <c r="DG340" i="15"/>
  <c r="DH340" i="15"/>
  <c r="DI340" i="15"/>
  <c r="DN340" i="15"/>
  <c r="C341" i="87" l="1"/>
  <c r="C340" i="87"/>
  <c r="I339" i="14"/>
  <c r="H339" i="14"/>
  <c r="F339" i="14"/>
  <c r="C339" i="96"/>
  <c r="D339" i="96"/>
  <c r="E339" i="96"/>
  <c r="G339" i="96"/>
  <c r="J339" i="96"/>
  <c r="AA339" i="14"/>
  <c r="AB339" i="14"/>
  <c r="AC339" i="14"/>
  <c r="AE339" i="14"/>
  <c r="AH339" i="14"/>
  <c r="O339" i="14"/>
  <c r="P339" i="14"/>
  <c r="Q339" i="14"/>
  <c r="S339" i="14"/>
  <c r="V339" i="14"/>
  <c r="G339" i="13"/>
  <c r="J339" i="13"/>
  <c r="C339" i="12"/>
  <c r="D339" i="12"/>
  <c r="E339" i="12"/>
  <c r="G339" i="12"/>
  <c r="J339" i="12"/>
  <c r="DG339" i="15"/>
  <c r="DH339" i="15"/>
  <c r="DI339" i="15"/>
  <c r="DK339" i="15"/>
  <c r="DN339" i="15"/>
  <c r="CI339" i="15"/>
  <c r="CJ339" i="15"/>
  <c r="CK339" i="15"/>
  <c r="CM339" i="15"/>
  <c r="CP339" i="15"/>
  <c r="BW339" i="15"/>
  <c r="BX339" i="15"/>
  <c r="BY339" i="15"/>
  <c r="CA339" i="15"/>
  <c r="CD339" i="15"/>
  <c r="BK339" i="15"/>
  <c r="BL339" i="15"/>
  <c r="BM339" i="15"/>
  <c r="BO339" i="15"/>
  <c r="BR339" i="15"/>
  <c r="AY339" i="15"/>
  <c r="AZ339" i="15"/>
  <c r="BA339" i="15"/>
  <c r="BC339" i="15"/>
  <c r="BF339" i="15"/>
  <c r="AM339" i="15"/>
  <c r="AN339" i="15"/>
  <c r="AO339" i="15"/>
  <c r="AQ339" i="15"/>
  <c r="AT339" i="15"/>
  <c r="O339" i="15"/>
  <c r="P339" i="15"/>
  <c r="Q339" i="15"/>
  <c r="S339" i="15"/>
  <c r="V339" i="15"/>
  <c r="C339" i="1"/>
  <c r="D339" i="1"/>
  <c r="E339" i="1"/>
  <c r="G339" i="1"/>
  <c r="J339" i="1"/>
  <c r="F339" i="17"/>
  <c r="H339" i="17"/>
  <c r="I339" i="17"/>
  <c r="AM339" i="17"/>
  <c r="AN339" i="17"/>
  <c r="AO339" i="17"/>
  <c r="AQ339" i="17"/>
  <c r="AT339" i="17"/>
  <c r="AA339" i="17"/>
  <c r="AB339" i="17"/>
  <c r="AC339" i="17"/>
  <c r="AE339" i="17"/>
  <c r="AH339" i="17"/>
  <c r="O339" i="17"/>
  <c r="P339" i="17"/>
  <c r="Q339" i="17"/>
  <c r="S339" i="17"/>
  <c r="V339" i="17"/>
  <c r="F339" i="16"/>
  <c r="H339" i="16"/>
  <c r="I339" i="16"/>
  <c r="BK339" i="16"/>
  <c r="BL339" i="16"/>
  <c r="BM339" i="16"/>
  <c r="BO339" i="16"/>
  <c r="BR339" i="16"/>
  <c r="BF339" i="16"/>
  <c r="BC339" i="16"/>
  <c r="AY339" i="16"/>
  <c r="AZ339" i="16"/>
  <c r="BA339" i="16"/>
  <c r="AM339" i="16"/>
  <c r="AN339" i="16"/>
  <c r="AO339" i="16"/>
  <c r="AQ339" i="16"/>
  <c r="AT339" i="16"/>
  <c r="AA339" i="16"/>
  <c r="AB339" i="16"/>
  <c r="AC339" i="16"/>
  <c r="AE339" i="16"/>
  <c r="AH339" i="16"/>
  <c r="O339" i="16"/>
  <c r="P339" i="16"/>
  <c r="Q339" i="16"/>
  <c r="S339" i="16"/>
  <c r="V339" i="16"/>
  <c r="C338" i="96"/>
  <c r="D338" i="96"/>
  <c r="E338" i="96"/>
  <c r="G338" i="96"/>
  <c r="J338" i="96"/>
  <c r="I338" i="14"/>
  <c r="H338" i="14"/>
  <c r="F338" i="14"/>
  <c r="AA338" i="14"/>
  <c r="AB338" i="14"/>
  <c r="AC338" i="14"/>
  <c r="AE338" i="14"/>
  <c r="AH338" i="14"/>
  <c r="O338" i="14"/>
  <c r="P338" i="14"/>
  <c r="Q338" i="14"/>
  <c r="S338" i="14"/>
  <c r="V338" i="14"/>
  <c r="G338" i="13"/>
  <c r="J338" i="13"/>
  <c r="C338" i="12"/>
  <c r="D338" i="12"/>
  <c r="E338" i="12"/>
  <c r="G338" i="12"/>
  <c r="J338" i="12"/>
  <c r="DG338" i="15"/>
  <c r="DH338" i="15"/>
  <c r="DI338" i="15"/>
  <c r="DK338" i="15"/>
  <c r="DN338" i="15"/>
  <c r="CI338" i="15"/>
  <c r="CJ338" i="15"/>
  <c r="CK338" i="15"/>
  <c r="CM338" i="15"/>
  <c r="CP338" i="15"/>
  <c r="BW338" i="15"/>
  <c r="BX338" i="15"/>
  <c r="BY338" i="15"/>
  <c r="CA338" i="15"/>
  <c r="CD338" i="15"/>
  <c r="BK338" i="15"/>
  <c r="BL338" i="15"/>
  <c r="BM338" i="15"/>
  <c r="BO338" i="15"/>
  <c r="BR338" i="15"/>
  <c r="AY338" i="15"/>
  <c r="AZ338" i="15"/>
  <c r="BA338" i="15"/>
  <c r="BC338" i="15"/>
  <c r="BF338" i="15"/>
  <c r="AM338" i="15"/>
  <c r="AN338" i="15"/>
  <c r="AO338" i="15"/>
  <c r="AQ338" i="15"/>
  <c r="AT338" i="15"/>
  <c r="O338" i="15"/>
  <c r="P338" i="15"/>
  <c r="Q338" i="15"/>
  <c r="S338" i="15"/>
  <c r="V338" i="15"/>
  <c r="C338" i="1"/>
  <c r="D338" i="1"/>
  <c r="E338" i="1"/>
  <c r="G338" i="1"/>
  <c r="J338" i="1"/>
  <c r="F338" i="17"/>
  <c r="H338" i="17"/>
  <c r="I338" i="17"/>
  <c r="AM338" i="17"/>
  <c r="AN338" i="17"/>
  <c r="AO338" i="17"/>
  <c r="AQ338" i="17"/>
  <c r="AT338" i="17"/>
  <c r="AA338" i="17"/>
  <c r="AB338" i="17"/>
  <c r="AC338" i="17"/>
  <c r="AE338" i="17"/>
  <c r="AH338" i="17"/>
  <c r="O338" i="17"/>
  <c r="P338" i="17"/>
  <c r="Q338" i="17"/>
  <c r="S338" i="17"/>
  <c r="V338" i="17"/>
  <c r="F338" i="16"/>
  <c r="H338" i="16"/>
  <c r="I338" i="16"/>
  <c r="BK338" i="16"/>
  <c r="BL338" i="16"/>
  <c r="BM338" i="16"/>
  <c r="BO338" i="16"/>
  <c r="BR338" i="16"/>
  <c r="BF338" i="16"/>
  <c r="BC338" i="16"/>
  <c r="AY338" i="16"/>
  <c r="AZ338" i="16"/>
  <c r="BA338" i="16"/>
  <c r="AM338" i="16"/>
  <c r="AN338" i="16"/>
  <c r="AO338" i="16"/>
  <c r="AQ338" i="16"/>
  <c r="AT338" i="16"/>
  <c r="AA338" i="16"/>
  <c r="AB338" i="16"/>
  <c r="AC338" i="16"/>
  <c r="AE338" i="16"/>
  <c r="AH338" i="16"/>
  <c r="O338" i="16"/>
  <c r="P338" i="16"/>
  <c r="Q338" i="16"/>
  <c r="S338" i="16"/>
  <c r="V338" i="16"/>
  <c r="C337" i="96"/>
  <c r="D337" i="96"/>
  <c r="E337" i="96"/>
  <c r="G337" i="96"/>
  <c r="J337" i="96"/>
  <c r="I337" i="14"/>
  <c r="H337" i="14"/>
  <c r="F337" i="14"/>
  <c r="AA337" i="14"/>
  <c r="AB337" i="14"/>
  <c r="AC337" i="14"/>
  <c r="AE337" i="14"/>
  <c r="AH337" i="14"/>
  <c r="O337" i="14"/>
  <c r="P337" i="14"/>
  <c r="Q337" i="14"/>
  <c r="S337" i="14"/>
  <c r="V337" i="14"/>
  <c r="G337" i="13"/>
  <c r="J337" i="13"/>
  <c r="C337" i="12"/>
  <c r="D337" i="12"/>
  <c r="E337" i="12"/>
  <c r="G337" i="12"/>
  <c r="J337" i="12"/>
  <c r="DG337" i="15"/>
  <c r="DH337" i="15"/>
  <c r="DI337" i="15"/>
  <c r="DK337" i="15"/>
  <c r="DN337" i="15"/>
  <c r="CI337" i="15"/>
  <c r="CJ337" i="15"/>
  <c r="CK337" i="15"/>
  <c r="CM337" i="15"/>
  <c r="CP337" i="15"/>
  <c r="BW337" i="15"/>
  <c r="BX337" i="15"/>
  <c r="BY337" i="15"/>
  <c r="CA337" i="15"/>
  <c r="CD337" i="15"/>
  <c r="C339" i="14" l="1"/>
  <c r="D339" i="14"/>
  <c r="H339" i="87"/>
  <c r="E339" i="14"/>
  <c r="G338" i="17"/>
  <c r="H338" i="87"/>
  <c r="C338" i="17"/>
  <c r="D338" i="17"/>
  <c r="J339" i="17"/>
  <c r="E339" i="17"/>
  <c r="E338" i="17"/>
  <c r="G339" i="17"/>
  <c r="J338" i="17"/>
  <c r="D339" i="17"/>
  <c r="C339" i="17"/>
  <c r="G338" i="16"/>
  <c r="C339" i="16"/>
  <c r="F339" i="87"/>
  <c r="E338" i="14"/>
  <c r="J339" i="14"/>
  <c r="D337" i="14"/>
  <c r="G338" i="14"/>
  <c r="G339" i="14"/>
  <c r="J338" i="16"/>
  <c r="G339" i="16"/>
  <c r="C338" i="16"/>
  <c r="I338" i="87"/>
  <c r="J339" i="16"/>
  <c r="I339" i="87"/>
  <c r="F338" i="87"/>
  <c r="E339" i="16"/>
  <c r="D339" i="16"/>
  <c r="C338" i="14"/>
  <c r="J338" i="14"/>
  <c r="D338" i="14"/>
  <c r="J337" i="14"/>
  <c r="C337" i="14"/>
  <c r="E338" i="16"/>
  <c r="D338" i="16"/>
  <c r="G337" i="14"/>
  <c r="E337" i="14"/>
  <c r="BK337" i="15"/>
  <c r="BL337" i="15"/>
  <c r="BM337" i="15"/>
  <c r="BO337" i="15"/>
  <c r="BR337" i="15"/>
  <c r="AY337" i="15"/>
  <c r="AZ337" i="15"/>
  <c r="BA337" i="15"/>
  <c r="BC337" i="15"/>
  <c r="BF337" i="15"/>
  <c r="AM337" i="15"/>
  <c r="AN337" i="15"/>
  <c r="AO337" i="15"/>
  <c r="AQ337" i="15"/>
  <c r="AT337" i="15"/>
  <c r="O337" i="15"/>
  <c r="P337" i="15"/>
  <c r="Q337" i="15"/>
  <c r="S337" i="15"/>
  <c r="V337" i="15"/>
  <c r="C337" i="1"/>
  <c r="D337" i="1"/>
  <c r="E337" i="1"/>
  <c r="G337" i="1"/>
  <c r="J337" i="1"/>
  <c r="AM337" i="17"/>
  <c r="AN337" i="17"/>
  <c r="AO337" i="17"/>
  <c r="AQ337" i="17"/>
  <c r="AT337" i="17"/>
  <c r="AA337" i="17"/>
  <c r="AB337" i="17"/>
  <c r="AC337" i="17"/>
  <c r="AE337" i="17"/>
  <c r="AH337" i="17"/>
  <c r="F337" i="17"/>
  <c r="H337" i="17"/>
  <c r="I337" i="17"/>
  <c r="O337" i="17"/>
  <c r="P337" i="17"/>
  <c r="Q337" i="17"/>
  <c r="S337" i="17"/>
  <c r="V337" i="17"/>
  <c r="BK337" i="16"/>
  <c r="BL337" i="16"/>
  <c r="BM337" i="16"/>
  <c r="BO337" i="16"/>
  <c r="BR337" i="16"/>
  <c r="BF337" i="16"/>
  <c r="BC337" i="16"/>
  <c r="AY337" i="16"/>
  <c r="AZ337" i="16"/>
  <c r="BA337" i="16"/>
  <c r="AM337" i="16"/>
  <c r="AN337" i="16"/>
  <c r="AO337" i="16"/>
  <c r="AQ337" i="16"/>
  <c r="AT337" i="16"/>
  <c r="AA337" i="16"/>
  <c r="AB337" i="16"/>
  <c r="AC337" i="16"/>
  <c r="AE337" i="16"/>
  <c r="AH337" i="16"/>
  <c r="O337" i="16"/>
  <c r="P337" i="16"/>
  <c r="Q337" i="16"/>
  <c r="S337" i="16"/>
  <c r="V337" i="16"/>
  <c r="G339" i="87" l="1"/>
  <c r="C339" i="87"/>
  <c r="J338" i="87"/>
  <c r="C337" i="17"/>
  <c r="D337" i="17"/>
  <c r="E337" i="17"/>
  <c r="H337" i="87"/>
  <c r="D339" i="87"/>
  <c r="E339" i="87"/>
  <c r="C338" i="87"/>
  <c r="J339" i="87"/>
  <c r="E338" i="87"/>
  <c r="G338" i="87"/>
  <c r="D338" i="87"/>
  <c r="G337" i="17"/>
  <c r="J337" i="17"/>
  <c r="C336" i="96"/>
  <c r="D336" i="96"/>
  <c r="E336" i="96"/>
  <c r="G336" i="96"/>
  <c r="J336" i="96"/>
  <c r="AE336" i="14"/>
  <c r="AA336" i="14"/>
  <c r="AB336" i="14"/>
  <c r="AC336" i="14"/>
  <c r="AH336" i="14"/>
  <c r="S336" i="14"/>
  <c r="O336" i="14"/>
  <c r="P336" i="14"/>
  <c r="Q336" i="14"/>
  <c r="V336" i="14"/>
  <c r="I336" i="14"/>
  <c r="H336" i="14"/>
  <c r="F336" i="14"/>
  <c r="G336" i="13"/>
  <c r="J336" i="13"/>
  <c r="G336" i="12"/>
  <c r="C336" i="12"/>
  <c r="D336" i="12"/>
  <c r="E336" i="12"/>
  <c r="J336" i="12"/>
  <c r="DK336" i="15"/>
  <c r="DG336" i="15"/>
  <c r="DH336" i="15"/>
  <c r="DI336" i="15"/>
  <c r="DN336" i="15"/>
  <c r="CM336" i="15"/>
  <c r="CI336" i="15"/>
  <c r="CJ336" i="15"/>
  <c r="CK336" i="15"/>
  <c r="CP336" i="15"/>
  <c r="CA336" i="15"/>
  <c r="BW336" i="15"/>
  <c r="BX336" i="15"/>
  <c r="BY336" i="15"/>
  <c r="CD336" i="15"/>
  <c r="BO336" i="15"/>
  <c r="BK336" i="15"/>
  <c r="BL336" i="15"/>
  <c r="BM336" i="15"/>
  <c r="BR336" i="15"/>
  <c r="BC336" i="15"/>
  <c r="AY336" i="15"/>
  <c r="AZ336" i="15"/>
  <c r="BA336" i="15"/>
  <c r="BF336" i="15"/>
  <c r="AQ336" i="15"/>
  <c r="AM336" i="15"/>
  <c r="AN336" i="15"/>
  <c r="AO336" i="15"/>
  <c r="AT336" i="15"/>
  <c r="S336" i="15"/>
  <c r="O336" i="15"/>
  <c r="P336" i="15"/>
  <c r="Q336" i="15"/>
  <c r="V336" i="15"/>
  <c r="G336" i="1"/>
  <c r="C336" i="1"/>
  <c r="D336" i="1"/>
  <c r="E336" i="1"/>
  <c r="J336" i="1"/>
  <c r="AQ336" i="17"/>
  <c r="AM336" i="17"/>
  <c r="AN336" i="17"/>
  <c r="AO336" i="17"/>
  <c r="AT336" i="17"/>
  <c r="AE336" i="17"/>
  <c r="AA336" i="17"/>
  <c r="AB336" i="17"/>
  <c r="AC336" i="17"/>
  <c r="AH336" i="17"/>
  <c r="S336" i="17"/>
  <c r="O336" i="17"/>
  <c r="P336" i="17"/>
  <c r="Q336" i="17"/>
  <c r="V336" i="17"/>
  <c r="F336" i="17"/>
  <c r="H336" i="17"/>
  <c r="I336" i="17"/>
  <c r="F337" i="16"/>
  <c r="F337" i="87" s="1"/>
  <c r="I337" i="16"/>
  <c r="F336" i="16"/>
  <c r="H336" i="16"/>
  <c r="I336" i="16"/>
  <c r="BO336" i="16"/>
  <c r="BK336" i="16"/>
  <c r="BL336" i="16"/>
  <c r="BM336" i="16"/>
  <c r="BR336" i="16"/>
  <c r="BF336" i="16"/>
  <c r="BC336" i="16"/>
  <c r="AY336" i="16"/>
  <c r="AZ336" i="16"/>
  <c r="BA336" i="16"/>
  <c r="AQ336" i="16"/>
  <c r="AM336" i="16"/>
  <c r="AN336" i="16"/>
  <c r="AO336" i="16"/>
  <c r="AT336" i="16"/>
  <c r="AE336" i="16"/>
  <c r="AA336" i="16"/>
  <c r="AB336" i="16"/>
  <c r="AC336" i="16"/>
  <c r="AH336" i="16"/>
  <c r="S336" i="16"/>
  <c r="O336" i="16"/>
  <c r="P336" i="16"/>
  <c r="Q336" i="16"/>
  <c r="V336" i="16"/>
  <c r="E336" i="17" l="1"/>
  <c r="C336" i="17"/>
  <c r="D336" i="17"/>
  <c r="E336" i="16"/>
  <c r="H336" i="87"/>
  <c r="D340" i="87"/>
  <c r="G340" i="87"/>
  <c r="J340" i="87"/>
  <c r="E340" i="87"/>
  <c r="J336" i="16"/>
  <c r="C336" i="16"/>
  <c r="J336" i="14"/>
  <c r="C337" i="16"/>
  <c r="I337" i="87"/>
  <c r="E337" i="16"/>
  <c r="I336" i="87"/>
  <c r="G336" i="16"/>
  <c r="F336" i="87"/>
  <c r="G337" i="16"/>
  <c r="J337" i="16"/>
  <c r="C336" i="14"/>
  <c r="D336" i="14"/>
  <c r="E336" i="14"/>
  <c r="G336" i="14"/>
  <c r="J336" i="17"/>
  <c r="G336" i="17"/>
  <c r="D337" i="16"/>
  <c r="D336" i="16"/>
  <c r="J341" i="87" l="1"/>
  <c r="D341" i="87"/>
  <c r="G341" i="87"/>
  <c r="E341" i="87"/>
  <c r="D336" i="87"/>
  <c r="D337" i="87"/>
  <c r="C337" i="87"/>
  <c r="E337" i="87"/>
  <c r="J337" i="87"/>
  <c r="G337" i="87"/>
  <c r="G336" i="87"/>
  <c r="E336" i="87"/>
  <c r="J336" i="87"/>
  <c r="C336" i="87"/>
  <c r="F335" i="13"/>
  <c r="F350" i="13" s="1"/>
  <c r="R335" i="17"/>
  <c r="E350" i="13" l="1"/>
  <c r="C350" i="13"/>
  <c r="E335" i="13"/>
  <c r="C335" i="13"/>
  <c r="C335" i="96"/>
  <c r="D335" i="96"/>
  <c r="E335" i="96"/>
  <c r="G335" i="96"/>
  <c r="J335" i="96"/>
  <c r="I335" i="14"/>
  <c r="H335" i="14"/>
  <c r="F335" i="14"/>
  <c r="AA335" i="14"/>
  <c r="AB335" i="14"/>
  <c r="AC335" i="14"/>
  <c r="AE335" i="14"/>
  <c r="AH335" i="14"/>
  <c r="O335" i="14"/>
  <c r="P335" i="14"/>
  <c r="Q335" i="14"/>
  <c r="S335" i="14"/>
  <c r="V335" i="14"/>
  <c r="G335" i="13"/>
  <c r="J335" i="13"/>
  <c r="C335" i="12"/>
  <c r="D335" i="12"/>
  <c r="E335" i="12"/>
  <c r="G335" i="12"/>
  <c r="J335" i="12"/>
  <c r="DG335" i="15"/>
  <c r="DH335" i="15"/>
  <c r="DI335" i="15"/>
  <c r="DK335" i="15"/>
  <c r="DN335" i="15"/>
  <c r="CI335" i="15"/>
  <c r="CJ335" i="15"/>
  <c r="CK335" i="15"/>
  <c r="CM335" i="15"/>
  <c r="CP335" i="15"/>
  <c r="BW335" i="15"/>
  <c r="BX335" i="15"/>
  <c r="BY335" i="15"/>
  <c r="CA335" i="15"/>
  <c r="CD335" i="15"/>
  <c r="BK335" i="15"/>
  <c r="BL335" i="15"/>
  <c r="BM335" i="15"/>
  <c r="BO335" i="15"/>
  <c r="BR335" i="15"/>
  <c r="AY335" i="15"/>
  <c r="AZ335" i="15"/>
  <c r="BA335" i="15"/>
  <c r="BC335" i="15"/>
  <c r="BF335" i="15"/>
  <c r="AM335" i="15"/>
  <c r="AN335" i="15"/>
  <c r="AO335" i="15"/>
  <c r="AQ335" i="15"/>
  <c r="AT335" i="15"/>
  <c r="O335" i="15"/>
  <c r="P335" i="15"/>
  <c r="Q335" i="15"/>
  <c r="S335" i="15"/>
  <c r="V335" i="15"/>
  <c r="C335" i="1"/>
  <c r="D335" i="1"/>
  <c r="E335" i="1"/>
  <c r="G335" i="1"/>
  <c r="J335" i="1"/>
  <c r="AQ335" i="17"/>
  <c r="AT335" i="17"/>
  <c r="AM335" i="17"/>
  <c r="AN335" i="17"/>
  <c r="AO335" i="17"/>
  <c r="AE335" i="17"/>
  <c r="AH335" i="17"/>
  <c r="AA335" i="17"/>
  <c r="AB335" i="17"/>
  <c r="AC335" i="17"/>
  <c r="S335" i="17"/>
  <c r="V335" i="17"/>
  <c r="O335" i="17"/>
  <c r="P335" i="17"/>
  <c r="Q335" i="17"/>
  <c r="F335" i="17"/>
  <c r="H335" i="17"/>
  <c r="I335" i="17"/>
  <c r="F335" i="16"/>
  <c r="H335" i="16"/>
  <c r="I335" i="16"/>
  <c r="BF335" i="16"/>
  <c r="BC335" i="16"/>
  <c r="BK335" i="16"/>
  <c r="BL335" i="16"/>
  <c r="BM335" i="16"/>
  <c r="BO335" i="16"/>
  <c r="BR335" i="16"/>
  <c r="AY335" i="16"/>
  <c r="AZ335" i="16"/>
  <c r="BA335" i="16"/>
  <c r="AM335" i="16"/>
  <c r="AN335" i="16"/>
  <c r="AO335" i="16"/>
  <c r="AQ335" i="16"/>
  <c r="AT335" i="16"/>
  <c r="AA335" i="16"/>
  <c r="AB335" i="16"/>
  <c r="AC335" i="16"/>
  <c r="AE335" i="16"/>
  <c r="AH335" i="16"/>
  <c r="O335" i="16"/>
  <c r="P335" i="16"/>
  <c r="Q335" i="16"/>
  <c r="S335" i="16"/>
  <c r="V335" i="16"/>
  <c r="I334" i="14"/>
  <c r="H334" i="14"/>
  <c r="F334" i="14"/>
  <c r="S334" i="16"/>
  <c r="H335" i="87" l="1"/>
  <c r="J335" i="14"/>
  <c r="J335" i="16"/>
  <c r="C335" i="16"/>
  <c r="I335" i="87"/>
  <c r="E335" i="14"/>
  <c r="F335" i="87"/>
  <c r="J335" i="17"/>
  <c r="C335" i="17"/>
  <c r="E335" i="17"/>
  <c r="E335" i="16"/>
  <c r="D335" i="16"/>
  <c r="D335" i="14"/>
  <c r="C335" i="14"/>
  <c r="G335" i="14"/>
  <c r="D335" i="17"/>
  <c r="G335" i="17"/>
  <c r="G335" i="16"/>
  <c r="AA334" i="14"/>
  <c r="AB334" i="14"/>
  <c r="AC334" i="14"/>
  <c r="AE334" i="14"/>
  <c r="AH334" i="14"/>
  <c r="O334" i="14"/>
  <c r="P334" i="14"/>
  <c r="Q334" i="14"/>
  <c r="S334" i="14"/>
  <c r="V334" i="14"/>
  <c r="C334" i="14"/>
  <c r="D334" i="14"/>
  <c r="E334" i="14"/>
  <c r="G334" i="14"/>
  <c r="J334" i="14"/>
  <c r="G334" i="13"/>
  <c r="J334" i="13"/>
  <c r="C334" i="12"/>
  <c r="D334" i="12"/>
  <c r="E334" i="12"/>
  <c r="G334" i="12"/>
  <c r="J334" i="12"/>
  <c r="I137" i="87"/>
  <c r="H137" i="87"/>
  <c r="F137" i="87"/>
  <c r="I136" i="87"/>
  <c r="H136" i="87"/>
  <c r="F136" i="87"/>
  <c r="I135" i="87"/>
  <c r="H135" i="87"/>
  <c r="F135" i="87"/>
  <c r="I134" i="87"/>
  <c r="H134" i="87"/>
  <c r="F134" i="87"/>
  <c r="I133" i="87"/>
  <c r="H133" i="87"/>
  <c r="F133" i="87"/>
  <c r="I132" i="87"/>
  <c r="H132" i="87"/>
  <c r="F132" i="87"/>
  <c r="I131" i="87"/>
  <c r="H131" i="87"/>
  <c r="F131" i="87"/>
  <c r="I130" i="87"/>
  <c r="H130" i="87"/>
  <c r="F130" i="87"/>
  <c r="I129" i="87"/>
  <c r="H129" i="87"/>
  <c r="F129" i="87"/>
  <c r="I117" i="87"/>
  <c r="H117" i="87"/>
  <c r="F117" i="87"/>
  <c r="I116" i="87"/>
  <c r="H116" i="87"/>
  <c r="F116" i="87"/>
  <c r="I115" i="87"/>
  <c r="H115" i="87"/>
  <c r="F115" i="87"/>
  <c r="I114" i="87"/>
  <c r="H114" i="87"/>
  <c r="F114" i="87"/>
  <c r="I113" i="87"/>
  <c r="H113" i="87"/>
  <c r="F113" i="87"/>
  <c r="I112" i="87"/>
  <c r="H112" i="87"/>
  <c r="F112" i="87"/>
  <c r="I111" i="87"/>
  <c r="H111" i="87"/>
  <c r="F111" i="87"/>
  <c r="I110" i="87"/>
  <c r="H110" i="87"/>
  <c r="F110" i="87"/>
  <c r="I109" i="87"/>
  <c r="H109" i="87"/>
  <c r="F109" i="87"/>
  <c r="I108" i="87"/>
  <c r="H108" i="87"/>
  <c r="F108" i="87"/>
  <c r="I107" i="87"/>
  <c r="H107" i="87"/>
  <c r="F107" i="87"/>
  <c r="I106" i="87"/>
  <c r="H106" i="87"/>
  <c r="F106" i="87"/>
  <c r="I105" i="87"/>
  <c r="H105" i="87"/>
  <c r="F105" i="87"/>
  <c r="I104" i="87"/>
  <c r="H104" i="87"/>
  <c r="F104" i="87"/>
  <c r="I103" i="87"/>
  <c r="H103" i="87"/>
  <c r="F103" i="87"/>
  <c r="I102" i="87"/>
  <c r="H102" i="87"/>
  <c r="F102" i="87"/>
  <c r="I101" i="87"/>
  <c r="H101" i="87"/>
  <c r="F101" i="87"/>
  <c r="I100" i="87"/>
  <c r="H100" i="87"/>
  <c r="F100" i="87"/>
  <c r="I99" i="87"/>
  <c r="H99" i="87"/>
  <c r="F99" i="87"/>
  <c r="I98" i="87"/>
  <c r="H98" i="87"/>
  <c r="F98" i="87"/>
  <c r="I97" i="87"/>
  <c r="H97" i="87"/>
  <c r="F97" i="87"/>
  <c r="I96" i="87"/>
  <c r="H96" i="87"/>
  <c r="F96" i="87"/>
  <c r="I95" i="87"/>
  <c r="H95" i="87"/>
  <c r="F95" i="87"/>
  <c r="I94" i="87"/>
  <c r="H94" i="87"/>
  <c r="F94" i="87"/>
  <c r="I93" i="87"/>
  <c r="H93" i="87"/>
  <c r="F93" i="87"/>
  <c r="I92" i="87"/>
  <c r="H92" i="87"/>
  <c r="F92" i="87"/>
  <c r="I91" i="87"/>
  <c r="H91" i="87"/>
  <c r="F91" i="87"/>
  <c r="I90" i="87"/>
  <c r="H90" i="87"/>
  <c r="F90" i="87"/>
  <c r="I89" i="87"/>
  <c r="H89" i="87"/>
  <c r="F89" i="87"/>
  <c r="I88" i="87"/>
  <c r="H88" i="87"/>
  <c r="F88" i="87"/>
  <c r="I87" i="87"/>
  <c r="H87" i="87"/>
  <c r="F87" i="87"/>
  <c r="I86" i="87"/>
  <c r="H86" i="87"/>
  <c r="F86" i="87"/>
  <c r="I85" i="87"/>
  <c r="H85" i="87"/>
  <c r="F85" i="87"/>
  <c r="I84" i="87"/>
  <c r="H84" i="87"/>
  <c r="F84" i="87"/>
  <c r="I83" i="87"/>
  <c r="H83" i="87"/>
  <c r="F83" i="87"/>
  <c r="I82" i="87"/>
  <c r="H82" i="87"/>
  <c r="F82" i="87"/>
  <c r="I81" i="87"/>
  <c r="H81" i="87"/>
  <c r="F81" i="87"/>
  <c r="I80" i="87"/>
  <c r="H80" i="87"/>
  <c r="F80" i="87"/>
  <c r="I79" i="87"/>
  <c r="H79" i="87"/>
  <c r="F79" i="87"/>
  <c r="I78" i="87"/>
  <c r="H78" i="87"/>
  <c r="F78" i="87"/>
  <c r="I77" i="87"/>
  <c r="H77" i="87"/>
  <c r="F77" i="87"/>
  <c r="I76" i="87"/>
  <c r="H76" i="87"/>
  <c r="F76" i="87"/>
  <c r="I75" i="87"/>
  <c r="H75" i="87"/>
  <c r="F75" i="87"/>
  <c r="I74" i="87"/>
  <c r="H74" i="87"/>
  <c r="F74" i="87"/>
  <c r="I73" i="87"/>
  <c r="H73" i="87"/>
  <c r="F73" i="87"/>
  <c r="I72" i="87"/>
  <c r="H72" i="87"/>
  <c r="F72" i="87"/>
  <c r="I71" i="87"/>
  <c r="H71" i="87"/>
  <c r="F71" i="87"/>
  <c r="I70" i="87"/>
  <c r="H70" i="87"/>
  <c r="F70" i="87"/>
  <c r="I69" i="87"/>
  <c r="H69" i="87"/>
  <c r="F69" i="87"/>
  <c r="I68" i="87"/>
  <c r="H68" i="87"/>
  <c r="F68" i="87"/>
  <c r="I67" i="87"/>
  <c r="H67" i="87"/>
  <c r="F67" i="87"/>
  <c r="I66" i="87"/>
  <c r="H66" i="87"/>
  <c r="F66" i="87"/>
  <c r="I65" i="87"/>
  <c r="H65" i="87"/>
  <c r="F65" i="87"/>
  <c r="I64" i="87"/>
  <c r="H64" i="87"/>
  <c r="F64" i="87"/>
  <c r="I63" i="87"/>
  <c r="H63" i="87"/>
  <c r="F63" i="87"/>
  <c r="I62" i="87"/>
  <c r="H62" i="87"/>
  <c r="F62" i="87"/>
  <c r="I61" i="87"/>
  <c r="H61" i="87"/>
  <c r="F61" i="87"/>
  <c r="I60" i="87"/>
  <c r="H60" i="87"/>
  <c r="F60" i="87"/>
  <c r="I59" i="87"/>
  <c r="H59" i="87"/>
  <c r="F59" i="87"/>
  <c r="I58" i="87"/>
  <c r="H58" i="87"/>
  <c r="F58" i="87"/>
  <c r="I57" i="87"/>
  <c r="H57" i="87"/>
  <c r="F57" i="87"/>
  <c r="I56" i="87"/>
  <c r="H56" i="87"/>
  <c r="F56" i="87"/>
  <c r="I55" i="87"/>
  <c r="H55" i="87"/>
  <c r="F55" i="87"/>
  <c r="I54" i="87"/>
  <c r="H54" i="87"/>
  <c r="F54" i="87"/>
  <c r="I53" i="87"/>
  <c r="H53" i="87"/>
  <c r="F53" i="87"/>
  <c r="I52" i="87"/>
  <c r="H52" i="87"/>
  <c r="F52" i="87"/>
  <c r="I51" i="87"/>
  <c r="H51" i="87"/>
  <c r="F51" i="87"/>
  <c r="I50" i="87"/>
  <c r="H50" i="87"/>
  <c r="F50" i="87"/>
  <c r="I49" i="87"/>
  <c r="H49" i="87"/>
  <c r="F49" i="87"/>
  <c r="I48" i="87"/>
  <c r="H48" i="87"/>
  <c r="F48" i="87"/>
  <c r="I47" i="87"/>
  <c r="H47" i="87"/>
  <c r="F47" i="87"/>
  <c r="I46" i="87"/>
  <c r="H46" i="87"/>
  <c r="F46" i="87"/>
  <c r="I45" i="87"/>
  <c r="H45" i="87"/>
  <c r="F45" i="87"/>
  <c r="I44" i="87"/>
  <c r="H44" i="87"/>
  <c r="F44" i="87"/>
  <c r="I43" i="87"/>
  <c r="H43" i="87"/>
  <c r="F43" i="87"/>
  <c r="I41" i="87"/>
  <c r="H41" i="87"/>
  <c r="F41" i="87"/>
  <c r="I40" i="87"/>
  <c r="H40" i="87"/>
  <c r="F40" i="87"/>
  <c r="I39" i="87"/>
  <c r="H39" i="87"/>
  <c r="F39" i="87"/>
  <c r="I36" i="87"/>
  <c r="H36" i="87"/>
  <c r="F36" i="87"/>
  <c r="I35" i="87"/>
  <c r="H35" i="87"/>
  <c r="F35" i="87"/>
  <c r="I33" i="87"/>
  <c r="H33" i="87"/>
  <c r="F33" i="87"/>
  <c r="I32" i="87"/>
  <c r="H32" i="87"/>
  <c r="F32" i="87"/>
  <c r="I29" i="87"/>
  <c r="H29" i="87"/>
  <c r="F29" i="87"/>
  <c r="I28" i="87"/>
  <c r="H28" i="87"/>
  <c r="F28" i="87"/>
  <c r="I27" i="87"/>
  <c r="H27" i="87"/>
  <c r="F27" i="87"/>
  <c r="I26" i="87"/>
  <c r="H26" i="87"/>
  <c r="F26" i="87"/>
  <c r="I25" i="87"/>
  <c r="H25" i="87"/>
  <c r="F25" i="87"/>
  <c r="I24" i="87"/>
  <c r="H24" i="87"/>
  <c r="F24" i="87"/>
  <c r="I23" i="87"/>
  <c r="H23" i="87"/>
  <c r="F23" i="87"/>
  <c r="H22" i="87"/>
  <c r="I21" i="87"/>
  <c r="H21" i="87"/>
  <c r="F21" i="87"/>
  <c r="I20" i="87"/>
  <c r="H20" i="87"/>
  <c r="F20" i="87"/>
  <c r="I19" i="87"/>
  <c r="H19" i="87"/>
  <c r="F19" i="87"/>
  <c r="I18" i="87"/>
  <c r="H18" i="87"/>
  <c r="F18" i="87"/>
  <c r="I17" i="87"/>
  <c r="H17" i="87"/>
  <c r="F17" i="87"/>
  <c r="I16" i="87"/>
  <c r="H16" i="87"/>
  <c r="F16" i="87"/>
  <c r="I15" i="87"/>
  <c r="H15" i="87"/>
  <c r="F15" i="87"/>
  <c r="I14" i="87"/>
  <c r="H14" i="87"/>
  <c r="F14" i="87"/>
  <c r="I13" i="87"/>
  <c r="H13" i="87"/>
  <c r="F13" i="87"/>
  <c r="I12" i="87"/>
  <c r="H12" i="87"/>
  <c r="F12" i="87"/>
  <c r="I11" i="87"/>
  <c r="H11" i="87"/>
  <c r="F11" i="87"/>
  <c r="I10" i="87"/>
  <c r="H10" i="87"/>
  <c r="F10" i="87"/>
  <c r="I9" i="87"/>
  <c r="H9" i="87"/>
  <c r="F9" i="87"/>
  <c r="I8" i="87"/>
  <c r="H8" i="87"/>
  <c r="F8" i="87"/>
  <c r="I7" i="87"/>
  <c r="H7" i="87"/>
  <c r="F7" i="87"/>
  <c r="D11" i="16"/>
  <c r="H6" i="87"/>
  <c r="I6" i="87"/>
  <c r="F6" i="87"/>
  <c r="E334" i="96"/>
  <c r="D334" i="96"/>
  <c r="C334" i="96"/>
  <c r="E333" i="96"/>
  <c r="D333" i="96"/>
  <c r="C333" i="96"/>
  <c r="E332" i="96"/>
  <c r="D332" i="96"/>
  <c r="C332" i="96"/>
  <c r="E331" i="96"/>
  <c r="D331" i="96"/>
  <c r="C331" i="96"/>
  <c r="E330" i="96"/>
  <c r="D330" i="96"/>
  <c r="C330" i="96"/>
  <c r="E329" i="96"/>
  <c r="D329" i="96"/>
  <c r="C329" i="96"/>
  <c r="E328" i="96"/>
  <c r="D328" i="96"/>
  <c r="C328" i="96"/>
  <c r="E327" i="96"/>
  <c r="D327" i="96"/>
  <c r="C327" i="96"/>
  <c r="E326" i="96"/>
  <c r="D326" i="96"/>
  <c r="C326" i="96"/>
  <c r="E325" i="96"/>
  <c r="D325" i="96"/>
  <c r="C325" i="96"/>
  <c r="E324" i="96"/>
  <c r="D324" i="96"/>
  <c r="C324" i="96"/>
  <c r="E323" i="96"/>
  <c r="D323" i="96"/>
  <c r="C323" i="96"/>
  <c r="E322" i="96"/>
  <c r="D322" i="96"/>
  <c r="C322" i="96"/>
  <c r="E321" i="96"/>
  <c r="D321" i="96"/>
  <c r="C321" i="96"/>
  <c r="E320" i="96"/>
  <c r="D320" i="96"/>
  <c r="C320" i="96"/>
  <c r="E319" i="96"/>
  <c r="D319" i="96"/>
  <c r="C319" i="96"/>
  <c r="E318" i="96"/>
  <c r="D318" i="96"/>
  <c r="C318" i="96"/>
  <c r="E317" i="96"/>
  <c r="D317" i="96"/>
  <c r="C317" i="96"/>
  <c r="E316" i="96"/>
  <c r="D316" i="96"/>
  <c r="C316" i="96"/>
  <c r="E315" i="96"/>
  <c r="D315" i="96"/>
  <c r="C315" i="96"/>
  <c r="E314" i="96"/>
  <c r="D314" i="96"/>
  <c r="C314" i="96"/>
  <c r="E313" i="96"/>
  <c r="D313" i="96"/>
  <c r="C313" i="96"/>
  <c r="E312" i="96"/>
  <c r="D312" i="96"/>
  <c r="C312" i="96"/>
  <c r="E311" i="96"/>
  <c r="D311" i="96"/>
  <c r="C311" i="96"/>
  <c r="E310" i="96"/>
  <c r="D310" i="96"/>
  <c r="C310" i="96"/>
  <c r="E309" i="96"/>
  <c r="D309" i="96"/>
  <c r="C309" i="96"/>
  <c r="E308" i="96"/>
  <c r="D308" i="96"/>
  <c r="C308" i="96"/>
  <c r="E307" i="96"/>
  <c r="D307" i="96"/>
  <c r="C307" i="96"/>
  <c r="E306" i="96"/>
  <c r="D306" i="96"/>
  <c r="C306" i="96"/>
  <c r="E305" i="96"/>
  <c r="D305" i="96"/>
  <c r="C305" i="96"/>
  <c r="E304" i="96"/>
  <c r="D304" i="96"/>
  <c r="C304" i="96"/>
  <c r="E303" i="96"/>
  <c r="D303" i="96"/>
  <c r="C303" i="96"/>
  <c r="E302" i="96"/>
  <c r="D302" i="96"/>
  <c r="C302" i="96"/>
  <c r="E301" i="96"/>
  <c r="D301" i="96"/>
  <c r="C301" i="96"/>
  <c r="E300" i="96"/>
  <c r="D300" i="96"/>
  <c r="C300" i="96"/>
  <c r="E299" i="96"/>
  <c r="D299" i="96"/>
  <c r="C299" i="96"/>
  <c r="E298" i="96"/>
  <c r="D298" i="96"/>
  <c r="C298" i="96"/>
  <c r="E297" i="96"/>
  <c r="D297" i="96"/>
  <c r="C297" i="96"/>
  <c r="E296" i="96"/>
  <c r="D296" i="96"/>
  <c r="C296" i="96"/>
  <c r="E295" i="96"/>
  <c r="D295" i="96"/>
  <c r="C295" i="96"/>
  <c r="E294" i="96"/>
  <c r="D294" i="96"/>
  <c r="C294" i="96"/>
  <c r="E293" i="96"/>
  <c r="D293" i="96"/>
  <c r="C293" i="96"/>
  <c r="E292" i="96"/>
  <c r="D292" i="96"/>
  <c r="C292" i="96"/>
  <c r="E291" i="96"/>
  <c r="D291" i="96"/>
  <c r="C291" i="96"/>
  <c r="E290" i="96"/>
  <c r="D290" i="96"/>
  <c r="C290" i="96"/>
  <c r="E289" i="96"/>
  <c r="D289" i="96"/>
  <c r="C289" i="96"/>
  <c r="E288" i="96"/>
  <c r="D288" i="96"/>
  <c r="C288" i="96"/>
  <c r="E287" i="96"/>
  <c r="D287" i="96"/>
  <c r="C287" i="96"/>
  <c r="E286" i="96"/>
  <c r="D286" i="96"/>
  <c r="C286" i="96"/>
  <c r="E285" i="96"/>
  <c r="D285" i="96"/>
  <c r="C285" i="96"/>
  <c r="E284" i="96"/>
  <c r="D284" i="96"/>
  <c r="C284" i="96"/>
  <c r="E283" i="96"/>
  <c r="D283" i="96"/>
  <c r="C283" i="96"/>
  <c r="E282" i="96"/>
  <c r="D282" i="96"/>
  <c r="C282" i="96"/>
  <c r="E281" i="96"/>
  <c r="D281" i="96"/>
  <c r="C281" i="96"/>
  <c r="E280" i="96"/>
  <c r="D280" i="96"/>
  <c r="C280" i="96"/>
  <c r="E279" i="96"/>
  <c r="D279" i="96"/>
  <c r="C279" i="96"/>
  <c r="E278" i="96"/>
  <c r="D278" i="96"/>
  <c r="C278" i="96"/>
  <c r="E277" i="96"/>
  <c r="D277" i="96"/>
  <c r="C277" i="96"/>
  <c r="E276" i="96"/>
  <c r="D276" i="96"/>
  <c r="C276" i="96"/>
  <c r="E275" i="96"/>
  <c r="D275" i="96"/>
  <c r="C275" i="96"/>
  <c r="E274" i="96"/>
  <c r="D274" i="96"/>
  <c r="C274" i="96"/>
  <c r="J334" i="96"/>
  <c r="G334" i="96"/>
  <c r="J333" i="96"/>
  <c r="G333" i="96"/>
  <c r="J332" i="96"/>
  <c r="G332" i="96"/>
  <c r="J331" i="96"/>
  <c r="G331" i="96"/>
  <c r="J330" i="96"/>
  <c r="G330" i="96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I319" i="14"/>
  <c r="H319" i="14"/>
  <c r="I318" i="14"/>
  <c r="H318" i="14"/>
  <c r="I317" i="14"/>
  <c r="H317" i="14"/>
  <c r="I316" i="14"/>
  <c r="H316" i="14"/>
  <c r="I315" i="14"/>
  <c r="H315" i="14"/>
  <c r="I314" i="14"/>
  <c r="H314" i="14"/>
  <c r="I313" i="14"/>
  <c r="H313" i="14"/>
  <c r="I312" i="14"/>
  <c r="H312" i="14"/>
  <c r="I311" i="14"/>
  <c r="H311" i="14"/>
  <c r="I310" i="14"/>
  <c r="H310" i="14"/>
  <c r="I309" i="14"/>
  <c r="H309" i="14"/>
  <c r="I308" i="14"/>
  <c r="H308" i="14"/>
  <c r="I307" i="14"/>
  <c r="H307" i="14"/>
  <c r="I306" i="14"/>
  <c r="H306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BA332" i="14"/>
  <c r="AZ332" i="14"/>
  <c r="AY332" i="14"/>
  <c r="BA331" i="14"/>
  <c r="AZ331" i="14"/>
  <c r="AY331" i="14"/>
  <c r="BA330" i="14"/>
  <c r="AZ330" i="14"/>
  <c r="AY330" i="14"/>
  <c r="BA329" i="14"/>
  <c r="AZ329" i="14"/>
  <c r="AY329" i="14"/>
  <c r="BA328" i="14"/>
  <c r="AZ328" i="14"/>
  <c r="AY328" i="14"/>
  <c r="BA327" i="14"/>
  <c r="AZ327" i="14"/>
  <c r="AY327" i="14"/>
  <c r="BA326" i="14"/>
  <c r="AZ326" i="14"/>
  <c r="AY326" i="14"/>
  <c r="BA325" i="14"/>
  <c r="AZ325" i="14"/>
  <c r="AY325" i="14"/>
  <c r="BA324" i="14"/>
  <c r="AZ324" i="14"/>
  <c r="AY324" i="14"/>
  <c r="BA323" i="14"/>
  <c r="AZ323" i="14"/>
  <c r="AY323" i="14"/>
  <c r="BA322" i="14"/>
  <c r="AZ322" i="14"/>
  <c r="AY322" i="14"/>
  <c r="BA321" i="14"/>
  <c r="AZ321" i="14"/>
  <c r="AY321" i="14"/>
  <c r="BA320" i="14"/>
  <c r="AZ320" i="14"/>
  <c r="AY320" i="14"/>
  <c r="AO301" i="14"/>
  <c r="AN301" i="14"/>
  <c r="AM301" i="14"/>
  <c r="AO300" i="14"/>
  <c r="AN300" i="14"/>
  <c r="AM300" i="14"/>
  <c r="AO299" i="14"/>
  <c r="AN299" i="14"/>
  <c r="AM299" i="14"/>
  <c r="AO298" i="14"/>
  <c r="AN298" i="14"/>
  <c r="AM298" i="14"/>
  <c r="AO297" i="14"/>
  <c r="AN297" i="14"/>
  <c r="AM297" i="14"/>
  <c r="AO296" i="14"/>
  <c r="AN296" i="14"/>
  <c r="AM296" i="14"/>
  <c r="AO295" i="14"/>
  <c r="AN295" i="14"/>
  <c r="AM295" i="14"/>
  <c r="AO294" i="14"/>
  <c r="AN294" i="14"/>
  <c r="AM294" i="14"/>
  <c r="AO293" i="14"/>
  <c r="AN293" i="14"/>
  <c r="AM293" i="14"/>
  <c r="AO292" i="14"/>
  <c r="AN292" i="14"/>
  <c r="AM292" i="14"/>
  <c r="AO291" i="14"/>
  <c r="AN291" i="14"/>
  <c r="AM291" i="14"/>
  <c r="AO290" i="14"/>
  <c r="AN290" i="14"/>
  <c r="AM290" i="14"/>
  <c r="AO289" i="14"/>
  <c r="AN289" i="14"/>
  <c r="AM289" i="14"/>
  <c r="AO288" i="14"/>
  <c r="AN288" i="14"/>
  <c r="AM288" i="14"/>
  <c r="AO287" i="14"/>
  <c r="AN287" i="14"/>
  <c r="AM287" i="14"/>
  <c r="AO286" i="14"/>
  <c r="AN286" i="14"/>
  <c r="AM286" i="14"/>
  <c r="AO285" i="14"/>
  <c r="AN285" i="14"/>
  <c r="AM285" i="14"/>
  <c r="AO284" i="14"/>
  <c r="AN284" i="14"/>
  <c r="AM284" i="14"/>
  <c r="AO283" i="14"/>
  <c r="AN283" i="14"/>
  <c r="AM283" i="14"/>
  <c r="AO282" i="14"/>
  <c r="AN282" i="14"/>
  <c r="AM282" i="14"/>
  <c r="AO281" i="14"/>
  <c r="AN281" i="14"/>
  <c r="AM281" i="14"/>
  <c r="AO280" i="14"/>
  <c r="AN280" i="14"/>
  <c r="AM280" i="14"/>
  <c r="AO279" i="14"/>
  <c r="AN279" i="14"/>
  <c r="AM279" i="14"/>
  <c r="AO278" i="14"/>
  <c r="AN278" i="14"/>
  <c r="AM278" i="14"/>
  <c r="AO277" i="14"/>
  <c r="AN277" i="14"/>
  <c r="AM277" i="14"/>
  <c r="AO276" i="14"/>
  <c r="AN276" i="14"/>
  <c r="AM276" i="14"/>
  <c r="AO275" i="14"/>
  <c r="AN275" i="14"/>
  <c r="AM275" i="14"/>
  <c r="AO274" i="14"/>
  <c r="AN274" i="14"/>
  <c r="AM274" i="14"/>
  <c r="AO273" i="14"/>
  <c r="AN273" i="14"/>
  <c r="AM273" i="14"/>
  <c r="AO272" i="14"/>
  <c r="AN272" i="14"/>
  <c r="AM272" i="14"/>
  <c r="AO271" i="14"/>
  <c r="AN271" i="14"/>
  <c r="AM271" i="14"/>
  <c r="AO270" i="14"/>
  <c r="AN270" i="14"/>
  <c r="AM270" i="14"/>
  <c r="AO269" i="14"/>
  <c r="AN269" i="14"/>
  <c r="AM269" i="14"/>
  <c r="AO268" i="14"/>
  <c r="AN268" i="14"/>
  <c r="AM268" i="14"/>
  <c r="AO267" i="14"/>
  <c r="AN267" i="14"/>
  <c r="AM267" i="14"/>
  <c r="AO266" i="14"/>
  <c r="AN266" i="14"/>
  <c r="AM266" i="14"/>
  <c r="AO265" i="14"/>
  <c r="AN265" i="14"/>
  <c r="AM265" i="14"/>
  <c r="AO264" i="14"/>
  <c r="AN264" i="14"/>
  <c r="AM264" i="14"/>
  <c r="AO263" i="14"/>
  <c r="AN263" i="14"/>
  <c r="AM263" i="14"/>
  <c r="AO262" i="14"/>
  <c r="AN262" i="14"/>
  <c r="AM262" i="14"/>
  <c r="AO261" i="14"/>
  <c r="AN261" i="14"/>
  <c r="AM261" i="14"/>
  <c r="AO260" i="14"/>
  <c r="AN260" i="14"/>
  <c r="AM260" i="14"/>
  <c r="AO259" i="14"/>
  <c r="AN259" i="14"/>
  <c r="AM259" i="14"/>
  <c r="AO258" i="14"/>
  <c r="AN258" i="14"/>
  <c r="AM258" i="14"/>
  <c r="AO257" i="14"/>
  <c r="AN257" i="14"/>
  <c r="AM257" i="14"/>
  <c r="AO256" i="14"/>
  <c r="AN256" i="14"/>
  <c r="AM256" i="14"/>
  <c r="AO255" i="14"/>
  <c r="AN255" i="14"/>
  <c r="AM255" i="14"/>
  <c r="AO254" i="14"/>
  <c r="AN254" i="14"/>
  <c r="AM254" i="14"/>
  <c r="AO253" i="14"/>
  <c r="AN253" i="14"/>
  <c r="AM253" i="14"/>
  <c r="AO252" i="14"/>
  <c r="AN252" i="14"/>
  <c r="AM252" i="14"/>
  <c r="AO251" i="14"/>
  <c r="AN251" i="14"/>
  <c r="AM251" i="14"/>
  <c r="AO250" i="14"/>
  <c r="AN250" i="14"/>
  <c r="AM250" i="14"/>
  <c r="AO249" i="14"/>
  <c r="AN249" i="14"/>
  <c r="AM249" i="14"/>
  <c r="AO248" i="14"/>
  <c r="AN248" i="14"/>
  <c r="AM248" i="14"/>
  <c r="AO247" i="14"/>
  <c r="AN247" i="14"/>
  <c r="AM247" i="14"/>
  <c r="AO246" i="14"/>
  <c r="AN246" i="14"/>
  <c r="AM246" i="14"/>
  <c r="AO245" i="14"/>
  <c r="AN245" i="14"/>
  <c r="AM245" i="14"/>
  <c r="AO244" i="14"/>
  <c r="AN244" i="14"/>
  <c r="AM244" i="14"/>
  <c r="AO243" i="14"/>
  <c r="AN243" i="14"/>
  <c r="AM243" i="14"/>
  <c r="AO242" i="14"/>
  <c r="AN242" i="14"/>
  <c r="AM242" i="14"/>
  <c r="AO241" i="14"/>
  <c r="AN241" i="14"/>
  <c r="AM241" i="14"/>
  <c r="AO240" i="14"/>
  <c r="AN240" i="14"/>
  <c r="AM240" i="14"/>
  <c r="AO239" i="14"/>
  <c r="AN239" i="14"/>
  <c r="AM239" i="14"/>
  <c r="AO238" i="14"/>
  <c r="AN238" i="14"/>
  <c r="AM238" i="14"/>
  <c r="AO237" i="14"/>
  <c r="AN237" i="14"/>
  <c r="AM237" i="14"/>
  <c r="AO236" i="14"/>
  <c r="AN236" i="14"/>
  <c r="AM236" i="14"/>
  <c r="AO235" i="14"/>
  <c r="AN235" i="14"/>
  <c r="AM235" i="14"/>
  <c r="AO234" i="14"/>
  <c r="AN234" i="14"/>
  <c r="AM234" i="14"/>
  <c r="AO233" i="14"/>
  <c r="AN233" i="14"/>
  <c r="AM233" i="14"/>
  <c r="AO232" i="14"/>
  <c r="AN232" i="14"/>
  <c r="AM232" i="14"/>
  <c r="AO231" i="14"/>
  <c r="AN231" i="14"/>
  <c r="AM231" i="14"/>
  <c r="AO230" i="14"/>
  <c r="AN230" i="14"/>
  <c r="AM230" i="14"/>
  <c r="AO229" i="14"/>
  <c r="AN229" i="14"/>
  <c r="AM229" i="14"/>
  <c r="AO228" i="14"/>
  <c r="AN228" i="14"/>
  <c r="AM228" i="14"/>
  <c r="AO227" i="14"/>
  <c r="AN227" i="14"/>
  <c r="AM227" i="14"/>
  <c r="AO226" i="14"/>
  <c r="AN226" i="14"/>
  <c r="AM226" i="14"/>
  <c r="AO225" i="14"/>
  <c r="AN225" i="14"/>
  <c r="AM225" i="14"/>
  <c r="AO224" i="14"/>
  <c r="AN224" i="14"/>
  <c r="AM224" i="14"/>
  <c r="AO223" i="14"/>
  <c r="AN223" i="14"/>
  <c r="AM223" i="14"/>
  <c r="AO222" i="14"/>
  <c r="AN222" i="14"/>
  <c r="AM222" i="14"/>
  <c r="AO221" i="14"/>
  <c r="AN221" i="14"/>
  <c r="AM221" i="14"/>
  <c r="AO220" i="14"/>
  <c r="AN220" i="14"/>
  <c r="AM220" i="14"/>
  <c r="AO219" i="14"/>
  <c r="AN219" i="14"/>
  <c r="AM219" i="14"/>
  <c r="AO218" i="14"/>
  <c r="AN218" i="14"/>
  <c r="AM218" i="14"/>
  <c r="AO217" i="14"/>
  <c r="AN217" i="14"/>
  <c r="AM217" i="14"/>
  <c r="AO216" i="14"/>
  <c r="AN216" i="14"/>
  <c r="AM216" i="14"/>
  <c r="AO215" i="14"/>
  <c r="AN215" i="14"/>
  <c r="AM215" i="14"/>
  <c r="AO214" i="14"/>
  <c r="AN214" i="14"/>
  <c r="AM214" i="14"/>
  <c r="AO213" i="14"/>
  <c r="AN213" i="14"/>
  <c r="AM213" i="14"/>
  <c r="AO212" i="14"/>
  <c r="AN212" i="14"/>
  <c r="AM212" i="14"/>
  <c r="AO211" i="14"/>
  <c r="AN211" i="14"/>
  <c r="AM211" i="14"/>
  <c r="AO210" i="14"/>
  <c r="AN210" i="14"/>
  <c r="AM210" i="14"/>
  <c r="AO209" i="14"/>
  <c r="AN209" i="14"/>
  <c r="AM209" i="14"/>
  <c r="AO208" i="14"/>
  <c r="AN208" i="14"/>
  <c r="AM208" i="14"/>
  <c r="AO207" i="14"/>
  <c r="AN207" i="14"/>
  <c r="AM207" i="14"/>
  <c r="AO206" i="14"/>
  <c r="AN206" i="14"/>
  <c r="AM206" i="14"/>
  <c r="AO205" i="14"/>
  <c r="AN205" i="14"/>
  <c r="AM205" i="14"/>
  <c r="AO204" i="14"/>
  <c r="AN204" i="14"/>
  <c r="AM204" i="14"/>
  <c r="AO203" i="14"/>
  <c r="AN203" i="14"/>
  <c r="AM203" i="14"/>
  <c r="AO202" i="14"/>
  <c r="AN202" i="14"/>
  <c r="AM202" i="14"/>
  <c r="AO201" i="14"/>
  <c r="AN201" i="14"/>
  <c r="AM201" i="14"/>
  <c r="AO200" i="14"/>
  <c r="AN200" i="14"/>
  <c r="AM200" i="14"/>
  <c r="AO199" i="14"/>
  <c r="AN199" i="14"/>
  <c r="AM199" i="14"/>
  <c r="AO198" i="14"/>
  <c r="AN198" i="14"/>
  <c r="AM198" i="14"/>
  <c r="AO197" i="14"/>
  <c r="AN197" i="14"/>
  <c r="AM197" i="14"/>
  <c r="AO196" i="14"/>
  <c r="AN196" i="14"/>
  <c r="AM196" i="14"/>
  <c r="AO195" i="14"/>
  <c r="AN195" i="14"/>
  <c r="AM195" i="14"/>
  <c r="AO194" i="14"/>
  <c r="AN194" i="14"/>
  <c r="AM194" i="14"/>
  <c r="AO193" i="14"/>
  <c r="AN193" i="14"/>
  <c r="AM193" i="14"/>
  <c r="AO192" i="14"/>
  <c r="AN192" i="14"/>
  <c r="AM192" i="14"/>
  <c r="AO191" i="14"/>
  <c r="AN191" i="14"/>
  <c r="AM191" i="14"/>
  <c r="AO190" i="14"/>
  <c r="AN190" i="14"/>
  <c r="AM190" i="14"/>
  <c r="AO189" i="14"/>
  <c r="AN189" i="14"/>
  <c r="AM189" i="14"/>
  <c r="AO188" i="14"/>
  <c r="AN188" i="14"/>
  <c r="AM188" i="14"/>
  <c r="AO187" i="14"/>
  <c r="AN187" i="14"/>
  <c r="AM187" i="14"/>
  <c r="AO186" i="14"/>
  <c r="AN186" i="14"/>
  <c r="AM186" i="14"/>
  <c r="AO185" i="14"/>
  <c r="AN185" i="14"/>
  <c r="AM185" i="14"/>
  <c r="AO184" i="14"/>
  <c r="AN184" i="14"/>
  <c r="AM184" i="14"/>
  <c r="AO183" i="14"/>
  <c r="AN183" i="14"/>
  <c r="AM183" i="14"/>
  <c r="AO182" i="14"/>
  <c r="AN182" i="14"/>
  <c r="AM182" i="14"/>
  <c r="AO181" i="14"/>
  <c r="AN181" i="14"/>
  <c r="AM181" i="14"/>
  <c r="AO180" i="14"/>
  <c r="AN180" i="14"/>
  <c r="AM180" i="14"/>
  <c r="AO179" i="14"/>
  <c r="AN179" i="14"/>
  <c r="AM179" i="14"/>
  <c r="AO178" i="14"/>
  <c r="AN178" i="14"/>
  <c r="AM178" i="14"/>
  <c r="AO177" i="14"/>
  <c r="AN177" i="14"/>
  <c r="AM177" i="14"/>
  <c r="AO176" i="14"/>
  <c r="AN176" i="14"/>
  <c r="AM176" i="14"/>
  <c r="AO175" i="14"/>
  <c r="AN175" i="14"/>
  <c r="AM175" i="14"/>
  <c r="AO174" i="14"/>
  <c r="AN174" i="14"/>
  <c r="AM174" i="14"/>
  <c r="AO173" i="14"/>
  <c r="AN173" i="14"/>
  <c r="AM173" i="14"/>
  <c r="AO172" i="14"/>
  <c r="AN172" i="14"/>
  <c r="AM172" i="14"/>
  <c r="AO171" i="14"/>
  <c r="AN171" i="14"/>
  <c r="AM171" i="14"/>
  <c r="AO170" i="14"/>
  <c r="AN170" i="14"/>
  <c r="AM170" i="14"/>
  <c r="AO169" i="14"/>
  <c r="AN169" i="14"/>
  <c r="AM169" i="14"/>
  <c r="AO168" i="14"/>
  <c r="AN168" i="14"/>
  <c r="AM168" i="14"/>
  <c r="AO167" i="14"/>
  <c r="AN167" i="14"/>
  <c r="AM167" i="14"/>
  <c r="AO166" i="14"/>
  <c r="AN166" i="14"/>
  <c r="AM166" i="14"/>
  <c r="AO165" i="14"/>
  <c r="AN165" i="14"/>
  <c r="AM165" i="14"/>
  <c r="AO164" i="14"/>
  <c r="AN164" i="14"/>
  <c r="AM164" i="14"/>
  <c r="AO163" i="14"/>
  <c r="AN163" i="14"/>
  <c r="AM163" i="14"/>
  <c r="AO162" i="14"/>
  <c r="AN162" i="14"/>
  <c r="AM162" i="14"/>
  <c r="AO161" i="14"/>
  <c r="AN161" i="14"/>
  <c r="AM161" i="14"/>
  <c r="AO160" i="14"/>
  <c r="AN160" i="14"/>
  <c r="AM160" i="14"/>
  <c r="AO159" i="14"/>
  <c r="AN159" i="14"/>
  <c r="AM159" i="14"/>
  <c r="AO158" i="14"/>
  <c r="AN158" i="14"/>
  <c r="AM158" i="14"/>
  <c r="AO157" i="14"/>
  <c r="AN157" i="14"/>
  <c r="AM157" i="14"/>
  <c r="AO156" i="14"/>
  <c r="AN156" i="14"/>
  <c r="AM156" i="14"/>
  <c r="AO155" i="14"/>
  <c r="AN155" i="14"/>
  <c r="AM155" i="14"/>
  <c r="AO154" i="14"/>
  <c r="AN154" i="14"/>
  <c r="AM154" i="14"/>
  <c r="AO153" i="14"/>
  <c r="AN153" i="14"/>
  <c r="AM153" i="14"/>
  <c r="AO152" i="14"/>
  <c r="AN152" i="14"/>
  <c r="AM152" i="14"/>
  <c r="AO151" i="14"/>
  <c r="AN151" i="14"/>
  <c r="AM151" i="14"/>
  <c r="AO150" i="14"/>
  <c r="AN150" i="14"/>
  <c r="AM150" i="14"/>
  <c r="AC333" i="14"/>
  <c r="AB333" i="14"/>
  <c r="AA333" i="14"/>
  <c r="AC332" i="14"/>
  <c r="AB332" i="14"/>
  <c r="AA332" i="14"/>
  <c r="AC331" i="14"/>
  <c r="AB331" i="14"/>
  <c r="AA331" i="14"/>
  <c r="AC330" i="14"/>
  <c r="AB330" i="14"/>
  <c r="AA330" i="14"/>
  <c r="AC329" i="14"/>
  <c r="AB329" i="14"/>
  <c r="AA329" i="14"/>
  <c r="AC328" i="14"/>
  <c r="AB328" i="14"/>
  <c r="AA328" i="14"/>
  <c r="AC327" i="14"/>
  <c r="AB327" i="14"/>
  <c r="AA327" i="14"/>
  <c r="AC326" i="14"/>
  <c r="AB326" i="14"/>
  <c r="AA326" i="14"/>
  <c r="AC325" i="14"/>
  <c r="AB325" i="14"/>
  <c r="AA325" i="14"/>
  <c r="AC324" i="14"/>
  <c r="AB324" i="14"/>
  <c r="AA324" i="14"/>
  <c r="AC323" i="14"/>
  <c r="AB323" i="14"/>
  <c r="AA323" i="14"/>
  <c r="AC322" i="14"/>
  <c r="AB322" i="14"/>
  <c r="AA322" i="14"/>
  <c r="AC321" i="14"/>
  <c r="AB321" i="14"/>
  <c r="AA321" i="14"/>
  <c r="AC320" i="14"/>
  <c r="AB320" i="14"/>
  <c r="AA320" i="14"/>
  <c r="AC319" i="14"/>
  <c r="AB319" i="14"/>
  <c r="AA319" i="14"/>
  <c r="AC318" i="14"/>
  <c r="AB318" i="14"/>
  <c r="AA318" i="14"/>
  <c r="AC317" i="14"/>
  <c r="AB317" i="14"/>
  <c r="AA317" i="14"/>
  <c r="AC316" i="14"/>
  <c r="AB316" i="14"/>
  <c r="AA316" i="14"/>
  <c r="AC315" i="14"/>
  <c r="AB315" i="14"/>
  <c r="AA315" i="14"/>
  <c r="AC314" i="14"/>
  <c r="AB314" i="14"/>
  <c r="AA314" i="14"/>
  <c r="AC313" i="14"/>
  <c r="AB313" i="14"/>
  <c r="AA313" i="14"/>
  <c r="AC312" i="14"/>
  <c r="AB312" i="14"/>
  <c r="AA312" i="14"/>
  <c r="AC311" i="14"/>
  <c r="AB311" i="14"/>
  <c r="AA311" i="14"/>
  <c r="AC310" i="14"/>
  <c r="AB310" i="14"/>
  <c r="AA310" i="14"/>
  <c r="AC309" i="14"/>
  <c r="AB309" i="14"/>
  <c r="AA309" i="14"/>
  <c r="AC308" i="14"/>
  <c r="AB308" i="14"/>
  <c r="AA308" i="14"/>
  <c r="AC307" i="14"/>
  <c r="AB307" i="14"/>
  <c r="AA307" i="14"/>
  <c r="AC306" i="14"/>
  <c r="AB306" i="14"/>
  <c r="AA306" i="14"/>
  <c r="AC305" i="14"/>
  <c r="AB305" i="14"/>
  <c r="AA305" i="14"/>
  <c r="AC304" i="14"/>
  <c r="AB304" i="14"/>
  <c r="AA304" i="14"/>
  <c r="AC303" i="14"/>
  <c r="AB303" i="14"/>
  <c r="AA303" i="14"/>
  <c r="AC302" i="14"/>
  <c r="AB302" i="14"/>
  <c r="AA302" i="14"/>
  <c r="AC301" i="14"/>
  <c r="AB301" i="14"/>
  <c r="AA301" i="14"/>
  <c r="AC300" i="14"/>
  <c r="AB300" i="14"/>
  <c r="AA300" i="14"/>
  <c r="AC299" i="14"/>
  <c r="AB299" i="14"/>
  <c r="AA299" i="14"/>
  <c r="AC298" i="14"/>
  <c r="AB298" i="14"/>
  <c r="AA298" i="14"/>
  <c r="AC297" i="14"/>
  <c r="AB297" i="14"/>
  <c r="AA297" i="14"/>
  <c r="AC296" i="14"/>
  <c r="AB296" i="14"/>
  <c r="AA296" i="14"/>
  <c r="AC295" i="14"/>
  <c r="AB295" i="14"/>
  <c r="AA295" i="14"/>
  <c r="AC294" i="14"/>
  <c r="AB294" i="14"/>
  <c r="AA294" i="14"/>
  <c r="AC293" i="14"/>
  <c r="AB293" i="14"/>
  <c r="AA293" i="14"/>
  <c r="AC292" i="14"/>
  <c r="AB292" i="14"/>
  <c r="AA292" i="14"/>
  <c r="AC291" i="14"/>
  <c r="AB291" i="14"/>
  <c r="AA291" i="14"/>
  <c r="AC290" i="14"/>
  <c r="AB290" i="14"/>
  <c r="AA290" i="14"/>
  <c r="AC289" i="14"/>
  <c r="AB289" i="14"/>
  <c r="AA289" i="14"/>
  <c r="AC288" i="14"/>
  <c r="AB288" i="14"/>
  <c r="AA288" i="14"/>
  <c r="AC287" i="14"/>
  <c r="AB287" i="14"/>
  <c r="AA287" i="14"/>
  <c r="AC286" i="14"/>
  <c r="AB286" i="14"/>
  <c r="AA286" i="14"/>
  <c r="AC285" i="14"/>
  <c r="AB285" i="14"/>
  <c r="AA285" i="14"/>
  <c r="AC284" i="14"/>
  <c r="AB284" i="14"/>
  <c r="AA284" i="14"/>
  <c r="AC283" i="14"/>
  <c r="AB283" i="14"/>
  <c r="AA283" i="14"/>
  <c r="AC282" i="14"/>
  <c r="AB282" i="14"/>
  <c r="AA282" i="14"/>
  <c r="AC281" i="14"/>
  <c r="AB281" i="14"/>
  <c r="AA281" i="14"/>
  <c r="AC280" i="14"/>
  <c r="AB280" i="14"/>
  <c r="AA280" i="14"/>
  <c r="AC279" i="14"/>
  <c r="AB279" i="14"/>
  <c r="AA279" i="14"/>
  <c r="AC278" i="14"/>
  <c r="AB278" i="14"/>
  <c r="AA278" i="14"/>
  <c r="AC277" i="14"/>
  <c r="AB277" i="14"/>
  <c r="AA277" i="14"/>
  <c r="AC276" i="14"/>
  <c r="AB276" i="14"/>
  <c r="AA276" i="14"/>
  <c r="AC275" i="14"/>
  <c r="AB275" i="14"/>
  <c r="AA275" i="14"/>
  <c r="AC274" i="14"/>
  <c r="AB274" i="14"/>
  <c r="AA274" i="14"/>
  <c r="AC273" i="14"/>
  <c r="AB273" i="14"/>
  <c r="AA273" i="14"/>
  <c r="AC272" i="14"/>
  <c r="AB272" i="14"/>
  <c r="AA272" i="14"/>
  <c r="AC271" i="14"/>
  <c r="AB271" i="14"/>
  <c r="AA271" i="14"/>
  <c r="AC270" i="14"/>
  <c r="AB270" i="14"/>
  <c r="AA270" i="14"/>
  <c r="AC269" i="14"/>
  <c r="AB269" i="14"/>
  <c r="AA269" i="14"/>
  <c r="AC268" i="14"/>
  <c r="AB268" i="14"/>
  <c r="AA268" i="14"/>
  <c r="AC267" i="14"/>
  <c r="AB267" i="14"/>
  <c r="AA267" i="14"/>
  <c r="AC266" i="14"/>
  <c r="AB266" i="14"/>
  <c r="AA266" i="14"/>
  <c r="AC265" i="14"/>
  <c r="AB265" i="14"/>
  <c r="AA265" i="14"/>
  <c r="AC264" i="14"/>
  <c r="AB264" i="14"/>
  <c r="AA264" i="14"/>
  <c r="AC263" i="14"/>
  <c r="AB263" i="14"/>
  <c r="AA263" i="14"/>
  <c r="AC262" i="14"/>
  <c r="AB262" i="14"/>
  <c r="AA262" i="14"/>
  <c r="AC261" i="14"/>
  <c r="AB261" i="14"/>
  <c r="AA261" i="14"/>
  <c r="AC260" i="14"/>
  <c r="AB260" i="14"/>
  <c r="AA260" i="14"/>
  <c r="AC259" i="14"/>
  <c r="AB259" i="14"/>
  <c r="AA259" i="14"/>
  <c r="AC258" i="14"/>
  <c r="AB258" i="14"/>
  <c r="AA258" i="14"/>
  <c r="AC257" i="14"/>
  <c r="AB257" i="14"/>
  <c r="AA257" i="14"/>
  <c r="AC256" i="14"/>
  <c r="AB256" i="14"/>
  <c r="AA256" i="14"/>
  <c r="AC255" i="14"/>
  <c r="AB255" i="14"/>
  <c r="AA255" i="14"/>
  <c r="AC254" i="14"/>
  <c r="AB254" i="14"/>
  <c r="AA254" i="14"/>
  <c r="AC253" i="14"/>
  <c r="AB253" i="14"/>
  <c r="AA253" i="14"/>
  <c r="AC252" i="14"/>
  <c r="AB252" i="14"/>
  <c r="AA252" i="14"/>
  <c r="AC251" i="14"/>
  <c r="AB251" i="14"/>
  <c r="AA251" i="14"/>
  <c r="AC250" i="14"/>
  <c r="AB250" i="14"/>
  <c r="AA250" i="14"/>
  <c r="AC249" i="14"/>
  <c r="AB249" i="14"/>
  <c r="AA249" i="14"/>
  <c r="AC248" i="14"/>
  <c r="AB248" i="14"/>
  <c r="AA248" i="14"/>
  <c r="AC247" i="14"/>
  <c r="AB247" i="14"/>
  <c r="AA247" i="14"/>
  <c r="AC246" i="14"/>
  <c r="AB246" i="14"/>
  <c r="AA246" i="14"/>
  <c r="AC245" i="14"/>
  <c r="AB245" i="14"/>
  <c r="AA245" i="14"/>
  <c r="AC244" i="14"/>
  <c r="AB244" i="14"/>
  <c r="AA244" i="14"/>
  <c r="AC243" i="14"/>
  <c r="AB243" i="14"/>
  <c r="AA243" i="14"/>
  <c r="AC242" i="14"/>
  <c r="AB242" i="14"/>
  <c r="AA242" i="14"/>
  <c r="AC241" i="14"/>
  <c r="AB241" i="14"/>
  <c r="AA241" i="14"/>
  <c r="AC240" i="14"/>
  <c r="AB240" i="14"/>
  <c r="AA240" i="14"/>
  <c r="AC239" i="14"/>
  <c r="AB239" i="14"/>
  <c r="AA239" i="14"/>
  <c r="AC238" i="14"/>
  <c r="AB238" i="14"/>
  <c r="AA238" i="14"/>
  <c r="AC237" i="14"/>
  <c r="AB237" i="14"/>
  <c r="AA237" i="14"/>
  <c r="AC236" i="14"/>
  <c r="AB236" i="14"/>
  <c r="AA236" i="14"/>
  <c r="AC235" i="14"/>
  <c r="AB235" i="14"/>
  <c r="AA235" i="14"/>
  <c r="AC234" i="14"/>
  <c r="AB234" i="14"/>
  <c r="AA234" i="14"/>
  <c r="AC233" i="14"/>
  <c r="AB233" i="14"/>
  <c r="AA233" i="14"/>
  <c r="AC232" i="14"/>
  <c r="AB232" i="14"/>
  <c r="AA232" i="14"/>
  <c r="AC231" i="14"/>
  <c r="AB231" i="14"/>
  <c r="AA231" i="14"/>
  <c r="AC230" i="14"/>
  <c r="AB230" i="14"/>
  <c r="AA230" i="14"/>
  <c r="AC229" i="14"/>
  <c r="AB229" i="14"/>
  <c r="AA229" i="14"/>
  <c r="AC228" i="14"/>
  <c r="AB228" i="14"/>
  <c r="AA228" i="14"/>
  <c r="AC227" i="14"/>
  <c r="AB227" i="14"/>
  <c r="AA227" i="14"/>
  <c r="AC226" i="14"/>
  <c r="AB226" i="14"/>
  <c r="AA226" i="14"/>
  <c r="AC225" i="14"/>
  <c r="AB225" i="14"/>
  <c r="AA225" i="14"/>
  <c r="AC224" i="14"/>
  <c r="AB224" i="14"/>
  <c r="AA224" i="14"/>
  <c r="AC223" i="14"/>
  <c r="AB223" i="14"/>
  <c r="AA223" i="14"/>
  <c r="AC222" i="14"/>
  <c r="AB222" i="14"/>
  <c r="AA222" i="14"/>
  <c r="AC221" i="14"/>
  <c r="AB221" i="14"/>
  <c r="AA221" i="14"/>
  <c r="AC220" i="14"/>
  <c r="AB220" i="14"/>
  <c r="AA220" i="14"/>
  <c r="AC219" i="14"/>
  <c r="AB219" i="14"/>
  <c r="AA219" i="14"/>
  <c r="AC218" i="14"/>
  <c r="AB218" i="14"/>
  <c r="AA218" i="14"/>
  <c r="AC217" i="14"/>
  <c r="AB217" i="14"/>
  <c r="AA217" i="14"/>
  <c r="AC216" i="14"/>
  <c r="AB216" i="14"/>
  <c r="AA216" i="14"/>
  <c r="AC215" i="14"/>
  <c r="AB215" i="14"/>
  <c r="AA215" i="14"/>
  <c r="AC214" i="14"/>
  <c r="AB214" i="14"/>
  <c r="AA214" i="14"/>
  <c r="AC213" i="14"/>
  <c r="AB213" i="14"/>
  <c r="AA213" i="14"/>
  <c r="AC212" i="14"/>
  <c r="AB212" i="14"/>
  <c r="AA212" i="14"/>
  <c r="AC211" i="14"/>
  <c r="AB211" i="14"/>
  <c r="AA211" i="14"/>
  <c r="AC210" i="14"/>
  <c r="AB210" i="14"/>
  <c r="AA210" i="14"/>
  <c r="AC209" i="14"/>
  <c r="AB209" i="14"/>
  <c r="AA209" i="14"/>
  <c r="AC208" i="14"/>
  <c r="AB208" i="14"/>
  <c r="AA208" i="14"/>
  <c r="AC207" i="14"/>
  <c r="AB207" i="14"/>
  <c r="AA207" i="14"/>
  <c r="AC206" i="14"/>
  <c r="AB206" i="14"/>
  <c r="AA206" i="14"/>
  <c r="AC205" i="14"/>
  <c r="AB205" i="14"/>
  <c r="AA205" i="14"/>
  <c r="AC204" i="14"/>
  <c r="AB204" i="14"/>
  <c r="AA204" i="14"/>
  <c r="AC203" i="14"/>
  <c r="AB203" i="14"/>
  <c r="AA203" i="14"/>
  <c r="AC202" i="14"/>
  <c r="AB202" i="14"/>
  <c r="AA202" i="14"/>
  <c r="AC201" i="14"/>
  <c r="AB201" i="14"/>
  <c r="AA201" i="14"/>
  <c r="AC200" i="14"/>
  <c r="AB200" i="14"/>
  <c r="AA200" i="14"/>
  <c r="AC199" i="14"/>
  <c r="AB199" i="14"/>
  <c r="AA199" i="14"/>
  <c r="AC198" i="14"/>
  <c r="AB198" i="14"/>
  <c r="AA198" i="14"/>
  <c r="AC197" i="14"/>
  <c r="AB197" i="14"/>
  <c r="AA197" i="14"/>
  <c r="AC196" i="14"/>
  <c r="AB196" i="14"/>
  <c r="AA196" i="14"/>
  <c r="AC195" i="14"/>
  <c r="AB195" i="14"/>
  <c r="AA195" i="14"/>
  <c r="AC194" i="14"/>
  <c r="AB194" i="14"/>
  <c r="AA194" i="14"/>
  <c r="AC193" i="14"/>
  <c r="AB193" i="14"/>
  <c r="AA193" i="14"/>
  <c r="AC192" i="14"/>
  <c r="AB192" i="14"/>
  <c r="AA192" i="14"/>
  <c r="AC191" i="14"/>
  <c r="AB191" i="14"/>
  <c r="AA191" i="14"/>
  <c r="AC190" i="14"/>
  <c r="AB190" i="14"/>
  <c r="AA190" i="14"/>
  <c r="AC189" i="14"/>
  <c r="AB189" i="14"/>
  <c r="AA189" i="14"/>
  <c r="AC188" i="14"/>
  <c r="AB188" i="14"/>
  <c r="AA188" i="14"/>
  <c r="AC187" i="14"/>
  <c r="AB187" i="14"/>
  <c r="AA187" i="14"/>
  <c r="AC186" i="14"/>
  <c r="AB186" i="14"/>
  <c r="AA186" i="14"/>
  <c r="AC185" i="14"/>
  <c r="AB185" i="14"/>
  <c r="AA185" i="14"/>
  <c r="AC184" i="14"/>
  <c r="AB184" i="14"/>
  <c r="AA184" i="14"/>
  <c r="AC183" i="14"/>
  <c r="AB183" i="14"/>
  <c r="AA183" i="14"/>
  <c r="AC182" i="14"/>
  <c r="AB182" i="14"/>
  <c r="AA182" i="14"/>
  <c r="AC181" i="14"/>
  <c r="AB181" i="14"/>
  <c r="AA181" i="14"/>
  <c r="AC180" i="14"/>
  <c r="AB180" i="14"/>
  <c r="AA180" i="14"/>
  <c r="AC179" i="14"/>
  <c r="AB179" i="14"/>
  <c r="AA179" i="14"/>
  <c r="AC178" i="14"/>
  <c r="AB178" i="14"/>
  <c r="AA178" i="14"/>
  <c r="AC177" i="14"/>
  <c r="AB177" i="14"/>
  <c r="AA177" i="14"/>
  <c r="AC176" i="14"/>
  <c r="AB176" i="14"/>
  <c r="AA176" i="14"/>
  <c r="AC175" i="14"/>
  <c r="AB175" i="14"/>
  <c r="AA175" i="14"/>
  <c r="AC174" i="14"/>
  <c r="AB174" i="14"/>
  <c r="AA174" i="14"/>
  <c r="AC173" i="14"/>
  <c r="AB173" i="14"/>
  <c r="AA173" i="14"/>
  <c r="AC172" i="14"/>
  <c r="AB172" i="14"/>
  <c r="AA172" i="14"/>
  <c r="AC171" i="14"/>
  <c r="AB171" i="14"/>
  <c r="AA171" i="14"/>
  <c r="AC170" i="14"/>
  <c r="AB170" i="14"/>
  <c r="AA170" i="14"/>
  <c r="AC169" i="14"/>
  <c r="AB169" i="14"/>
  <c r="AA169" i="14"/>
  <c r="AC168" i="14"/>
  <c r="AB168" i="14"/>
  <c r="AA168" i="14"/>
  <c r="AC167" i="14"/>
  <c r="AB167" i="14"/>
  <c r="AA167" i="14"/>
  <c r="AC166" i="14"/>
  <c r="AB166" i="14"/>
  <c r="AA166" i="14"/>
  <c r="AC165" i="14"/>
  <c r="AB165" i="14"/>
  <c r="AA165" i="14"/>
  <c r="AC164" i="14"/>
  <c r="AB164" i="14"/>
  <c r="AA164" i="14"/>
  <c r="AC163" i="14"/>
  <c r="AB163" i="14"/>
  <c r="AA163" i="14"/>
  <c r="AC162" i="14"/>
  <c r="AB162" i="14"/>
  <c r="AA162" i="14"/>
  <c r="AC161" i="14"/>
  <c r="AB161" i="14"/>
  <c r="AA161" i="14"/>
  <c r="AC160" i="14"/>
  <c r="AB160" i="14"/>
  <c r="AA160" i="14"/>
  <c r="AC159" i="14"/>
  <c r="AB159" i="14"/>
  <c r="AA159" i="14"/>
  <c r="AC158" i="14"/>
  <c r="AB158" i="14"/>
  <c r="AA158" i="14"/>
  <c r="AC157" i="14"/>
  <c r="AB157" i="14"/>
  <c r="AA157" i="14"/>
  <c r="AC156" i="14"/>
  <c r="AB156" i="14"/>
  <c r="AA156" i="14"/>
  <c r="AC155" i="14"/>
  <c r="AB155" i="14"/>
  <c r="AA155" i="14"/>
  <c r="AC154" i="14"/>
  <c r="AB154" i="14"/>
  <c r="AA154" i="14"/>
  <c r="AC153" i="14"/>
  <c r="AB153" i="14"/>
  <c r="AA153" i="14"/>
  <c r="AC152" i="14"/>
  <c r="AB152" i="14"/>
  <c r="AA152" i="14"/>
  <c r="AC151" i="14"/>
  <c r="AB151" i="14"/>
  <c r="AA151" i="14"/>
  <c r="AC150" i="14"/>
  <c r="AB150" i="14"/>
  <c r="AA150" i="14"/>
  <c r="Q333" i="14"/>
  <c r="P333" i="14"/>
  <c r="O333" i="14"/>
  <c r="Q332" i="14"/>
  <c r="P332" i="14"/>
  <c r="O332" i="14"/>
  <c r="Q331" i="14"/>
  <c r="P331" i="14"/>
  <c r="O331" i="14"/>
  <c r="Q330" i="14"/>
  <c r="P330" i="14"/>
  <c r="O330" i="14"/>
  <c r="Q329" i="14"/>
  <c r="P329" i="14"/>
  <c r="O329" i="14"/>
  <c r="Q328" i="14"/>
  <c r="P328" i="14"/>
  <c r="O328" i="14"/>
  <c r="Q327" i="14"/>
  <c r="P327" i="14"/>
  <c r="O327" i="14"/>
  <c r="Q326" i="14"/>
  <c r="P326" i="14"/>
  <c r="O326" i="14"/>
  <c r="Q325" i="14"/>
  <c r="P325" i="14"/>
  <c r="O325" i="14"/>
  <c r="Q324" i="14"/>
  <c r="P324" i="14"/>
  <c r="O324" i="14"/>
  <c r="Q323" i="14"/>
  <c r="P323" i="14"/>
  <c r="O323" i="14"/>
  <c r="Q322" i="14"/>
  <c r="P322" i="14"/>
  <c r="O322" i="14"/>
  <c r="Q321" i="14"/>
  <c r="P321" i="14"/>
  <c r="O321" i="14"/>
  <c r="Q320" i="14"/>
  <c r="P320" i="14"/>
  <c r="O320" i="14"/>
  <c r="Q319" i="14"/>
  <c r="P319" i="14"/>
  <c r="O319" i="14"/>
  <c r="Q318" i="14"/>
  <c r="P318" i="14"/>
  <c r="O318" i="14"/>
  <c r="Q317" i="14"/>
  <c r="P317" i="14"/>
  <c r="O317" i="14"/>
  <c r="Q316" i="14"/>
  <c r="P316" i="14"/>
  <c r="O316" i="14"/>
  <c r="Q315" i="14"/>
  <c r="P315" i="14"/>
  <c r="O315" i="14"/>
  <c r="Q314" i="14"/>
  <c r="P314" i="14"/>
  <c r="O314" i="14"/>
  <c r="Q313" i="14"/>
  <c r="P313" i="14"/>
  <c r="O313" i="14"/>
  <c r="Q312" i="14"/>
  <c r="P312" i="14"/>
  <c r="O312" i="14"/>
  <c r="Q311" i="14"/>
  <c r="P311" i="14"/>
  <c r="O311" i="14"/>
  <c r="Q310" i="14"/>
  <c r="P310" i="14"/>
  <c r="O310" i="14"/>
  <c r="Q309" i="14"/>
  <c r="P309" i="14"/>
  <c r="O309" i="14"/>
  <c r="Q308" i="14"/>
  <c r="P308" i="14"/>
  <c r="O308" i="14"/>
  <c r="Q307" i="14"/>
  <c r="P307" i="14"/>
  <c r="O307" i="14"/>
  <c r="Q306" i="14"/>
  <c r="P306" i="14"/>
  <c r="O306" i="14"/>
  <c r="Q305" i="14"/>
  <c r="P305" i="14"/>
  <c r="O305" i="14"/>
  <c r="Q304" i="14"/>
  <c r="P304" i="14"/>
  <c r="O304" i="14"/>
  <c r="Q303" i="14"/>
  <c r="P303" i="14"/>
  <c r="O303" i="14"/>
  <c r="Q302" i="14"/>
  <c r="P302" i="14"/>
  <c r="O302" i="14"/>
  <c r="Q301" i="14"/>
  <c r="P301" i="14"/>
  <c r="O301" i="14"/>
  <c r="Q300" i="14"/>
  <c r="P300" i="14"/>
  <c r="O300" i="14"/>
  <c r="Q299" i="14"/>
  <c r="P299" i="14"/>
  <c r="O299" i="14"/>
  <c r="Q298" i="14"/>
  <c r="P298" i="14"/>
  <c r="O298" i="14"/>
  <c r="Q297" i="14"/>
  <c r="P297" i="14"/>
  <c r="O297" i="14"/>
  <c r="Q296" i="14"/>
  <c r="P296" i="14"/>
  <c r="O296" i="14"/>
  <c r="Q295" i="14"/>
  <c r="P295" i="14"/>
  <c r="O295" i="14"/>
  <c r="Q294" i="14"/>
  <c r="P294" i="14"/>
  <c r="O294" i="14"/>
  <c r="Q293" i="14"/>
  <c r="P293" i="14"/>
  <c r="O293" i="14"/>
  <c r="Q292" i="14"/>
  <c r="P292" i="14"/>
  <c r="O292" i="14"/>
  <c r="Q291" i="14"/>
  <c r="P291" i="14"/>
  <c r="O291" i="14"/>
  <c r="Q290" i="14"/>
  <c r="P290" i="14"/>
  <c r="O290" i="14"/>
  <c r="Q289" i="14"/>
  <c r="P289" i="14"/>
  <c r="O289" i="14"/>
  <c r="Q288" i="14"/>
  <c r="P288" i="14"/>
  <c r="O288" i="14"/>
  <c r="Q287" i="14"/>
  <c r="P287" i="14"/>
  <c r="O287" i="14"/>
  <c r="Q286" i="14"/>
  <c r="P286" i="14"/>
  <c r="O286" i="14"/>
  <c r="Q285" i="14"/>
  <c r="P285" i="14"/>
  <c r="O285" i="14"/>
  <c r="Q284" i="14"/>
  <c r="P284" i="14"/>
  <c r="O284" i="14"/>
  <c r="Q283" i="14"/>
  <c r="P283" i="14"/>
  <c r="O283" i="14"/>
  <c r="Q282" i="14"/>
  <c r="P282" i="14"/>
  <c r="O282" i="14"/>
  <c r="Q281" i="14"/>
  <c r="P281" i="14"/>
  <c r="O281" i="14"/>
  <c r="Q280" i="14"/>
  <c r="P280" i="14"/>
  <c r="O280" i="14"/>
  <c r="Q279" i="14"/>
  <c r="P279" i="14"/>
  <c r="O279" i="14"/>
  <c r="Q278" i="14"/>
  <c r="P278" i="14"/>
  <c r="O278" i="14"/>
  <c r="Q277" i="14"/>
  <c r="P277" i="14"/>
  <c r="O277" i="14"/>
  <c r="Q276" i="14"/>
  <c r="P276" i="14"/>
  <c r="O276" i="14"/>
  <c r="Q275" i="14"/>
  <c r="P275" i="14"/>
  <c r="O275" i="14"/>
  <c r="Q274" i="14"/>
  <c r="P274" i="14"/>
  <c r="O274" i="14"/>
  <c r="Q273" i="14"/>
  <c r="P273" i="14"/>
  <c r="O273" i="14"/>
  <c r="Q272" i="14"/>
  <c r="P272" i="14"/>
  <c r="O272" i="14"/>
  <c r="Q271" i="14"/>
  <c r="P271" i="14"/>
  <c r="O271" i="14"/>
  <c r="Q270" i="14"/>
  <c r="P270" i="14"/>
  <c r="O270" i="14"/>
  <c r="Q269" i="14"/>
  <c r="P269" i="14"/>
  <c r="O269" i="14"/>
  <c r="Q268" i="14"/>
  <c r="P268" i="14"/>
  <c r="O268" i="14"/>
  <c r="Q267" i="14"/>
  <c r="P267" i="14"/>
  <c r="O267" i="14"/>
  <c r="Q266" i="14"/>
  <c r="P266" i="14"/>
  <c r="O266" i="14"/>
  <c r="Q265" i="14"/>
  <c r="P265" i="14"/>
  <c r="O265" i="14"/>
  <c r="Q264" i="14"/>
  <c r="P264" i="14"/>
  <c r="O264" i="14"/>
  <c r="Q263" i="14"/>
  <c r="P263" i="14"/>
  <c r="O263" i="14"/>
  <c r="Q262" i="14"/>
  <c r="P262" i="14"/>
  <c r="O262" i="14"/>
  <c r="Q261" i="14"/>
  <c r="P261" i="14"/>
  <c r="O261" i="14"/>
  <c r="Q260" i="14"/>
  <c r="P260" i="14"/>
  <c r="O260" i="14"/>
  <c r="Q259" i="14"/>
  <c r="P259" i="14"/>
  <c r="O259" i="14"/>
  <c r="Q258" i="14"/>
  <c r="P258" i="14"/>
  <c r="O258" i="14"/>
  <c r="Q257" i="14"/>
  <c r="P257" i="14"/>
  <c r="O257" i="14"/>
  <c r="Q256" i="14"/>
  <c r="P256" i="14"/>
  <c r="O256" i="14"/>
  <c r="Q255" i="14"/>
  <c r="P255" i="14"/>
  <c r="O255" i="14"/>
  <c r="Q254" i="14"/>
  <c r="P254" i="14"/>
  <c r="O254" i="14"/>
  <c r="Q253" i="14"/>
  <c r="P253" i="14"/>
  <c r="O253" i="14"/>
  <c r="Q252" i="14"/>
  <c r="P252" i="14"/>
  <c r="O252" i="14"/>
  <c r="Q251" i="14"/>
  <c r="P251" i="14"/>
  <c r="O251" i="14"/>
  <c r="Q250" i="14"/>
  <c r="P250" i="14"/>
  <c r="O250" i="14"/>
  <c r="Q249" i="14"/>
  <c r="P249" i="14"/>
  <c r="O249" i="14"/>
  <c r="Q248" i="14"/>
  <c r="P248" i="14"/>
  <c r="O248" i="14"/>
  <c r="Q247" i="14"/>
  <c r="P247" i="14"/>
  <c r="O247" i="14"/>
  <c r="Q246" i="14"/>
  <c r="P246" i="14"/>
  <c r="O246" i="14"/>
  <c r="Q245" i="14"/>
  <c r="P245" i="14"/>
  <c r="O245" i="14"/>
  <c r="Q244" i="14"/>
  <c r="P244" i="14"/>
  <c r="O244" i="14"/>
  <c r="Q243" i="14"/>
  <c r="P243" i="14"/>
  <c r="O243" i="14"/>
  <c r="Q242" i="14"/>
  <c r="P242" i="14"/>
  <c r="O242" i="14"/>
  <c r="Q241" i="14"/>
  <c r="P241" i="14"/>
  <c r="O241" i="14"/>
  <c r="Q240" i="14"/>
  <c r="P240" i="14"/>
  <c r="O240" i="14"/>
  <c r="Q239" i="14"/>
  <c r="P239" i="14"/>
  <c r="O239" i="14"/>
  <c r="Q238" i="14"/>
  <c r="P238" i="14"/>
  <c r="O238" i="14"/>
  <c r="Q237" i="14"/>
  <c r="P237" i="14"/>
  <c r="O237" i="14"/>
  <c r="Q236" i="14"/>
  <c r="P236" i="14"/>
  <c r="O236" i="14"/>
  <c r="Q235" i="14"/>
  <c r="P235" i="14"/>
  <c r="O235" i="14"/>
  <c r="Q234" i="14"/>
  <c r="P234" i="14"/>
  <c r="O234" i="14"/>
  <c r="Q233" i="14"/>
  <c r="P233" i="14"/>
  <c r="O233" i="14"/>
  <c r="Q232" i="14"/>
  <c r="P232" i="14"/>
  <c r="O232" i="14"/>
  <c r="Q231" i="14"/>
  <c r="P231" i="14"/>
  <c r="O231" i="14"/>
  <c r="Q230" i="14"/>
  <c r="P230" i="14"/>
  <c r="O230" i="14"/>
  <c r="Q229" i="14"/>
  <c r="P229" i="14"/>
  <c r="O229" i="14"/>
  <c r="Q228" i="14"/>
  <c r="P228" i="14"/>
  <c r="O228" i="14"/>
  <c r="Q227" i="14"/>
  <c r="P227" i="14"/>
  <c r="O227" i="14"/>
  <c r="Q226" i="14"/>
  <c r="P226" i="14"/>
  <c r="O226" i="14"/>
  <c r="Q225" i="14"/>
  <c r="P225" i="14"/>
  <c r="O225" i="14"/>
  <c r="Q224" i="14"/>
  <c r="P224" i="14"/>
  <c r="O224" i="14"/>
  <c r="Q223" i="14"/>
  <c r="P223" i="14"/>
  <c r="O223" i="14"/>
  <c r="Q222" i="14"/>
  <c r="P222" i="14"/>
  <c r="O222" i="14"/>
  <c r="Q221" i="14"/>
  <c r="P221" i="14"/>
  <c r="O221" i="14"/>
  <c r="Q220" i="14"/>
  <c r="P220" i="14"/>
  <c r="O220" i="14"/>
  <c r="Q219" i="14"/>
  <c r="P219" i="14"/>
  <c r="O219" i="14"/>
  <c r="Q218" i="14"/>
  <c r="P218" i="14"/>
  <c r="O218" i="14"/>
  <c r="Q217" i="14"/>
  <c r="P217" i="14"/>
  <c r="O217" i="14"/>
  <c r="Q216" i="14"/>
  <c r="P216" i="14"/>
  <c r="O216" i="14"/>
  <c r="Q215" i="14"/>
  <c r="P215" i="14"/>
  <c r="O215" i="14"/>
  <c r="Q214" i="14"/>
  <c r="P214" i="14"/>
  <c r="O214" i="14"/>
  <c r="Q213" i="14"/>
  <c r="P213" i="14"/>
  <c r="O213" i="14"/>
  <c r="Q212" i="14"/>
  <c r="P212" i="14"/>
  <c r="O212" i="14"/>
  <c r="Q211" i="14"/>
  <c r="P211" i="14"/>
  <c r="O211" i="14"/>
  <c r="Q210" i="14"/>
  <c r="P210" i="14"/>
  <c r="O210" i="14"/>
  <c r="Q209" i="14"/>
  <c r="P209" i="14"/>
  <c r="O209" i="14"/>
  <c r="Q208" i="14"/>
  <c r="P208" i="14"/>
  <c r="O208" i="14"/>
  <c r="Q207" i="14"/>
  <c r="P207" i="14"/>
  <c r="O207" i="14"/>
  <c r="Q206" i="14"/>
  <c r="P206" i="14"/>
  <c r="O206" i="14"/>
  <c r="Q205" i="14"/>
  <c r="P205" i="14"/>
  <c r="O205" i="14"/>
  <c r="Q204" i="14"/>
  <c r="P204" i="14"/>
  <c r="O204" i="14"/>
  <c r="Q203" i="14"/>
  <c r="P203" i="14"/>
  <c r="O203" i="14"/>
  <c r="Q202" i="14"/>
  <c r="P202" i="14"/>
  <c r="O202" i="14"/>
  <c r="Q201" i="14"/>
  <c r="P201" i="14"/>
  <c r="O201" i="14"/>
  <c r="Q200" i="14"/>
  <c r="P200" i="14"/>
  <c r="O200" i="14"/>
  <c r="Q199" i="14"/>
  <c r="P199" i="14"/>
  <c r="O199" i="14"/>
  <c r="Q198" i="14"/>
  <c r="P198" i="14"/>
  <c r="O198" i="14"/>
  <c r="Q197" i="14"/>
  <c r="P197" i="14"/>
  <c r="O197" i="14"/>
  <c r="Q196" i="14"/>
  <c r="P196" i="14"/>
  <c r="O196" i="14"/>
  <c r="Q195" i="14"/>
  <c r="P195" i="14"/>
  <c r="O195" i="14"/>
  <c r="Q194" i="14"/>
  <c r="P194" i="14"/>
  <c r="O194" i="14"/>
  <c r="Q193" i="14"/>
  <c r="P193" i="14"/>
  <c r="O193" i="14"/>
  <c r="Q192" i="14"/>
  <c r="P192" i="14"/>
  <c r="O192" i="14"/>
  <c r="Q191" i="14"/>
  <c r="P191" i="14"/>
  <c r="O191" i="14"/>
  <c r="Q190" i="14"/>
  <c r="P190" i="14"/>
  <c r="O190" i="14"/>
  <c r="Q189" i="14"/>
  <c r="P189" i="14"/>
  <c r="O189" i="14"/>
  <c r="Q188" i="14"/>
  <c r="P188" i="14"/>
  <c r="O188" i="14"/>
  <c r="Q187" i="14"/>
  <c r="P187" i="14"/>
  <c r="O187" i="14"/>
  <c r="Q186" i="14"/>
  <c r="P186" i="14"/>
  <c r="O186" i="14"/>
  <c r="Q185" i="14"/>
  <c r="P185" i="14"/>
  <c r="O185" i="14"/>
  <c r="Q184" i="14"/>
  <c r="P184" i="14"/>
  <c r="O184" i="14"/>
  <c r="Q183" i="14"/>
  <c r="P183" i="14"/>
  <c r="O183" i="14"/>
  <c r="Q182" i="14"/>
  <c r="P182" i="14"/>
  <c r="O182" i="14"/>
  <c r="Q181" i="14"/>
  <c r="P181" i="14"/>
  <c r="O181" i="14"/>
  <c r="Q180" i="14"/>
  <c r="P180" i="14"/>
  <c r="O180" i="14"/>
  <c r="Q179" i="14"/>
  <c r="P179" i="14"/>
  <c r="O179" i="14"/>
  <c r="Q178" i="14"/>
  <c r="P178" i="14"/>
  <c r="O178" i="14"/>
  <c r="Q177" i="14"/>
  <c r="P177" i="14"/>
  <c r="O177" i="14"/>
  <c r="Q176" i="14"/>
  <c r="P176" i="14"/>
  <c r="O176" i="14"/>
  <c r="Q175" i="14"/>
  <c r="P175" i="14"/>
  <c r="O175" i="14"/>
  <c r="Q174" i="14"/>
  <c r="P174" i="14"/>
  <c r="O174" i="14"/>
  <c r="Q173" i="14"/>
  <c r="P173" i="14"/>
  <c r="O173" i="14"/>
  <c r="Q172" i="14"/>
  <c r="P172" i="14"/>
  <c r="O172" i="14"/>
  <c r="Q171" i="14"/>
  <c r="P171" i="14"/>
  <c r="O171" i="14"/>
  <c r="Q170" i="14"/>
  <c r="P170" i="14"/>
  <c r="O170" i="14"/>
  <c r="Q169" i="14"/>
  <c r="P169" i="14"/>
  <c r="O169" i="14"/>
  <c r="Q168" i="14"/>
  <c r="P168" i="14"/>
  <c r="O168" i="14"/>
  <c r="Q167" i="14"/>
  <c r="P167" i="14"/>
  <c r="O167" i="14"/>
  <c r="Q166" i="14"/>
  <c r="P166" i="14"/>
  <c r="O166" i="14"/>
  <c r="Q165" i="14"/>
  <c r="P165" i="14"/>
  <c r="O165" i="14"/>
  <c r="Q164" i="14"/>
  <c r="P164" i="14"/>
  <c r="O164" i="14"/>
  <c r="Q163" i="14"/>
  <c r="P163" i="14"/>
  <c r="O163" i="14"/>
  <c r="Q162" i="14"/>
  <c r="P162" i="14"/>
  <c r="O162" i="14"/>
  <c r="Q161" i="14"/>
  <c r="P161" i="14"/>
  <c r="O161" i="14"/>
  <c r="Q160" i="14"/>
  <c r="P160" i="14"/>
  <c r="O160" i="14"/>
  <c r="Q159" i="14"/>
  <c r="P159" i="14"/>
  <c r="O159" i="14"/>
  <c r="Q158" i="14"/>
  <c r="P158" i="14"/>
  <c r="O158" i="14"/>
  <c r="Q157" i="14"/>
  <c r="P157" i="14"/>
  <c r="O157" i="14"/>
  <c r="Q156" i="14"/>
  <c r="P156" i="14"/>
  <c r="O156" i="14"/>
  <c r="Q155" i="14"/>
  <c r="P155" i="14"/>
  <c r="O155" i="14"/>
  <c r="Q154" i="14"/>
  <c r="P154" i="14"/>
  <c r="O154" i="14"/>
  <c r="Q153" i="14"/>
  <c r="P153" i="14"/>
  <c r="O153" i="14"/>
  <c r="Q152" i="14"/>
  <c r="P152" i="14"/>
  <c r="O152" i="14"/>
  <c r="Q151" i="14"/>
  <c r="P151" i="14"/>
  <c r="O151" i="14"/>
  <c r="Q150" i="14"/>
  <c r="P150" i="14"/>
  <c r="O150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17" i="14"/>
  <c r="D117" i="14"/>
  <c r="C117" i="14"/>
  <c r="E116" i="14"/>
  <c r="D116" i="14"/>
  <c r="C116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9" i="14"/>
  <c r="D109" i="14"/>
  <c r="C109" i="14"/>
  <c r="E108" i="14"/>
  <c r="D108" i="14"/>
  <c r="C108" i="14"/>
  <c r="E107" i="14"/>
  <c r="D107" i="14"/>
  <c r="C107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6" i="14"/>
  <c r="D86" i="14"/>
  <c r="C86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8" i="14"/>
  <c r="D68" i="14"/>
  <c r="C68" i="14"/>
  <c r="E67" i="14"/>
  <c r="D67" i="14"/>
  <c r="C67" i="14"/>
  <c r="E66" i="14"/>
  <c r="D66" i="14"/>
  <c r="C66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29" i="14"/>
  <c r="D29" i="14"/>
  <c r="C29" i="14"/>
  <c r="E28" i="14"/>
  <c r="D28" i="14"/>
  <c r="C28" i="14"/>
  <c r="E27" i="14"/>
  <c r="D27" i="14"/>
  <c r="C27" i="14"/>
  <c r="E26" i="14"/>
  <c r="D26" i="14"/>
  <c r="C26" i="14"/>
  <c r="E25" i="14"/>
  <c r="D25" i="14"/>
  <c r="C25" i="14"/>
  <c r="E24" i="14"/>
  <c r="D24" i="14"/>
  <c r="C24" i="14"/>
  <c r="E23" i="14"/>
  <c r="D23" i="14"/>
  <c r="C23" i="14"/>
  <c r="E21" i="14"/>
  <c r="D21" i="14"/>
  <c r="C21" i="14"/>
  <c r="E20" i="14"/>
  <c r="D20" i="14"/>
  <c r="C20" i="14"/>
  <c r="E19" i="14"/>
  <c r="D19" i="14"/>
  <c r="C19" i="14"/>
  <c r="E18" i="14"/>
  <c r="D18" i="14"/>
  <c r="C18" i="14"/>
  <c r="E17" i="14"/>
  <c r="D17" i="14"/>
  <c r="C17" i="14"/>
  <c r="E16" i="14"/>
  <c r="D16" i="14"/>
  <c r="C16" i="14"/>
  <c r="E15" i="14"/>
  <c r="D15" i="14"/>
  <c r="C15" i="14"/>
  <c r="E14" i="14"/>
  <c r="D14" i="14"/>
  <c r="C14" i="14"/>
  <c r="E13" i="14"/>
  <c r="D13" i="14"/>
  <c r="C13" i="14"/>
  <c r="E12" i="14"/>
  <c r="D12" i="14"/>
  <c r="C12" i="14"/>
  <c r="E11" i="14"/>
  <c r="D11" i="14"/>
  <c r="C11" i="14"/>
  <c r="E10" i="14"/>
  <c r="D10" i="14"/>
  <c r="C10" i="14"/>
  <c r="E9" i="14"/>
  <c r="D9" i="14"/>
  <c r="C9" i="14"/>
  <c r="E8" i="14"/>
  <c r="D8" i="14"/>
  <c r="C8" i="14"/>
  <c r="E7" i="14"/>
  <c r="D7" i="14"/>
  <c r="C7" i="14"/>
  <c r="E6" i="14"/>
  <c r="D6" i="14"/>
  <c r="C6" i="14"/>
  <c r="AH333" i="14"/>
  <c r="AE333" i="14"/>
  <c r="V333" i="14"/>
  <c r="S333" i="14"/>
  <c r="BF332" i="14"/>
  <c r="BC332" i="14"/>
  <c r="AH332" i="14"/>
  <c r="AE332" i="14"/>
  <c r="V332" i="14"/>
  <c r="S332" i="14"/>
  <c r="BF331" i="14"/>
  <c r="BC331" i="14"/>
  <c r="AH331" i="14"/>
  <c r="AE331" i="14"/>
  <c r="V331" i="14"/>
  <c r="S331" i="14"/>
  <c r="BF330" i="14"/>
  <c r="BC330" i="14"/>
  <c r="AH330" i="14"/>
  <c r="AE330" i="14"/>
  <c r="V330" i="14"/>
  <c r="S330" i="14"/>
  <c r="C350" i="96" l="1"/>
  <c r="D350" i="96"/>
  <c r="E350" i="96"/>
  <c r="C332" i="14"/>
  <c r="C335" i="87"/>
  <c r="E332" i="14"/>
  <c r="E335" i="87"/>
  <c r="J64" i="87"/>
  <c r="G71" i="87"/>
  <c r="G79" i="87"/>
  <c r="G83" i="87"/>
  <c r="J84" i="87"/>
  <c r="J92" i="87"/>
  <c r="G99" i="87"/>
  <c r="D335" i="87"/>
  <c r="G335" i="87"/>
  <c r="J335" i="87"/>
  <c r="D103" i="87"/>
  <c r="D54" i="87"/>
  <c r="C77" i="87"/>
  <c r="C101" i="87"/>
  <c r="J23" i="87"/>
  <c r="J43" i="87"/>
  <c r="G46" i="87"/>
  <c r="J47" i="87"/>
  <c r="G55" i="87"/>
  <c r="D52" i="87"/>
  <c r="D24" i="87"/>
  <c r="D32" i="87"/>
  <c r="D44" i="87"/>
  <c r="C7" i="87"/>
  <c r="C11" i="87"/>
  <c r="C15" i="87"/>
  <c r="C43" i="87"/>
  <c r="J107" i="87"/>
  <c r="J111" i="87"/>
  <c r="E104" i="87"/>
  <c r="G12" i="87"/>
  <c r="J13" i="87"/>
  <c r="G20" i="87"/>
  <c r="J25" i="87"/>
  <c r="G28" i="87"/>
  <c r="J29" i="87"/>
  <c r="G32" i="87"/>
  <c r="J33" i="87"/>
  <c r="G72" i="87"/>
  <c r="G76" i="87"/>
  <c r="D78" i="87"/>
  <c r="G80" i="87"/>
  <c r="J106" i="87"/>
  <c r="J110" i="87"/>
  <c r="J114" i="87"/>
  <c r="J6" i="87"/>
  <c r="G9" i="87"/>
  <c r="G17" i="87"/>
  <c r="G21" i="87"/>
  <c r="G58" i="87"/>
  <c r="J59" i="87"/>
  <c r="G62" i="87"/>
  <c r="D64" i="87"/>
  <c r="G74" i="87"/>
  <c r="G90" i="87"/>
  <c r="G94" i="87"/>
  <c r="D105" i="87"/>
  <c r="E6" i="87"/>
  <c r="D26" i="87"/>
  <c r="D46" i="87"/>
  <c r="C59" i="87"/>
  <c r="D92" i="87"/>
  <c r="C100" i="87"/>
  <c r="D56" i="87"/>
  <c r="D6" i="87"/>
  <c r="G7" i="87"/>
  <c r="G11" i="87"/>
  <c r="D16" i="87"/>
  <c r="G19" i="87"/>
  <c r="D25" i="87"/>
  <c r="C49" i="87"/>
  <c r="C53" i="87"/>
  <c r="G56" i="87"/>
  <c r="J57" i="87"/>
  <c r="D58" i="87"/>
  <c r="D62" i="87"/>
  <c r="G65" i="87"/>
  <c r="J66" i="87"/>
  <c r="C67" i="87"/>
  <c r="J78" i="87"/>
  <c r="J82" i="87"/>
  <c r="C83" i="87"/>
  <c r="C87" i="87"/>
  <c r="G89" i="87"/>
  <c r="G97" i="87"/>
  <c r="J98" i="87"/>
  <c r="G101" i="87"/>
  <c r="J102" i="87"/>
  <c r="J104" i="87"/>
  <c r="J109" i="87"/>
  <c r="J113" i="87"/>
  <c r="J117" i="87"/>
  <c r="D96" i="87"/>
  <c r="C69" i="87"/>
  <c r="D86" i="87"/>
  <c r="D90" i="87"/>
  <c r="C6" i="87"/>
  <c r="C17" i="87"/>
  <c r="C21" i="87"/>
  <c r="C29" i="87"/>
  <c r="G6" i="87"/>
  <c r="D12" i="87"/>
  <c r="G14" i="87"/>
  <c r="J15" i="87"/>
  <c r="D20" i="87"/>
  <c r="G23" i="87"/>
  <c r="G24" i="87"/>
  <c r="G25" i="87"/>
  <c r="G26" i="87"/>
  <c r="J27" i="87"/>
  <c r="D28" i="87"/>
  <c r="G35" i="87"/>
  <c r="G39" i="87"/>
  <c r="C41" i="87"/>
  <c r="D48" i="87"/>
  <c r="G61" i="87"/>
  <c r="D68" i="87"/>
  <c r="D72" i="87"/>
  <c r="D76" i="87"/>
  <c r="C85" i="87"/>
  <c r="C89" i="87"/>
  <c r="G40" i="87"/>
  <c r="J41" i="87"/>
  <c r="G45" i="87"/>
  <c r="G49" i="87"/>
  <c r="C51" i="87"/>
  <c r="G53" i="87"/>
  <c r="G54" i="87"/>
  <c r="J55" i="87"/>
  <c r="J56" i="87"/>
  <c r="J60" i="87"/>
  <c r="C61" i="87"/>
  <c r="D70" i="87"/>
  <c r="G73" i="87"/>
  <c r="J74" i="87"/>
  <c r="C75" i="87"/>
  <c r="D80" i="87"/>
  <c r="D88" i="87"/>
  <c r="G91" i="87"/>
  <c r="G92" i="87"/>
  <c r="D94" i="87"/>
  <c r="G96" i="87"/>
  <c r="D97" i="87"/>
  <c r="C102" i="87"/>
  <c r="J108" i="87"/>
  <c r="J112" i="87"/>
  <c r="J116" i="87"/>
  <c r="J115" i="87"/>
  <c r="J100" i="87"/>
  <c r="E100" i="87"/>
  <c r="G8" i="87"/>
  <c r="J9" i="87"/>
  <c r="G13" i="87"/>
  <c r="G18" i="87"/>
  <c r="J19" i="87"/>
  <c r="G27" i="87"/>
  <c r="G33" i="87"/>
  <c r="J35" i="87"/>
  <c r="D36" i="87"/>
  <c r="G50" i="87"/>
  <c r="J51" i="87"/>
  <c r="G57" i="87"/>
  <c r="J58" i="87"/>
  <c r="G63" i="87"/>
  <c r="G64" i="87"/>
  <c r="D66" i="87"/>
  <c r="D69" i="87"/>
  <c r="G84" i="87"/>
  <c r="J86" i="87"/>
  <c r="J88" i="87"/>
  <c r="G93" i="87"/>
  <c r="J94" i="87"/>
  <c r="C95" i="87"/>
  <c r="D95" i="87"/>
  <c r="E97" i="87"/>
  <c r="G105" i="87"/>
  <c r="E105" i="87"/>
  <c r="G129" i="87"/>
  <c r="E129" i="87"/>
  <c r="G133" i="87"/>
  <c r="E133" i="87"/>
  <c r="G137" i="87"/>
  <c r="E137" i="87"/>
  <c r="C9" i="87"/>
  <c r="C19" i="87"/>
  <c r="C45" i="87"/>
  <c r="D60" i="87"/>
  <c r="C79" i="87"/>
  <c r="C99" i="87"/>
  <c r="D99" i="87"/>
  <c r="G132" i="87"/>
  <c r="E132" i="87"/>
  <c r="G136" i="87"/>
  <c r="E136" i="87"/>
  <c r="C35" i="87"/>
  <c r="C65" i="87"/>
  <c r="D82" i="87"/>
  <c r="J7" i="87"/>
  <c r="G10" i="87"/>
  <c r="J11" i="87"/>
  <c r="C13" i="87"/>
  <c r="G15" i="87"/>
  <c r="G16" i="87"/>
  <c r="J17" i="87"/>
  <c r="C27" i="87"/>
  <c r="G36" i="87"/>
  <c r="C39" i="87"/>
  <c r="G41" i="87"/>
  <c r="G47" i="87"/>
  <c r="G48" i="87"/>
  <c r="J49" i="87"/>
  <c r="D50" i="87"/>
  <c r="C57" i="87"/>
  <c r="G66" i="87"/>
  <c r="J68" i="87"/>
  <c r="J70" i="87"/>
  <c r="C71" i="87"/>
  <c r="D74" i="87"/>
  <c r="G75" i="87"/>
  <c r="J76" i="87"/>
  <c r="G81" i="87"/>
  <c r="G82" i="87"/>
  <c r="D84" i="87"/>
  <c r="D87" i="87"/>
  <c r="C93" i="87"/>
  <c r="G95" i="87"/>
  <c r="J96" i="87"/>
  <c r="C98" i="87"/>
  <c r="E101" i="87"/>
  <c r="C105" i="87"/>
  <c r="E107" i="87"/>
  <c r="E108" i="87"/>
  <c r="E109" i="87"/>
  <c r="E110" i="87"/>
  <c r="E111" i="87"/>
  <c r="E112" i="87"/>
  <c r="E113" i="87"/>
  <c r="E114" i="87"/>
  <c r="E115" i="87"/>
  <c r="E116" i="87"/>
  <c r="E117" i="87"/>
  <c r="G131" i="87"/>
  <c r="E131" i="87"/>
  <c r="G135" i="87"/>
  <c r="E135" i="87"/>
  <c r="J21" i="87"/>
  <c r="C23" i="87"/>
  <c r="C25" i="87"/>
  <c r="G29" i="87"/>
  <c r="C33" i="87"/>
  <c r="J39" i="87"/>
  <c r="G43" i="87"/>
  <c r="G44" i="87"/>
  <c r="J45" i="87"/>
  <c r="C47" i="87"/>
  <c r="G51" i="87"/>
  <c r="G52" i="87"/>
  <c r="J53" i="87"/>
  <c r="C55" i="87"/>
  <c r="G59" i="87"/>
  <c r="G60" i="87"/>
  <c r="J61" i="87"/>
  <c r="J62" i="87"/>
  <c r="C63" i="87"/>
  <c r="G67" i="87"/>
  <c r="G68" i="87"/>
  <c r="G69" i="87"/>
  <c r="G70" i="87"/>
  <c r="J72" i="87"/>
  <c r="C73" i="87"/>
  <c r="G77" i="87"/>
  <c r="G78" i="87"/>
  <c r="J80" i="87"/>
  <c r="C81" i="87"/>
  <c r="G85" i="87"/>
  <c r="G86" i="87"/>
  <c r="G87" i="87"/>
  <c r="G88" i="87"/>
  <c r="J90" i="87"/>
  <c r="C91" i="87"/>
  <c r="C97" i="87"/>
  <c r="G103" i="87"/>
  <c r="G107" i="87"/>
  <c r="G108" i="87"/>
  <c r="G109" i="87"/>
  <c r="G110" i="87"/>
  <c r="G111" i="87"/>
  <c r="G112" i="87"/>
  <c r="G113" i="87"/>
  <c r="G114" i="87"/>
  <c r="G115" i="87"/>
  <c r="G116" i="87"/>
  <c r="G117" i="87"/>
  <c r="G130" i="87"/>
  <c r="E130" i="87"/>
  <c r="G134" i="87"/>
  <c r="E134" i="87"/>
  <c r="C103" i="87"/>
  <c r="C104" i="87"/>
  <c r="C106" i="87"/>
  <c r="D9" i="87"/>
  <c r="D15" i="87"/>
  <c r="D21" i="87"/>
  <c r="D27" i="87"/>
  <c r="D33" i="87"/>
  <c r="D43" i="87"/>
  <c r="D49" i="87"/>
  <c r="D55" i="87"/>
  <c r="D61" i="87"/>
  <c r="D65" i="87"/>
  <c r="D75" i="87"/>
  <c r="D81" i="87"/>
  <c r="D91" i="87"/>
  <c r="D93" i="87"/>
  <c r="D101" i="87"/>
  <c r="E7" i="87"/>
  <c r="E9" i="87"/>
  <c r="E11" i="87"/>
  <c r="E13" i="87"/>
  <c r="E15" i="87"/>
  <c r="E17" i="87"/>
  <c r="E19" i="87"/>
  <c r="E21" i="87"/>
  <c r="E23" i="87"/>
  <c r="E25" i="87"/>
  <c r="E27" i="87"/>
  <c r="E29" i="87"/>
  <c r="E33" i="87"/>
  <c r="E35" i="87"/>
  <c r="E39" i="87"/>
  <c r="E41" i="87"/>
  <c r="E43" i="87"/>
  <c r="E45" i="87"/>
  <c r="E47" i="87"/>
  <c r="E49" i="87"/>
  <c r="E51" i="87"/>
  <c r="E53" i="87"/>
  <c r="E55" i="87"/>
  <c r="E57" i="87"/>
  <c r="E59" i="87"/>
  <c r="E61" i="87"/>
  <c r="E63" i="87"/>
  <c r="J63" i="87"/>
  <c r="E65" i="87"/>
  <c r="J65" i="87"/>
  <c r="E67" i="87"/>
  <c r="J67" i="87"/>
  <c r="E69" i="87"/>
  <c r="J69" i="87"/>
  <c r="E71" i="87"/>
  <c r="J71" i="87"/>
  <c r="E73" i="87"/>
  <c r="J73" i="87"/>
  <c r="E75" i="87"/>
  <c r="J75" i="87"/>
  <c r="E77" i="87"/>
  <c r="J77" i="87"/>
  <c r="E79" i="87"/>
  <c r="J79" i="87"/>
  <c r="E81" i="87"/>
  <c r="J81" i="87"/>
  <c r="E83" i="87"/>
  <c r="J83" i="87"/>
  <c r="E85" i="87"/>
  <c r="J85" i="87"/>
  <c r="E87" i="87"/>
  <c r="J87" i="87"/>
  <c r="E89" i="87"/>
  <c r="J89" i="87"/>
  <c r="E91" i="87"/>
  <c r="J91" i="87"/>
  <c r="E93" i="87"/>
  <c r="J93" i="87"/>
  <c r="E95" i="87"/>
  <c r="J95" i="87"/>
  <c r="D98" i="87"/>
  <c r="J99" i="87"/>
  <c r="G100" i="87"/>
  <c r="D102" i="87"/>
  <c r="J103" i="87"/>
  <c r="G104" i="87"/>
  <c r="D106" i="87"/>
  <c r="D107" i="87"/>
  <c r="C107" i="87"/>
  <c r="D108" i="87"/>
  <c r="C108" i="87"/>
  <c r="D109" i="87"/>
  <c r="C109" i="87"/>
  <c r="D110" i="87"/>
  <c r="C110" i="87"/>
  <c r="D111" i="87"/>
  <c r="C111" i="87"/>
  <c r="D112" i="87"/>
  <c r="C112" i="87"/>
  <c r="D113" i="87"/>
  <c r="C113" i="87"/>
  <c r="D114" i="87"/>
  <c r="C114" i="87"/>
  <c r="D115" i="87"/>
  <c r="C115" i="87"/>
  <c r="D116" i="87"/>
  <c r="C116" i="87"/>
  <c r="D117" i="87"/>
  <c r="C117" i="87"/>
  <c r="D129" i="87"/>
  <c r="C129" i="87"/>
  <c r="D130" i="87"/>
  <c r="C130" i="87"/>
  <c r="D131" i="87"/>
  <c r="C131" i="87"/>
  <c r="D132" i="87"/>
  <c r="C132" i="87"/>
  <c r="D133" i="87"/>
  <c r="C133" i="87"/>
  <c r="D134" i="87"/>
  <c r="C134" i="87"/>
  <c r="D135" i="87"/>
  <c r="C135" i="87"/>
  <c r="D136" i="87"/>
  <c r="C136" i="87"/>
  <c r="D137" i="87"/>
  <c r="C137" i="87"/>
  <c r="D7" i="87"/>
  <c r="D11" i="87"/>
  <c r="D17" i="87"/>
  <c r="D23" i="87"/>
  <c r="D35" i="87"/>
  <c r="D41" i="87"/>
  <c r="D47" i="87"/>
  <c r="D53" i="87"/>
  <c r="D59" i="87"/>
  <c r="D67" i="87"/>
  <c r="D73" i="87"/>
  <c r="D79" i="87"/>
  <c r="D83" i="87"/>
  <c r="C8" i="87"/>
  <c r="C10" i="87"/>
  <c r="C14" i="87"/>
  <c r="C18" i="87"/>
  <c r="C40" i="87"/>
  <c r="C44" i="87"/>
  <c r="C46" i="87"/>
  <c r="C48" i="87"/>
  <c r="C50" i="87"/>
  <c r="C52" i="87"/>
  <c r="C54" i="87"/>
  <c r="C56" i="87"/>
  <c r="C58" i="87"/>
  <c r="C60" i="87"/>
  <c r="C62" i="87"/>
  <c r="C64" i="87"/>
  <c r="C66" i="87"/>
  <c r="C68" i="87"/>
  <c r="C70" i="87"/>
  <c r="C72" i="87"/>
  <c r="C74" i="87"/>
  <c r="C76" i="87"/>
  <c r="C78" i="87"/>
  <c r="C80" i="87"/>
  <c r="C82" i="87"/>
  <c r="C84" i="87"/>
  <c r="C86" i="87"/>
  <c r="C88" i="87"/>
  <c r="C90" i="87"/>
  <c r="C92" i="87"/>
  <c r="C94" i="87"/>
  <c r="C96" i="87"/>
  <c r="E98" i="87"/>
  <c r="E102" i="87"/>
  <c r="E106" i="87"/>
  <c r="D13" i="87"/>
  <c r="D19" i="87"/>
  <c r="D29" i="87"/>
  <c r="D39" i="87"/>
  <c r="D45" i="87"/>
  <c r="D51" i="87"/>
  <c r="D57" i="87"/>
  <c r="D63" i="87"/>
  <c r="D71" i="87"/>
  <c r="D77" i="87"/>
  <c r="D85" i="87"/>
  <c r="D89" i="87"/>
  <c r="D8" i="87"/>
  <c r="D10" i="87"/>
  <c r="C12" i="87"/>
  <c r="D14" i="87"/>
  <c r="C16" i="87"/>
  <c r="D18" i="87"/>
  <c r="C20" i="87"/>
  <c r="C24" i="87"/>
  <c r="C26" i="87"/>
  <c r="C28" i="87"/>
  <c r="C32" i="87"/>
  <c r="C36" i="87"/>
  <c r="D40" i="87"/>
  <c r="E8" i="87"/>
  <c r="J8" i="87"/>
  <c r="E10" i="87"/>
  <c r="J10" i="87"/>
  <c r="E12" i="87"/>
  <c r="J12" i="87"/>
  <c r="E14" i="87"/>
  <c r="J14" i="87"/>
  <c r="E16" i="87"/>
  <c r="J16" i="87"/>
  <c r="E18" i="87"/>
  <c r="J18" i="87"/>
  <c r="E20" i="87"/>
  <c r="J20" i="87"/>
  <c r="E24" i="87"/>
  <c r="J24" i="87"/>
  <c r="E26" i="87"/>
  <c r="J26" i="87"/>
  <c r="E28" i="87"/>
  <c r="J28" i="87"/>
  <c r="E32" i="87"/>
  <c r="J32" i="87"/>
  <c r="E36" i="87"/>
  <c r="J36" i="87"/>
  <c r="E40" i="87"/>
  <c r="J40" i="87"/>
  <c r="E44" i="87"/>
  <c r="J44" i="87"/>
  <c r="E46" i="87"/>
  <c r="J46" i="87"/>
  <c r="E48" i="87"/>
  <c r="J48" i="87"/>
  <c r="E50" i="87"/>
  <c r="J50" i="87"/>
  <c r="E52" i="87"/>
  <c r="J52" i="87"/>
  <c r="E54" i="87"/>
  <c r="J54" i="87"/>
  <c r="E56" i="87"/>
  <c r="E58" i="87"/>
  <c r="E60" i="87"/>
  <c r="E62" i="87"/>
  <c r="E64" i="87"/>
  <c r="E66" i="87"/>
  <c r="E68" i="87"/>
  <c r="E70" i="87"/>
  <c r="E72" i="87"/>
  <c r="E74" i="87"/>
  <c r="E76" i="87"/>
  <c r="E78" i="87"/>
  <c r="E80" i="87"/>
  <c r="E82" i="87"/>
  <c r="E84" i="87"/>
  <c r="E86" i="87"/>
  <c r="E88" i="87"/>
  <c r="E90" i="87"/>
  <c r="E92" i="87"/>
  <c r="E94" i="87"/>
  <c r="E96" i="87"/>
  <c r="J97" i="87"/>
  <c r="G98" i="87"/>
  <c r="E99" i="87"/>
  <c r="D100" i="87"/>
  <c r="J101" i="87"/>
  <c r="G102" i="87"/>
  <c r="E103" i="87"/>
  <c r="D104" i="87"/>
  <c r="J105" i="87"/>
  <c r="G106" i="87"/>
  <c r="J129" i="87"/>
  <c r="J130" i="87"/>
  <c r="J131" i="87"/>
  <c r="J132" i="87"/>
  <c r="J133" i="87"/>
  <c r="J134" i="87"/>
  <c r="J135" i="87"/>
  <c r="J136" i="87"/>
  <c r="J137" i="87"/>
  <c r="E330" i="14"/>
  <c r="C333" i="14"/>
  <c r="D333" i="14"/>
  <c r="D330" i="14"/>
  <c r="C330" i="14"/>
  <c r="E331" i="14"/>
  <c r="D331" i="14"/>
  <c r="C331" i="14"/>
  <c r="E333" i="14"/>
  <c r="D332" i="14"/>
  <c r="G333" i="14"/>
  <c r="G331" i="14"/>
  <c r="G330" i="14"/>
  <c r="J331" i="14"/>
  <c r="G332" i="14"/>
  <c r="J330" i="14"/>
  <c r="J332" i="14"/>
  <c r="J333" i="14"/>
  <c r="J333" i="13" l="1"/>
  <c r="G333" i="13"/>
  <c r="J332" i="13"/>
  <c r="G332" i="13"/>
  <c r="J331" i="13"/>
  <c r="G331" i="13"/>
  <c r="J330" i="13"/>
  <c r="G330" i="13"/>
  <c r="E333" i="12"/>
  <c r="D333" i="12"/>
  <c r="C333" i="12"/>
  <c r="E332" i="12"/>
  <c r="D332" i="12"/>
  <c r="C332" i="12"/>
  <c r="E331" i="12"/>
  <c r="D331" i="12"/>
  <c r="C331" i="12"/>
  <c r="E330" i="12"/>
  <c r="D330" i="12"/>
  <c r="C330" i="12"/>
  <c r="E329" i="12"/>
  <c r="D329" i="12"/>
  <c r="C329" i="12"/>
  <c r="E328" i="12"/>
  <c r="D328" i="12"/>
  <c r="C328" i="12"/>
  <c r="E327" i="12"/>
  <c r="D327" i="12"/>
  <c r="C327" i="12"/>
  <c r="E326" i="12"/>
  <c r="D326" i="12"/>
  <c r="C326" i="12"/>
  <c r="E325" i="12"/>
  <c r="D325" i="12"/>
  <c r="C325" i="12"/>
  <c r="E324" i="12"/>
  <c r="D324" i="12"/>
  <c r="C324" i="12"/>
  <c r="E323" i="12"/>
  <c r="D323" i="12"/>
  <c r="C323" i="12"/>
  <c r="E322" i="12"/>
  <c r="D322" i="12"/>
  <c r="C322" i="12"/>
  <c r="E321" i="12"/>
  <c r="D321" i="12"/>
  <c r="C321" i="12"/>
  <c r="E320" i="12"/>
  <c r="D320" i="12"/>
  <c r="C320" i="12"/>
  <c r="E319" i="12"/>
  <c r="D319" i="12"/>
  <c r="C319" i="12"/>
  <c r="E318" i="12"/>
  <c r="D318" i="12"/>
  <c r="C318" i="12"/>
  <c r="E317" i="12"/>
  <c r="D317" i="12"/>
  <c r="C317" i="12"/>
  <c r="E316" i="12"/>
  <c r="D316" i="12"/>
  <c r="C316" i="12"/>
  <c r="E315" i="12"/>
  <c r="D315" i="12"/>
  <c r="C315" i="12"/>
  <c r="E314" i="12"/>
  <c r="D314" i="12"/>
  <c r="C314" i="12"/>
  <c r="E313" i="12"/>
  <c r="D313" i="12"/>
  <c r="C313" i="12"/>
  <c r="E312" i="12"/>
  <c r="D312" i="12"/>
  <c r="C312" i="12"/>
  <c r="E311" i="12"/>
  <c r="D311" i="12"/>
  <c r="C311" i="12"/>
  <c r="E310" i="12"/>
  <c r="D310" i="12"/>
  <c r="C310" i="12"/>
  <c r="E309" i="12"/>
  <c r="D309" i="12"/>
  <c r="C309" i="12"/>
  <c r="E308" i="12"/>
  <c r="D308" i="12"/>
  <c r="C308" i="12"/>
  <c r="E307" i="12"/>
  <c r="D307" i="12"/>
  <c r="C307" i="12"/>
  <c r="E306" i="12"/>
  <c r="D306" i="12"/>
  <c r="C306" i="12"/>
  <c r="E305" i="12"/>
  <c r="D305" i="12"/>
  <c r="C305" i="12"/>
  <c r="E304" i="12"/>
  <c r="D304" i="12"/>
  <c r="C304" i="12"/>
  <c r="E303" i="12"/>
  <c r="D303" i="12"/>
  <c r="C303" i="12"/>
  <c r="E302" i="12"/>
  <c r="D302" i="12"/>
  <c r="C302" i="12"/>
  <c r="E301" i="12"/>
  <c r="D301" i="12"/>
  <c r="C301" i="12"/>
  <c r="E300" i="12"/>
  <c r="D300" i="12"/>
  <c r="C300" i="12"/>
  <c r="E299" i="12"/>
  <c r="D299" i="12"/>
  <c r="C299" i="12"/>
  <c r="E298" i="12"/>
  <c r="D298" i="12"/>
  <c r="C298" i="12"/>
  <c r="E297" i="12"/>
  <c r="D297" i="12"/>
  <c r="C297" i="12"/>
  <c r="E296" i="12"/>
  <c r="D296" i="12"/>
  <c r="C296" i="12"/>
  <c r="E295" i="12"/>
  <c r="D295" i="12"/>
  <c r="C295" i="12"/>
  <c r="E294" i="12"/>
  <c r="D294" i="12"/>
  <c r="C294" i="12"/>
  <c r="E293" i="12"/>
  <c r="D293" i="12"/>
  <c r="C293" i="12"/>
  <c r="E292" i="12"/>
  <c r="D292" i="12"/>
  <c r="C292" i="12"/>
  <c r="E291" i="12"/>
  <c r="D291" i="12"/>
  <c r="C291" i="12"/>
  <c r="E290" i="12"/>
  <c r="D290" i="12"/>
  <c r="C290" i="12"/>
  <c r="E289" i="12"/>
  <c r="D289" i="12"/>
  <c r="C289" i="12"/>
  <c r="E288" i="12"/>
  <c r="D288" i="12"/>
  <c r="C288" i="12"/>
  <c r="E287" i="12"/>
  <c r="D287" i="12"/>
  <c r="C287" i="12"/>
  <c r="E286" i="12"/>
  <c r="D286" i="12"/>
  <c r="C286" i="12"/>
  <c r="E285" i="12"/>
  <c r="D285" i="12"/>
  <c r="C285" i="12"/>
  <c r="E284" i="12"/>
  <c r="D284" i="12"/>
  <c r="C284" i="12"/>
  <c r="E283" i="12"/>
  <c r="D283" i="12"/>
  <c r="C283" i="12"/>
  <c r="E282" i="12"/>
  <c r="D282" i="12"/>
  <c r="C282" i="12"/>
  <c r="E281" i="12"/>
  <c r="D281" i="12"/>
  <c r="C281" i="12"/>
  <c r="E280" i="12"/>
  <c r="D280" i="12"/>
  <c r="C280" i="12"/>
  <c r="E279" i="12"/>
  <c r="D279" i="12"/>
  <c r="C279" i="12"/>
  <c r="E278" i="12"/>
  <c r="D278" i="12"/>
  <c r="C278" i="12"/>
  <c r="E277" i="12"/>
  <c r="D277" i="12"/>
  <c r="C277" i="12"/>
  <c r="E276" i="12"/>
  <c r="D276" i="12"/>
  <c r="C276" i="12"/>
  <c r="E275" i="12"/>
  <c r="D275" i="12"/>
  <c r="C275" i="12"/>
  <c r="E274" i="12"/>
  <c r="D274" i="12"/>
  <c r="C274" i="12"/>
  <c r="E273" i="12"/>
  <c r="D273" i="12"/>
  <c r="C273" i="12"/>
  <c r="E272" i="12"/>
  <c r="D272" i="12"/>
  <c r="C272" i="12"/>
  <c r="E271" i="12"/>
  <c r="D271" i="12"/>
  <c r="C271" i="12"/>
  <c r="E270" i="12"/>
  <c r="D270" i="12"/>
  <c r="C270" i="12"/>
  <c r="E269" i="12"/>
  <c r="D269" i="12"/>
  <c r="C269" i="12"/>
  <c r="E268" i="12"/>
  <c r="D268" i="12"/>
  <c r="C268" i="12"/>
  <c r="E267" i="12"/>
  <c r="D267" i="12"/>
  <c r="C267" i="12"/>
  <c r="E266" i="12"/>
  <c r="D266" i="12"/>
  <c r="C266" i="12"/>
  <c r="E265" i="12"/>
  <c r="D265" i="12"/>
  <c r="C265" i="12"/>
  <c r="E264" i="12"/>
  <c r="D264" i="12"/>
  <c r="C264" i="12"/>
  <c r="E263" i="12"/>
  <c r="D263" i="12"/>
  <c r="C263" i="12"/>
  <c r="E262" i="12"/>
  <c r="D262" i="12"/>
  <c r="C262" i="12"/>
  <c r="E261" i="12"/>
  <c r="D261" i="12"/>
  <c r="C261" i="12"/>
  <c r="E260" i="12"/>
  <c r="D260" i="12"/>
  <c r="C260" i="12"/>
  <c r="E259" i="12"/>
  <c r="D259" i="12"/>
  <c r="C259" i="12"/>
  <c r="E258" i="12"/>
  <c r="D258" i="12"/>
  <c r="C258" i="12"/>
  <c r="E257" i="12"/>
  <c r="D257" i="12"/>
  <c r="C257" i="12"/>
  <c r="E256" i="12"/>
  <c r="D256" i="12"/>
  <c r="C256" i="12"/>
  <c r="E255" i="12"/>
  <c r="D255" i="12"/>
  <c r="C255" i="12"/>
  <c r="E254" i="12"/>
  <c r="D254" i="12"/>
  <c r="C254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E245" i="12"/>
  <c r="D245" i="12"/>
  <c r="C245" i="12"/>
  <c r="E244" i="12"/>
  <c r="D244" i="12"/>
  <c r="C244" i="12"/>
  <c r="E243" i="12"/>
  <c r="D243" i="12"/>
  <c r="C243" i="12"/>
  <c r="E242" i="12"/>
  <c r="D242" i="12"/>
  <c r="C242" i="12"/>
  <c r="E241" i="12"/>
  <c r="D241" i="12"/>
  <c r="C241" i="12"/>
  <c r="E240" i="12"/>
  <c r="D240" i="12"/>
  <c r="C240" i="12"/>
  <c r="E239" i="12"/>
  <c r="D239" i="12"/>
  <c r="C239" i="12"/>
  <c r="E238" i="12"/>
  <c r="D238" i="12"/>
  <c r="C238" i="12"/>
  <c r="E237" i="12"/>
  <c r="D237" i="12"/>
  <c r="C237" i="12"/>
  <c r="E236" i="12"/>
  <c r="D236" i="12"/>
  <c r="C236" i="12"/>
  <c r="E235" i="12"/>
  <c r="D235" i="12"/>
  <c r="C235" i="12"/>
  <c r="E234" i="12"/>
  <c r="D234" i="12"/>
  <c r="C234" i="12"/>
  <c r="E233" i="12"/>
  <c r="D233" i="12"/>
  <c r="C233" i="12"/>
  <c r="E232" i="12"/>
  <c r="D232" i="12"/>
  <c r="C232" i="12"/>
  <c r="E231" i="12"/>
  <c r="D231" i="12"/>
  <c r="C231" i="12"/>
  <c r="E230" i="12"/>
  <c r="D230" i="12"/>
  <c r="C230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22" i="12"/>
  <c r="D222" i="12"/>
  <c r="C222" i="12"/>
  <c r="E221" i="12"/>
  <c r="D221" i="12"/>
  <c r="C221" i="12"/>
  <c r="E220" i="12"/>
  <c r="D220" i="12"/>
  <c r="C220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E214" i="12"/>
  <c r="D214" i="12"/>
  <c r="C214" i="12"/>
  <c r="E213" i="12"/>
  <c r="D213" i="12"/>
  <c r="C213" i="12"/>
  <c r="E212" i="12"/>
  <c r="D212" i="12"/>
  <c r="C212" i="12"/>
  <c r="E211" i="12"/>
  <c r="D211" i="12"/>
  <c r="C211" i="12"/>
  <c r="E210" i="12"/>
  <c r="D210" i="12"/>
  <c r="C210" i="12"/>
  <c r="E209" i="12"/>
  <c r="D209" i="12"/>
  <c r="C209" i="12"/>
  <c r="E208" i="12"/>
  <c r="D208" i="12"/>
  <c r="C208" i="12"/>
  <c r="E207" i="12"/>
  <c r="D207" i="12"/>
  <c r="C207" i="12"/>
  <c r="E206" i="12"/>
  <c r="D206" i="12"/>
  <c r="C206" i="12"/>
  <c r="E205" i="12"/>
  <c r="D205" i="12"/>
  <c r="C205" i="12"/>
  <c r="E204" i="12"/>
  <c r="D204" i="12"/>
  <c r="C204" i="12"/>
  <c r="E203" i="12"/>
  <c r="D203" i="12"/>
  <c r="C203" i="12"/>
  <c r="E202" i="12"/>
  <c r="D202" i="12"/>
  <c r="C202" i="12"/>
  <c r="E201" i="12"/>
  <c r="D201" i="12"/>
  <c r="C201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6" i="12"/>
  <c r="D166" i="12"/>
  <c r="C166" i="12"/>
  <c r="E165" i="12"/>
  <c r="D165" i="12"/>
  <c r="C165" i="12"/>
  <c r="E164" i="12"/>
  <c r="D164" i="12"/>
  <c r="C164" i="12"/>
  <c r="E163" i="12"/>
  <c r="D163" i="12"/>
  <c r="C163" i="12"/>
  <c r="E162" i="12"/>
  <c r="D162" i="12"/>
  <c r="C162" i="12"/>
  <c r="E161" i="12"/>
  <c r="D161" i="12"/>
  <c r="C161" i="12"/>
  <c r="E160" i="12"/>
  <c r="D160" i="12"/>
  <c r="C160" i="12"/>
  <c r="E159" i="12"/>
  <c r="D159" i="12"/>
  <c r="C159" i="12"/>
  <c r="E158" i="12"/>
  <c r="D158" i="12"/>
  <c r="C158" i="12"/>
  <c r="E157" i="12"/>
  <c r="D157" i="12"/>
  <c r="C157" i="12"/>
  <c r="E156" i="12"/>
  <c r="D156" i="12"/>
  <c r="C156" i="12"/>
  <c r="E155" i="12"/>
  <c r="D155" i="12"/>
  <c r="C155" i="12"/>
  <c r="E154" i="12"/>
  <c r="D154" i="12"/>
  <c r="C154" i="12"/>
  <c r="E153" i="12"/>
  <c r="D153" i="12"/>
  <c r="C153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C143" i="12"/>
  <c r="E142" i="12"/>
  <c r="D142" i="12"/>
  <c r="C142" i="12"/>
  <c r="E141" i="12"/>
  <c r="D141" i="12"/>
  <c r="C141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E127" i="12"/>
  <c r="D127" i="12"/>
  <c r="C127" i="12"/>
  <c r="E126" i="12"/>
  <c r="D126" i="12"/>
  <c r="C126" i="12"/>
  <c r="E125" i="12"/>
  <c r="D125" i="12"/>
  <c r="C125" i="12"/>
  <c r="E124" i="12"/>
  <c r="D124" i="12"/>
  <c r="C124" i="12"/>
  <c r="E123" i="12"/>
  <c r="D123" i="12"/>
  <c r="C123" i="12"/>
  <c r="E122" i="12"/>
  <c r="D122" i="12"/>
  <c r="C122" i="12"/>
  <c r="E121" i="12"/>
  <c r="D121" i="12"/>
  <c r="C121" i="12"/>
  <c r="E120" i="12"/>
  <c r="D120" i="12"/>
  <c r="C120" i="12"/>
  <c r="E119" i="12"/>
  <c r="D119" i="12"/>
  <c r="C119" i="12"/>
  <c r="E118" i="12"/>
  <c r="D118" i="12"/>
  <c r="C118" i="12"/>
  <c r="E117" i="12"/>
  <c r="D117" i="12"/>
  <c r="C117" i="12"/>
  <c r="E116" i="12"/>
  <c r="D116" i="12"/>
  <c r="C116" i="12"/>
  <c r="E115" i="12"/>
  <c r="D115" i="12"/>
  <c r="C115" i="12"/>
  <c r="E114" i="12"/>
  <c r="D114" i="12"/>
  <c r="C114" i="12"/>
  <c r="E113" i="12"/>
  <c r="D113" i="12"/>
  <c r="C113" i="12"/>
  <c r="E112" i="12"/>
  <c r="D112" i="12"/>
  <c r="C112" i="12"/>
  <c r="E111" i="12"/>
  <c r="D111" i="12"/>
  <c r="C111" i="12"/>
  <c r="E110" i="12"/>
  <c r="D110" i="12"/>
  <c r="C110" i="12"/>
  <c r="E109" i="12"/>
  <c r="D109" i="12"/>
  <c r="C109" i="12"/>
  <c r="E108" i="12"/>
  <c r="D108" i="12"/>
  <c r="C108" i="12"/>
  <c r="E107" i="12"/>
  <c r="D107" i="12"/>
  <c r="C107" i="12"/>
  <c r="E106" i="12"/>
  <c r="D106" i="12"/>
  <c r="C106" i="12"/>
  <c r="E105" i="12"/>
  <c r="D105" i="12"/>
  <c r="C105" i="12"/>
  <c r="E104" i="12"/>
  <c r="D104" i="12"/>
  <c r="C104" i="12"/>
  <c r="E103" i="12"/>
  <c r="D103" i="12"/>
  <c r="C103" i="12"/>
  <c r="E102" i="12"/>
  <c r="D102" i="12"/>
  <c r="C102" i="12"/>
  <c r="E101" i="12"/>
  <c r="D101" i="12"/>
  <c r="C101" i="12"/>
  <c r="E100" i="12"/>
  <c r="D100" i="12"/>
  <c r="C100" i="12"/>
  <c r="E99" i="12"/>
  <c r="D99" i="12"/>
  <c r="C99" i="12"/>
  <c r="E98" i="12"/>
  <c r="D98" i="12"/>
  <c r="C98" i="12"/>
  <c r="E97" i="12"/>
  <c r="D97" i="12"/>
  <c r="C97" i="12"/>
  <c r="E96" i="12"/>
  <c r="D96" i="12"/>
  <c r="C96" i="12"/>
  <c r="E95" i="12"/>
  <c r="D95" i="12"/>
  <c r="C95" i="12"/>
  <c r="E94" i="12"/>
  <c r="D94" i="12"/>
  <c r="C94" i="12"/>
  <c r="E93" i="12"/>
  <c r="D93" i="12"/>
  <c r="C93" i="12"/>
  <c r="E92" i="12"/>
  <c r="D92" i="12"/>
  <c r="C92" i="12"/>
  <c r="E91" i="12"/>
  <c r="D91" i="12"/>
  <c r="C91" i="12"/>
  <c r="E90" i="12"/>
  <c r="D90" i="12"/>
  <c r="C90" i="12"/>
  <c r="E89" i="12"/>
  <c r="D89" i="12"/>
  <c r="C89" i="12"/>
  <c r="E88" i="12"/>
  <c r="D88" i="12"/>
  <c r="C88" i="12"/>
  <c r="E87" i="12"/>
  <c r="D87" i="12"/>
  <c r="C87" i="12"/>
  <c r="E86" i="12"/>
  <c r="D86" i="12"/>
  <c r="C86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E81" i="12"/>
  <c r="D81" i="12"/>
  <c r="C81" i="12"/>
  <c r="E80" i="12"/>
  <c r="D80" i="12"/>
  <c r="C80" i="12"/>
  <c r="E79" i="12"/>
  <c r="D79" i="12"/>
  <c r="C79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E73" i="12"/>
  <c r="D73" i="12"/>
  <c r="C73" i="12"/>
  <c r="E72" i="12"/>
  <c r="D72" i="12"/>
  <c r="C72" i="12"/>
  <c r="E71" i="12"/>
  <c r="D71" i="12"/>
  <c r="C71" i="12"/>
  <c r="E70" i="12"/>
  <c r="D70" i="12"/>
  <c r="C70" i="12"/>
  <c r="E69" i="12"/>
  <c r="D69" i="12"/>
  <c r="C69" i="12"/>
  <c r="E68" i="12"/>
  <c r="D68" i="12"/>
  <c r="C68" i="12"/>
  <c r="E67" i="12"/>
  <c r="D67" i="12"/>
  <c r="C67" i="12"/>
  <c r="E66" i="12"/>
  <c r="D66" i="12"/>
  <c r="C66" i="12"/>
  <c r="E65" i="12"/>
  <c r="D65" i="12"/>
  <c r="C65" i="12"/>
  <c r="E64" i="12"/>
  <c r="D64" i="12"/>
  <c r="C64" i="12"/>
  <c r="E63" i="12"/>
  <c r="D63" i="12"/>
  <c r="C63" i="12"/>
  <c r="E62" i="12"/>
  <c r="D62" i="12"/>
  <c r="C62" i="12"/>
  <c r="E61" i="12"/>
  <c r="D61" i="12"/>
  <c r="C61" i="12"/>
  <c r="E60" i="12"/>
  <c r="D60" i="12"/>
  <c r="C60" i="12"/>
  <c r="E59" i="12"/>
  <c r="D59" i="12"/>
  <c r="C59" i="12"/>
  <c r="E58" i="12"/>
  <c r="D58" i="12"/>
  <c r="C58" i="12"/>
  <c r="E57" i="12"/>
  <c r="D57" i="12"/>
  <c r="C57" i="12"/>
  <c r="E56" i="12"/>
  <c r="D56" i="12"/>
  <c r="C56" i="12"/>
  <c r="E55" i="12"/>
  <c r="D55" i="12"/>
  <c r="C55" i="12"/>
  <c r="E54" i="12"/>
  <c r="D54" i="12"/>
  <c r="C54" i="12"/>
  <c r="E53" i="12"/>
  <c r="D53" i="12"/>
  <c r="C53" i="12"/>
  <c r="E52" i="12"/>
  <c r="D52" i="12"/>
  <c r="C52" i="12"/>
  <c r="E51" i="12"/>
  <c r="D51" i="12"/>
  <c r="C51" i="12"/>
  <c r="E50" i="12"/>
  <c r="D50" i="12"/>
  <c r="C50" i="12"/>
  <c r="E49" i="12"/>
  <c r="D49" i="12"/>
  <c r="C49" i="12"/>
  <c r="E48" i="12"/>
  <c r="D48" i="12"/>
  <c r="C48" i="12"/>
  <c r="E47" i="12"/>
  <c r="D47" i="12"/>
  <c r="C47" i="12"/>
  <c r="E46" i="12"/>
  <c r="D46" i="12"/>
  <c r="C46" i="12"/>
  <c r="E45" i="12"/>
  <c r="D45" i="12"/>
  <c r="C45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E32" i="12"/>
  <c r="D32" i="12"/>
  <c r="C32" i="12"/>
  <c r="E31" i="12"/>
  <c r="D31" i="12"/>
  <c r="C31" i="12"/>
  <c r="E30" i="12"/>
  <c r="D30" i="12"/>
  <c r="C30" i="12"/>
  <c r="E29" i="12"/>
  <c r="D29" i="12"/>
  <c r="C29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E21" i="12"/>
  <c r="D21" i="12"/>
  <c r="C21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E16" i="12"/>
  <c r="D16" i="12"/>
  <c r="C16" i="12"/>
  <c r="E15" i="12"/>
  <c r="D15" i="12"/>
  <c r="C15" i="12"/>
  <c r="E14" i="12"/>
  <c r="D14" i="12"/>
  <c r="C14" i="12"/>
  <c r="E13" i="12"/>
  <c r="D13" i="12"/>
  <c r="C13" i="12"/>
  <c r="E12" i="12"/>
  <c r="D12" i="12"/>
  <c r="C12" i="12"/>
  <c r="E11" i="12"/>
  <c r="D11" i="12"/>
  <c r="C11" i="12"/>
  <c r="E10" i="12"/>
  <c r="D10" i="12"/>
  <c r="C10" i="12"/>
  <c r="E9" i="12"/>
  <c r="D9" i="12"/>
  <c r="C9" i="12"/>
  <c r="E8" i="12"/>
  <c r="D8" i="12"/>
  <c r="C8" i="12"/>
  <c r="E7" i="12"/>
  <c r="D7" i="12"/>
  <c r="C7" i="12"/>
  <c r="E6" i="12"/>
  <c r="D6" i="12"/>
  <c r="C6" i="12"/>
  <c r="J333" i="12"/>
  <c r="G333" i="12"/>
  <c r="J332" i="12"/>
  <c r="G332" i="12"/>
  <c r="J331" i="12"/>
  <c r="G331" i="12"/>
  <c r="J330" i="12"/>
  <c r="G330" i="12"/>
  <c r="DS305" i="15"/>
  <c r="DS306" i="15"/>
  <c r="DS307" i="15"/>
  <c r="DS308" i="15"/>
  <c r="DS309" i="15"/>
  <c r="DS310" i="15"/>
  <c r="DS311" i="15"/>
  <c r="DS312" i="15"/>
  <c r="DS313" i="15"/>
  <c r="DS314" i="15"/>
  <c r="DS315" i="15"/>
  <c r="DS316" i="15"/>
  <c r="DS317" i="15"/>
  <c r="DS318" i="15"/>
  <c r="DS319" i="15"/>
  <c r="DS320" i="15"/>
  <c r="DS321" i="15"/>
  <c r="DS322" i="15"/>
  <c r="DS323" i="15"/>
  <c r="DS324" i="15"/>
  <c r="DS325" i="15"/>
  <c r="DS326" i="15"/>
  <c r="DS327" i="15"/>
  <c r="DS328" i="15"/>
  <c r="DS329" i="15"/>
  <c r="DS330" i="15"/>
  <c r="DS331" i="15"/>
  <c r="DS332" i="15"/>
  <c r="DT305" i="15"/>
  <c r="DT306" i="15"/>
  <c r="DT307" i="15"/>
  <c r="DT308" i="15"/>
  <c r="DT309" i="15"/>
  <c r="DT310" i="15"/>
  <c r="DT311" i="15"/>
  <c r="DT312" i="15"/>
  <c r="DT313" i="15"/>
  <c r="DT314" i="15"/>
  <c r="DT315" i="15"/>
  <c r="DT316" i="15"/>
  <c r="DT317" i="15"/>
  <c r="DT318" i="15"/>
  <c r="DT319" i="15"/>
  <c r="DT320" i="15"/>
  <c r="DT321" i="15"/>
  <c r="DT322" i="15"/>
  <c r="DT323" i="15"/>
  <c r="DT324" i="15"/>
  <c r="DT325" i="15"/>
  <c r="DT326" i="15"/>
  <c r="DT327" i="15"/>
  <c r="DT328" i="15"/>
  <c r="DT329" i="15"/>
  <c r="DT330" i="15"/>
  <c r="DT331" i="15"/>
  <c r="DT332" i="15"/>
  <c r="DU305" i="15"/>
  <c r="DU306" i="15"/>
  <c r="DU307" i="15"/>
  <c r="DU308" i="15"/>
  <c r="DU309" i="15"/>
  <c r="DU310" i="15"/>
  <c r="DU311" i="15"/>
  <c r="DU312" i="15"/>
  <c r="DU313" i="15"/>
  <c r="DU314" i="15"/>
  <c r="DU315" i="15"/>
  <c r="DU316" i="15"/>
  <c r="DU317" i="15"/>
  <c r="DU318" i="15"/>
  <c r="DU319" i="15"/>
  <c r="DU320" i="15"/>
  <c r="DU321" i="15"/>
  <c r="DU322" i="15"/>
  <c r="DU323" i="15"/>
  <c r="DU324" i="15"/>
  <c r="DU325" i="15"/>
  <c r="DU326" i="15"/>
  <c r="DU327" i="15"/>
  <c r="DU328" i="15"/>
  <c r="DU329" i="15"/>
  <c r="DU330" i="15"/>
  <c r="DU331" i="15"/>
  <c r="DU332" i="15"/>
  <c r="DG150" i="15"/>
  <c r="DG151" i="15"/>
  <c r="DG152" i="15"/>
  <c r="DG153" i="15"/>
  <c r="DG154" i="15"/>
  <c r="DG155" i="15"/>
  <c r="DG156" i="15"/>
  <c r="DG157" i="15"/>
  <c r="DG158" i="15"/>
  <c r="DG159" i="15"/>
  <c r="DG160" i="15"/>
  <c r="DG161" i="15"/>
  <c r="DG162" i="15"/>
  <c r="DG163" i="15"/>
  <c r="DG164" i="15"/>
  <c r="DG165" i="15"/>
  <c r="DG166" i="15"/>
  <c r="DG167" i="15"/>
  <c r="DG168" i="15"/>
  <c r="DG169" i="15"/>
  <c r="DG170" i="15"/>
  <c r="DG171" i="15"/>
  <c r="DG172" i="15"/>
  <c r="DG173" i="15"/>
  <c r="DG174" i="15"/>
  <c r="DG175" i="15"/>
  <c r="DG176" i="15"/>
  <c r="DG177" i="15"/>
  <c r="DG178" i="15"/>
  <c r="DG179" i="15"/>
  <c r="DG180" i="15"/>
  <c r="DG181" i="15"/>
  <c r="DG182" i="15"/>
  <c r="DG183" i="15"/>
  <c r="DG184" i="15"/>
  <c r="DG185" i="15"/>
  <c r="DG186" i="15"/>
  <c r="DG187" i="15"/>
  <c r="DG188" i="15"/>
  <c r="DG189" i="15"/>
  <c r="DG190" i="15"/>
  <c r="DG191" i="15"/>
  <c r="DG192" i="15"/>
  <c r="DG193" i="15"/>
  <c r="DG194" i="15"/>
  <c r="DG195" i="15"/>
  <c r="DG196" i="15"/>
  <c r="DG197" i="15"/>
  <c r="DG198" i="15"/>
  <c r="DG199" i="15"/>
  <c r="DG200" i="15"/>
  <c r="DG201" i="15"/>
  <c r="DG202" i="15"/>
  <c r="DG203" i="15"/>
  <c r="DG204" i="15"/>
  <c r="DG205" i="15"/>
  <c r="DG206" i="15"/>
  <c r="DG207" i="15"/>
  <c r="DG208" i="15"/>
  <c r="DG209" i="15"/>
  <c r="DG210" i="15"/>
  <c r="DG211" i="15"/>
  <c r="DG212" i="15"/>
  <c r="DG213" i="15"/>
  <c r="DG214" i="15"/>
  <c r="DG215" i="15"/>
  <c r="DG216" i="15"/>
  <c r="DG217" i="15"/>
  <c r="DG218" i="15"/>
  <c r="DG219" i="15"/>
  <c r="DG220" i="15"/>
  <c r="DG221" i="15"/>
  <c r="DG222" i="15"/>
  <c r="DG223" i="15"/>
  <c r="DG224" i="15"/>
  <c r="DG225" i="15"/>
  <c r="DG226" i="15"/>
  <c r="DG227" i="15"/>
  <c r="DG228" i="15"/>
  <c r="DG229" i="15"/>
  <c r="DG230" i="15"/>
  <c r="DG231" i="15"/>
  <c r="DG232" i="15"/>
  <c r="DG233" i="15"/>
  <c r="DG234" i="15"/>
  <c r="DG235" i="15"/>
  <c r="DG236" i="15"/>
  <c r="DG237" i="15"/>
  <c r="DG238" i="15"/>
  <c r="DG239" i="15"/>
  <c r="DG240" i="15"/>
  <c r="DG241" i="15"/>
  <c r="DG242" i="15"/>
  <c r="DG243" i="15"/>
  <c r="DG244" i="15"/>
  <c r="DG245" i="15"/>
  <c r="DG246" i="15"/>
  <c r="DG247" i="15"/>
  <c r="DG248" i="15"/>
  <c r="DG249" i="15"/>
  <c r="DG250" i="15"/>
  <c r="DG251" i="15"/>
  <c r="DG252" i="15"/>
  <c r="DG253" i="15"/>
  <c r="DG254" i="15"/>
  <c r="DG255" i="15"/>
  <c r="DG256" i="15"/>
  <c r="DG257" i="15"/>
  <c r="DG258" i="15"/>
  <c r="DG259" i="15"/>
  <c r="DG260" i="15"/>
  <c r="DG261" i="15"/>
  <c r="DG262" i="15"/>
  <c r="DG263" i="15"/>
  <c r="DG264" i="15"/>
  <c r="DG265" i="15"/>
  <c r="DG266" i="15"/>
  <c r="DG267" i="15"/>
  <c r="DG268" i="15"/>
  <c r="DG269" i="15"/>
  <c r="DG270" i="15"/>
  <c r="DG271" i="15"/>
  <c r="DG272" i="15"/>
  <c r="DG273" i="15"/>
  <c r="DG274" i="15"/>
  <c r="DG275" i="15"/>
  <c r="DG276" i="15"/>
  <c r="DG277" i="15"/>
  <c r="DG278" i="15"/>
  <c r="DG279" i="15"/>
  <c r="DG280" i="15"/>
  <c r="DG281" i="15"/>
  <c r="DG282" i="15"/>
  <c r="DG283" i="15"/>
  <c r="DG284" i="15"/>
  <c r="DG285" i="15"/>
  <c r="DG286" i="15"/>
  <c r="DG287" i="15"/>
  <c r="DG288" i="15"/>
  <c r="DG289" i="15"/>
  <c r="DG290" i="15"/>
  <c r="DG291" i="15"/>
  <c r="DG292" i="15"/>
  <c r="DG293" i="15"/>
  <c r="DG294" i="15"/>
  <c r="DG295" i="15"/>
  <c r="DG296" i="15"/>
  <c r="DG297" i="15"/>
  <c r="DG298" i="15"/>
  <c r="DG299" i="15"/>
  <c r="DG300" i="15"/>
  <c r="DG301" i="15"/>
  <c r="DG302" i="15"/>
  <c r="DG303" i="15"/>
  <c r="DG304" i="15"/>
  <c r="DG305" i="15"/>
  <c r="DG306" i="15"/>
  <c r="DG307" i="15"/>
  <c r="DG308" i="15"/>
  <c r="DG309" i="15"/>
  <c r="DG310" i="15"/>
  <c r="DG311" i="15"/>
  <c r="DG312" i="15"/>
  <c r="DG313" i="15"/>
  <c r="DG314" i="15"/>
  <c r="DG315" i="15"/>
  <c r="DG316" i="15"/>
  <c r="DG317" i="15"/>
  <c r="DG318" i="15"/>
  <c r="DG319" i="15"/>
  <c r="DG320" i="15"/>
  <c r="DG321" i="15"/>
  <c r="DG334" i="15"/>
  <c r="DH150" i="15"/>
  <c r="DH151" i="15"/>
  <c r="DH152" i="15"/>
  <c r="DH153" i="15"/>
  <c r="DH154" i="15"/>
  <c r="DH155" i="15"/>
  <c r="DH156" i="15"/>
  <c r="DH157" i="15"/>
  <c r="DH158" i="15"/>
  <c r="DH159" i="15"/>
  <c r="DH160" i="15"/>
  <c r="DH161" i="15"/>
  <c r="DH162" i="15"/>
  <c r="DH163" i="15"/>
  <c r="DH164" i="15"/>
  <c r="DH165" i="15"/>
  <c r="DH166" i="15"/>
  <c r="DH167" i="15"/>
  <c r="DH168" i="15"/>
  <c r="DH169" i="15"/>
  <c r="DH170" i="15"/>
  <c r="DH171" i="15"/>
  <c r="DH172" i="15"/>
  <c r="DH173" i="15"/>
  <c r="DH174" i="15"/>
  <c r="DH175" i="15"/>
  <c r="DH176" i="15"/>
  <c r="DH177" i="15"/>
  <c r="DH178" i="15"/>
  <c r="DH179" i="15"/>
  <c r="DH180" i="15"/>
  <c r="DH181" i="15"/>
  <c r="DH182" i="15"/>
  <c r="DH183" i="15"/>
  <c r="DH184" i="15"/>
  <c r="DH185" i="15"/>
  <c r="DH186" i="15"/>
  <c r="DH187" i="15"/>
  <c r="DH188" i="15"/>
  <c r="DH189" i="15"/>
  <c r="DH190" i="15"/>
  <c r="DH191" i="15"/>
  <c r="DH192" i="15"/>
  <c r="DH193" i="15"/>
  <c r="DH194" i="15"/>
  <c r="DH195" i="15"/>
  <c r="DH196" i="15"/>
  <c r="DH197" i="15"/>
  <c r="DH198" i="15"/>
  <c r="DH199" i="15"/>
  <c r="DH200" i="15"/>
  <c r="DH201" i="15"/>
  <c r="DH202" i="15"/>
  <c r="DH203" i="15"/>
  <c r="DH204" i="15"/>
  <c r="DH205" i="15"/>
  <c r="DH206" i="15"/>
  <c r="DH207" i="15"/>
  <c r="DH208" i="15"/>
  <c r="DH209" i="15"/>
  <c r="DH210" i="15"/>
  <c r="DH211" i="15"/>
  <c r="DH212" i="15"/>
  <c r="DH213" i="15"/>
  <c r="DH214" i="15"/>
  <c r="DH215" i="15"/>
  <c r="DH216" i="15"/>
  <c r="DH217" i="15"/>
  <c r="DH218" i="15"/>
  <c r="DH219" i="15"/>
  <c r="DH220" i="15"/>
  <c r="DH221" i="15"/>
  <c r="DH222" i="15"/>
  <c r="DH223" i="15"/>
  <c r="DH224" i="15"/>
  <c r="DH225" i="15"/>
  <c r="DH226" i="15"/>
  <c r="DH227" i="15"/>
  <c r="DH228" i="15"/>
  <c r="DH229" i="15"/>
  <c r="DH230" i="15"/>
  <c r="DH231" i="15"/>
  <c r="DH232" i="15"/>
  <c r="DH233" i="15"/>
  <c r="DH234" i="15"/>
  <c r="DH235" i="15"/>
  <c r="DH236" i="15"/>
  <c r="DH237" i="15"/>
  <c r="DH238" i="15"/>
  <c r="DH239" i="15"/>
  <c r="DH240" i="15"/>
  <c r="DH241" i="15"/>
  <c r="DH242" i="15"/>
  <c r="DH243" i="15"/>
  <c r="DH244" i="15"/>
  <c r="DH245" i="15"/>
  <c r="DH246" i="15"/>
  <c r="DH247" i="15"/>
  <c r="DH248" i="15"/>
  <c r="DH249" i="15"/>
  <c r="DH250" i="15"/>
  <c r="DH251" i="15"/>
  <c r="DH252" i="15"/>
  <c r="DH253" i="15"/>
  <c r="DH254" i="15"/>
  <c r="DH255" i="15"/>
  <c r="DH256" i="15"/>
  <c r="DH257" i="15"/>
  <c r="DH258" i="15"/>
  <c r="DH259" i="15"/>
  <c r="DH260" i="15"/>
  <c r="DH261" i="15"/>
  <c r="DH262" i="15"/>
  <c r="DH263" i="15"/>
  <c r="DH264" i="15"/>
  <c r="DH265" i="15"/>
  <c r="DH266" i="15"/>
  <c r="DH267" i="15"/>
  <c r="DH268" i="15"/>
  <c r="DH269" i="15"/>
  <c r="DH270" i="15"/>
  <c r="DH271" i="15"/>
  <c r="DH272" i="15"/>
  <c r="DH273" i="15"/>
  <c r="DH274" i="15"/>
  <c r="DH275" i="15"/>
  <c r="DH276" i="15"/>
  <c r="DH277" i="15"/>
  <c r="DH278" i="15"/>
  <c r="DH279" i="15"/>
  <c r="DH280" i="15"/>
  <c r="DH281" i="15"/>
  <c r="DH282" i="15"/>
  <c r="DH283" i="15"/>
  <c r="DH284" i="15"/>
  <c r="DH285" i="15"/>
  <c r="DH286" i="15"/>
  <c r="DH287" i="15"/>
  <c r="DH288" i="15"/>
  <c r="DH289" i="15"/>
  <c r="DH290" i="15"/>
  <c r="DH291" i="15"/>
  <c r="DH292" i="15"/>
  <c r="DH293" i="15"/>
  <c r="DH294" i="15"/>
  <c r="DH295" i="15"/>
  <c r="DH296" i="15"/>
  <c r="DH297" i="15"/>
  <c r="DH298" i="15"/>
  <c r="DH299" i="15"/>
  <c r="DH300" i="15"/>
  <c r="DH301" i="15"/>
  <c r="DH302" i="15"/>
  <c r="DH303" i="15"/>
  <c r="DH304" i="15"/>
  <c r="DH305" i="15"/>
  <c r="DH306" i="15"/>
  <c r="DH307" i="15"/>
  <c r="DH308" i="15"/>
  <c r="DH309" i="15"/>
  <c r="DH310" i="15"/>
  <c r="DH311" i="15"/>
  <c r="DH312" i="15"/>
  <c r="DH313" i="15"/>
  <c r="DH314" i="15"/>
  <c r="DH315" i="15"/>
  <c r="DH316" i="15"/>
  <c r="DH317" i="15"/>
  <c r="DH318" i="15"/>
  <c r="DH319" i="15"/>
  <c r="DH320" i="15"/>
  <c r="DH321" i="15"/>
  <c r="DH333" i="15"/>
  <c r="DH334" i="15"/>
  <c r="DI150" i="15"/>
  <c r="DI151" i="15"/>
  <c r="DI152" i="15"/>
  <c r="DI153" i="15"/>
  <c r="DI154" i="15"/>
  <c r="DI155" i="15"/>
  <c r="DI156" i="15"/>
  <c r="DI157" i="15"/>
  <c r="DI158" i="15"/>
  <c r="DI159" i="15"/>
  <c r="DI160" i="15"/>
  <c r="DI161" i="15"/>
  <c r="DI162" i="15"/>
  <c r="DI163" i="15"/>
  <c r="DI164" i="15"/>
  <c r="DI165" i="15"/>
  <c r="DI166" i="15"/>
  <c r="DI167" i="15"/>
  <c r="DI168" i="15"/>
  <c r="DI169" i="15"/>
  <c r="DI170" i="15"/>
  <c r="DI171" i="15"/>
  <c r="DI172" i="15"/>
  <c r="DI173" i="15"/>
  <c r="DI174" i="15"/>
  <c r="DI175" i="15"/>
  <c r="DI176" i="15"/>
  <c r="DI177" i="15"/>
  <c r="DI178" i="15"/>
  <c r="DI179" i="15"/>
  <c r="DI180" i="15"/>
  <c r="DI181" i="15"/>
  <c r="DI182" i="15"/>
  <c r="DI183" i="15"/>
  <c r="DI184" i="15"/>
  <c r="DI185" i="15"/>
  <c r="DI186" i="15"/>
  <c r="DI187" i="15"/>
  <c r="DI188" i="15"/>
  <c r="DI189" i="15"/>
  <c r="DI190" i="15"/>
  <c r="DI191" i="15"/>
  <c r="DI192" i="15"/>
  <c r="DI193" i="15"/>
  <c r="DI194" i="15"/>
  <c r="DI195" i="15"/>
  <c r="DI196" i="15"/>
  <c r="DI197" i="15"/>
  <c r="DI198" i="15"/>
  <c r="DI199" i="15"/>
  <c r="DI200" i="15"/>
  <c r="DI201" i="15"/>
  <c r="DI202" i="15"/>
  <c r="DI203" i="15"/>
  <c r="DI204" i="15"/>
  <c r="DI205" i="15"/>
  <c r="DI206" i="15"/>
  <c r="DI207" i="15"/>
  <c r="DI208" i="15"/>
  <c r="DI209" i="15"/>
  <c r="DI210" i="15"/>
  <c r="DI211" i="15"/>
  <c r="DI212" i="15"/>
  <c r="DI213" i="15"/>
  <c r="DI214" i="15"/>
  <c r="DI215" i="15"/>
  <c r="DI216" i="15"/>
  <c r="DI217" i="15"/>
  <c r="DI218" i="15"/>
  <c r="DI219" i="15"/>
  <c r="DI220" i="15"/>
  <c r="DI221" i="15"/>
  <c r="DI222" i="15"/>
  <c r="DI223" i="15"/>
  <c r="DI224" i="15"/>
  <c r="DI225" i="15"/>
  <c r="DI226" i="15"/>
  <c r="DI227" i="15"/>
  <c r="DI228" i="15"/>
  <c r="DI229" i="15"/>
  <c r="DI230" i="15"/>
  <c r="DI231" i="15"/>
  <c r="DI232" i="15"/>
  <c r="DI233" i="15"/>
  <c r="DI234" i="15"/>
  <c r="DI235" i="15"/>
  <c r="DI236" i="15"/>
  <c r="DI237" i="15"/>
  <c r="DI238" i="15"/>
  <c r="DI239" i="15"/>
  <c r="DI240" i="15"/>
  <c r="DI241" i="15"/>
  <c r="DI242" i="15"/>
  <c r="DI243" i="15"/>
  <c r="DI244" i="15"/>
  <c r="DI245" i="15"/>
  <c r="DI246" i="15"/>
  <c r="DI247" i="15"/>
  <c r="DI248" i="15"/>
  <c r="DI249" i="15"/>
  <c r="DI250" i="15"/>
  <c r="DI251" i="15"/>
  <c r="DI252" i="15"/>
  <c r="DI253" i="15"/>
  <c r="DI254" i="15"/>
  <c r="DI255" i="15"/>
  <c r="DI256" i="15"/>
  <c r="DI257" i="15"/>
  <c r="DI258" i="15"/>
  <c r="DI259" i="15"/>
  <c r="DI260" i="15"/>
  <c r="DI261" i="15"/>
  <c r="DI262" i="15"/>
  <c r="DI263" i="15"/>
  <c r="DI264" i="15"/>
  <c r="DI265" i="15"/>
  <c r="DI266" i="15"/>
  <c r="DI267" i="15"/>
  <c r="DI268" i="15"/>
  <c r="DI269" i="15"/>
  <c r="DI270" i="15"/>
  <c r="DI271" i="15"/>
  <c r="DI272" i="15"/>
  <c r="DI273" i="15"/>
  <c r="DI274" i="15"/>
  <c r="DI275" i="15"/>
  <c r="DI276" i="15"/>
  <c r="DI277" i="15"/>
  <c r="DI278" i="15"/>
  <c r="DI279" i="15"/>
  <c r="DI280" i="15"/>
  <c r="DI281" i="15"/>
  <c r="DI282" i="15"/>
  <c r="DI283" i="15"/>
  <c r="DI284" i="15"/>
  <c r="DI285" i="15"/>
  <c r="DI286" i="15"/>
  <c r="DI287" i="15"/>
  <c r="DI288" i="15"/>
  <c r="DI289" i="15"/>
  <c r="DI290" i="15"/>
  <c r="DI291" i="15"/>
  <c r="DI292" i="15"/>
  <c r="DI293" i="15"/>
  <c r="DI294" i="15"/>
  <c r="DI295" i="15"/>
  <c r="DI296" i="15"/>
  <c r="DI297" i="15"/>
  <c r="DI298" i="15"/>
  <c r="DI299" i="15"/>
  <c r="DI300" i="15"/>
  <c r="DI301" i="15"/>
  <c r="DI302" i="15"/>
  <c r="DI303" i="15"/>
  <c r="DI304" i="15"/>
  <c r="DI305" i="15"/>
  <c r="DI306" i="15"/>
  <c r="DI307" i="15"/>
  <c r="DI308" i="15"/>
  <c r="DI309" i="15"/>
  <c r="DI310" i="15"/>
  <c r="DI311" i="15"/>
  <c r="DI312" i="15"/>
  <c r="DI313" i="15"/>
  <c r="DI314" i="15"/>
  <c r="DI315" i="15"/>
  <c r="DI316" i="15"/>
  <c r="DI317" i="15"/>
  <c r="DI318" i="15"/>
  <c r="DI319" i="15"/>
  <c r="DI320" i="15"/>
  <c r="DI321" i="15"/>
  <c r="DI334" i="15"/>
  <c r="CU150" i="15"/>
  <c r="CU151" i="15"/>
  <c r="CU152" i="15"/>
  <c r="CU153" i="15"/>
  <c r="CU154" i="15"/>
  <c r="CU155" i="15"/>
  <c r="CU156" i="15"/>
  <c r="CU157" i="15"/>
  <c r="CU158" i="15"/>
  <c r="CU159" i="15"/>
  <c r="CU160" i="15"/>
  <c r="CU161" i="15"/>
  <c r="CU162" i="15"/>
  <c r="CU163" i="15"/>
  <c r="CU164" i="15"/>
  <c r="CU165" i="15"/>
  <c r="CU166" i="15"/>
  <c r="CU167" i="15"/>
  <c r="CU168" i="15"/>
  <c r="CU169" i="15"/>
  <c r="CU170" i="15"/>
  <c r="CU171" i="15"/>
  <c r="CU172" i="15"/>
  <c r="CU173" i="15"/>
  <c r="CU174" i="15"/>
  <c r="CU175" i="15"/>
  <c r="CU176" i="15"/>
  <c r="CU177" i="15"/>
  <c r="CU178" i="15"/>
  <c r="CU179" i="15"/>
  <c r="CU180" i="15"/>
  <c r="CU181" i="15"/>
  <c r="CU182" i="15"/>
  <c r="CU183" i="15"/>
  <c r="CU184" i="15"/>
  <c r="CU185" i="15"/>
  <c r="CU186" i="15"/>
  <c r="CU187" i="15"/>
  <c r="CU188" i="15"/>
  <c r="CU189" i="15"/>
  <c r="CU190" i="15"/>
  <c r="CU191" i="15"/>
  <c r="CU192" i="15"/>
  <c r="CU193" i="15"/>
  <c r="CU194" i="15"/>
  <c r="CU195" i="15"/>
  <c r="CU196" i="15"/>
  <c r="CU197" i="15"/>
  <c r="CU198" i="15"/>
  <c r="CU199" i="15"/>
  <c r="CU200" i="15"/>
  <c r="CU201" i="15"/>
  <c r="CU202" i="15"/>
  <c r="CU203" i="15"/>
  <c r="CU204" i="15"/>
  <c r="CU205" i="15"/>
  <c r="CU206" i="15"/>
  <c r="CU207" i="15"/>
  <c r="CU208" i="15"/>
  <c r="CU209" i="15"/>
  <c r="CU210" i="15"/>
  <c r="CU211" i="15"/>
  <c r="CU212" i="15"/>
  <c r="CU213" i="15"/>
  <c r="CU214" i="15"/>
  <c r="CU215" i="15"/>
  <c r="CU216" i="15"/>
  <c r="CU217" i="15"/>
  <c r="CU218" i="15"/>
  <c r="CU219" i="15"/>
  <c r="CU220" i="15"/>
  <c r="CU221" i="15"/>
  <c r="CU222" i="15"/>
  <c r="CU223" i="15"/>
  <c r="CU224" i="15"/>
  <c r="CU225" i="15"/>
  <c r="CU226" i="15"/>
  <c r="CU227" i="15"/>
  <c r="CU228" i="15"/>
  <c r="CU229" i="15"/>
  <c r="CU230" i="15"/>
  <c r="CU231" i="15"/>
  <c r="CU232" i="15"/>
  <c r="CU233" i="15"/>
  <c r="CU234" i="15"/>
  <c r="CU235" i="15"/>
  <c r="CU236" i="15"/>
  <c r="CU237" i="15"/>
  <c r="CU238" i="15"/>
  <c r="CU239" i="15"/>
  <c r="CU240" i="15"/>
  <c r="CU241" i="15"/>
  <c r="CU242" i="15"/>
  <c r="CU243" i="15"/>
  <c r="CU244" i="15"/>
  <c r="CU245" i="15"/>
  <c r="CU246" i="15"/>
  <c r="CU247" i="15"/>
  <c r="CU248" i="15"/>
  <c r="CU249" i="15"/>
  <c r="CU250" i="15"/>
  <c r="CU251" i="15"/>
  <c r="CU252" i="15"/>
  <c r="CU253" i="15"/>
  <c r="CU254" i="15"/>
  <c r="CU255" i="15"/>
  <c r="CU256" i="15"/>
  <c r="CU257" i="15"/>
  <c r="CU258" i="15"/>
  <c r="CU259" i="15"/>
  <c r="CU260" i="15"/>
  <c r="CU261" i="15"/>
  <c r="CU262" i="15"/>
  <c r="CU263" i="15"/>
  <c r="CU264" i="15"/>
  <c r="CU265" i="15"/>
  <c r="CU266" i="15"/>
  <c r="CU267" i="15"/>
  <c r="CU268" i="15"/>
  <c r="CU269" i="15"/>
  <c r="CU270" i="15"/>
  <c r="CU271" i="15"/>
  <c r="CU272" i="15"/>
  <c r="CU273" i="15"/>
  <c r="CU274" i="15"/>
  <c r="CU275" i="15"/>
  <c r="CU276" i="15"/>
  <c r="CU277" i="15"/>
  <c r="CU278" i="15"/>
  <c r="CU279" i="15"/>
  <c r="CU280" i="15"/>
  <c r="CU281" i="15"/>
  <c r="CU282" i="15"/>
  <c r="CU283" i="15"/>
  <c r="CU284" i="15"/>
  <c r="CU285" i="15"/>
  <c r="CU286" i="15"/>
  <c r="CU287" i="15"/>
  <c r="CU288" i="15"/>
  <c r="CU289" i="15"/>
  <c r="CU290" i="15"/>
  <c r="CU291" i="15"/>
  <c r="CU292" i="15"/>
  <c r="CU293" i="15"/>
  <c r="CU294" i="15"/>
  <c r="CU295" i="15"/>
  <c r="CU296" i="15"/>
  <c r="CU297" i="15"/>
  <c r="CU298" i="15"/>
  <c r="CU299" i="15"/>
  <c r="CU300" i="15"/>
  <c r="CU301" i="15"/>
  <c r="CU302" i="15"/>
  <c r="CU303" i="15"/>
  <c r="CU304" i="15"/>
  <c r="CU305" i="15"/>
  <c r="CU306" i="15"/>
  <c r="CU307" i="15"/>
  <c r="CU308" i="15"/>
  <c r="CU309" i="15"/>
  <c r="CU310" i="15"/>
  <c r="CU311" i="15"/>
  <c r="CU312" i="15"/>
  <c r="CU313" i="15"/>
  <c r="CU314" i="15"/>
  <c r="CU315" i="15"/>
  <c r="CU316" i="15"/>
  <c r="CU317" i="15"/>
  <c r="CU318" i="15"/>
  <c r="CU319" i="15"/>
  <c r="CU320" i="15"/>
  <c r="CU321" i="15"/>
  <c r="CU322" i="15"/>
  <c r="CU323" i="15"/>
  <c r="CU324" i="15"/>
  <c r="CU325" i="15"/>
  <c r="CU326" i="15"/>
  <c r="CU327" i="15"/>
  <c r="CV150" i="15"/>
  <c r="CV151" i="15"/>
  <c r="CV152" i="15"/>
  <c r="CV153" i="15"/>
  <c r="CV154" i="15"/>
  <c r="CV155" i="15"/>
  <c r="CV156" i="15"/>
  <c r="CV157" i="15"/>
  <c r="CV158" i="15"/>
  <c r="CV159" i="15"/>
  <c r="CV160" i="15"/>
  <c r="CV161" i="15"/>
  <c r="CV162" i="15"/>
  <c r="CV163" i="15"/>
  <c r="CV164" i="15"/>
  <c r="CV165" i="15"/>
  <c r="CV166" i="15"/>
  <c r="CV167" i="15"/>
  <c r="CV168" i="15"/>
  <c r="CV169" i="15"/>
  <c r="CV170" i="15"/>
  <c r="CV171" i="15"/>
  <c r="CV172" i="15"/>
  <c r="CV173" i="15"/>
  <c r="CV174" i="15"/>
  <c r="CV175" i="15"/>
  <c r="CV176" i="15"/>
  <c r="CV177" i="15"/>
  <c r="CV178" i="15"/>
  <c r="CV179" i="15"/>
  <c r="CV180" i="15"/>
  <c r="CV181" i="15"/>
  <c r="CV182" i="15"/>
  <c r="CV183" i="15"/>
  <c r="CV184" i="15"/>
  <c r="CV185" i="15"/>
  <c r="CV186" i="15"/>
  <c r="CV187" i="15"/>
  <c r="CV188" i="15"/>
  <c r="CV189" i="15"/>
  <c r="CV190" i="15"/>
  <c r="CV191" i="15"/>
  <c r="CV192" i="15"/>
  <c r="CV193" i="15"/>
  <c r="CV194" i="15"/>
  <c r="CV195" i="15"/>
  <c r="CV196" i="15"/>
  <c r="CV197" i="15"/>
  <c r="CV198" i="15"/>
  <c r="CV199" i="15"/>
  <c r="CV200" i="15"/>
  <c r="CV201" i="15"/>
  <c r="CV202" i="15"/>
  <c r="CV203" i="15"/>
  <c r="CV204" i="15"/>
  <c r="CV205" i="15"/>
  <c r="CV206" i="15"/>
  <c r="CV207" i="15"/>
  <c r="CV208" i="15"/>
  <c r="CV209" i="15"/>
  <c r="CV210" i="15"/>
  <c r="CV211" i="15"/>
  <c r="CV212" i="15"/>
  <c r="CV213" i="15"/>
  <c r="CV214" i="15"/>
  <c r="CV215" i="15"/>
  <c r="CV216" i="15"/>
  <c r="CV217" i="15"/>
  <c r="CV218" i="15"/>
  <c r="CV219" i="15"/>
  <c r="CV220" i="15"/>
  <c r="CV221" i="15"/>
  <c r="CV222" i="15"/>
  <c r="CV223" i="15"/>
  <c r="CV224" i="15"/>
  <c r="CV225" i="15"/>
  <c r="CV226" i="15"/>
  <c r="CV227" i="15"/>
  <c r="CV228" i="15"/>
  <c r="CV229" i="15"/>
  <c r="CV230" i="15"/>
  <c r="CV231" i="15"/>
  <c r="CV232" i="15"/>
  <c r="CV233" i="15"/>
  <c r="CV234" i="15"/>
  <c r="CV235" i="15"/>
  <c r="CV236" i="15"/>
  <c r="CV237" i="15"/>
  <c r="CV238" i="15"/>
  <c r="CV239" i="15"/>
  <c r="CV240" i="15"/>
  <c r="CV241" i="15"/>
  <c r="CV242" i="15"/>
  <c r="CV243" i="15"/>
  <c r="CV244" i="15"/>
  <c r="CV245" i="15"/>
  <c r="CV246" i="15"/>
  <c r="CV247" i="15"/>
  <c r="CV248" i="15"/>
  <c r="CV249" i="15"/>
  <c r="CV250" i="15"/>
  <c r="CV251" i="15"/>
  <c r="CV252" i="15"/>
  <c r="CV253" i="15"/>
  <c r="CV254" i="15"/>
  <c r="CV255" i="15"/>
  <c r="CV256" i="15"/>
  <c r="CV257" i="15"/>
  <c r="CV258" i="15"/>
  <c r="CV259" i="15"/>
  <c r="CV260" i="15"/>
  <c r="CV261" i="15"/>
  <c r="CV262" i="15"/>
  <c r="CV263" i="15"/>
  <c r="CV264" i="15"/>
  <c r="CV265" i="15"/>
  <c r="CV266" i="15"/>
  <c r="CV267" i="15"/>
  <c r="CV268" i="15"/>
  <c r="CV269" i="15"/>
  <c r="CV270" i="15"/>
  <c r="CV271" i="15"/>
  <c r="CV272" i="15"/>
  <c r="CV273" i="15"/>
  <c r="CV274" i="15"/>
  <c r="CV275" i="15"/>
  <c r="CV276" i="15"/>
  <c r="CV277" i="15"/>
  <c r="CV278" i="15"/>
  <c r="CV279" i="15"/>
  <c r="CV280" i="15"/>
  <c r="CV281" i="15"/>
  <c r="CV282" i="15"/>
  <c r="CV283" i="15"/>
  <c r="CV284" i="15"/>
  <c r="CV285" i="15"/>
  <c r="CV286" i="15"/>
  <c r="CV287" i="15"/>
  <c r="CV288" i="15"/>
  <c r="CV289" i="15"/>
  <c r="CV290" i="15"/>
  <c r="CV291" i="15"/>
  <c r="CV292" i="15"/>
  <c r="CV293" i="15"/>
  <c r="CV294" i="15"/>
  <c r="CV295" i="15"/>
  <c r="CV296" i="15"/>
  <c r="CV297" i="15"/>
  <c r="CV298" i="15"/>
  <c r="CV299" i="15"/>
  <c r="CV300" i="15"/>
  <c r="CV301" i="15"/>
  <c r="CV302" i="15"/>
  <c r="CV303" i="15"/>
  <c r="CV304" i="15"/>
  <c r="CV305" i="15"/>
  <c r="CV306" i="15"/>
  <c r="CV307" i="15"/>
  <c r="CV308" i="15"/>
  <c r="CV309" i="15"/>
  <c r="CV310" i="15"/>
  <c r="CV311" i="15"/>
  <c r="CV312" i="15"/>
  <c r="CV313" i="15"/>
  <c r="CV314" i="15"/>
  <c r="CV315" i="15"/>
  <c r="CV316" i="15"/>
  <c r="CV317" i="15"/>
  <c r="CV318" i="15"/>
  <c r="CV319" i="15"/>
  <c r="CV320" i="15"/>
  <c r="CV321" i="15"/>
  <c r="CV322" i="15"/>
  <c r="CV323" i="15"/>
  <c r="CV324" i="15"/>
  <c r="CV325" i="15"/>
  <c r="CV326" i="15"/>
  <c r="CV327" i="15"/>
  <c r="CW150" i="15"/>
  <c r="CW151" i="15"/>
  <c r="CW152" i="15"/>
  <c r="CW153" i="15"/>
  <c r="CW154" i="15"/>
  <c r="CW155" i="15"/>
  <c r="CW156" i="15"/>
  <c r="CW157" i="15"/>
  <c r="CW158" i="15"/>
  <c r="CW159" i="15"/>
  <c r="CW160" i="15"/>
  <c r="CW161" i="15"/>
  <c r="CW162" i="15"/>
  <c r="CW163" i="15"/>
  <c r="CW164" i="15"/>
  <c r="CW165" i="15"/>
  <c r="CW166" i="15"/>
  <c r="CW167" i="15"/>
  <c r="CW168" i="15"/>
  <c r="CW169" i="15"/>
  <c r="CW170" i="15"/>
  <c r="CW171" i="15"/>
  <c r="CW172" i="15"/>
  <c r="CW173" i="15"/>
  <c r="CW174" i="15"/>
  <c r="CW175" i="15"/>
  <c r="CW176" i="15"/>
  <c r="CW177" i="15"/>
  <c r="CW178" i="15"/>
  <c r="CW179" i="15"/>
  <c r="CW180" i="15"/>
  <c r="CW181" i="15"/>
  <c r="CW182" i="15"/>
  <c r="CW183" i="15"/>
  <c r="CW184" i="15"/>
  <c r="CW185" i="15"/>
  <c r="CW186" i="15"/>
  <c r="CW187" i="15"/>
  <c r="CW188" i="15"/>
  <c r="CW189" i="15"/>
  <c r="CW190" i="15"/>
  <c r="CW191" i="15"/>
  <c r="CW192" i="15"/>
  <c r="CW193" i="15"/>
  <c r="CW194" i="15"/>
  <c r="CW195" i="15"/>
  <c r="CW196" i="15"/>
  <c r="CW197" i="15"/>
  <c r="CW198" i="15"/>
  <c r="CW199" i="15"/>
  <c r="CW200" i="15"/>
  <c r="CW201" i="15"/>
  <c r="CW202" i="15"/>
  <c r="CW203" i="15"/>
  <c r="CW204" i="15"/>
  <c r="CW205" i="15"/>
  <c r="CW206" i="15"/>
  <c r="CW207" i="15"/>
  <c r="CW208" i="15"/>
  <c r="CW209" i="15"/>
  <c r="CW210" i="15"/>
  <c r="CW211" i="15"/>
  <c r="CW212" i="15"/>
  <c r="CW213" i="15"/>
  <c r="CW214" i="15"/>
  <c r="CW215" i="15"/>
  <c r="CW216" i="15"/>
  <c r="CW217" i="15"/>
  <c r="CW218" i="15"/>
  <c r="CW219" i="15"/>
  <c r="CW220" i="15"/>
  <c r="CW221" i="15"/>
  <c r="CW222" i="15"/>
  <c r="CW223" i="15"/>
  <c r="CW224" i="15"/>
  <c r="CW225" i="15"/>
  <c r="CW226" i="15"/>
  <c r="CW227" i="15"/>
  <c r="CW228" i="15"/>
  <c r="CW229" i="15"/>
  <c r="CW230" i="15"/>
  <c r="CW231" i="15"/>
  <c r="CW232" i="15"/>
  <c r="CW233" i="15"/>
  <c r="CW234" i="15"/>
  <c r="CW235" i="15"/>
  <c r="CW236" i="15"/>
  <c r="CW237" i="15"/>
  <c r="CW238" i="15"/>
  <c r="CW239" i="15"/>
  <c r="CW240" i="15"/>
  <c r="CW241" i="15"/>
  <c r="CW242" i="15"/>
  <c r="CW243" i="15"/>
  <c r="CW244" i="15"/>
  <c r="CW245" i="15"/>
  <c r="CW246" i="15"/>
  <c r="CW247" i="15"/>
  <c r="CW248" i="15"/>
  <c r="CW249" i="15"/>
  <c r="CW250" i="15"/>
  <c r="CW251" i="15"/>
  <c r="CW252" i="15"/>
  <c r="CW253" i="15"/>
  <c r="CW254" i="15"/>
  <c r="CW255" i="15"/>
  <c r="CW256" i="15"/>
  <c r="CW257" i="15"/>
  <c r="CW258" i="15"/>
  <c r="CW259" i="15"/>
  <c r="CW260" i="15"/>
  <c r="CW261" i="15"/>
  <c r="CW262" i="15"/>
  <c r="CW263" i="15"/>
  <c r="CW264" i="15"/>
  <c r="CW265" i="15"/>
  <c r="CW266" i="15"/>
  <c r="CW267" i="15"/>
  <c r="CW268" i="15"/>
  <c r="CW269" i="15"/>
  <c r="CW270" i="15"/>
  <c r="CW271" i="15"/>
  <c r="CW272" i="15"/>
  <c r="CW273" i="15"/>
  <c r="CW274" i="15"/>
  <c r="CW275" i="15"/>
  <c r="CW276" i="15"/>
  <c r="CW277" i="15"/>
  <c r="CW278" i="15"/>
  <c r="CW279" i="15"/>
  <c r="CW280" i="15"/>
  <c r="CW281" i="15"/>
  <c r="CW282" i="15"/>
  <c r="CW283" i="15"/>
  <c r="CW284" i="15"/>
  <c r="CW285" i="15"/>
  <c r="CW286" i="15"/>
  <c r="CW287" i="15"/>
  <c r="CW288" i="15"/>
  <c r="CW289" i="15"/>
  <c r="CW290" i="15"/>
  <c r="CW291" i="15"/>
  <c r="CW292" i="15"/>
  <c r="CW293" i="15"/>
  <c r="CW294" i="15"/>
  <c r="CW295" i="15"/>
  <c r="CW296" i="15"/>
  <c r="CW297" i="15"/>
  <c r="CW298" i="15"/>
  <c r="CW299" i="15"/>
  <c r="CW300" i="15"/>
  <c r="CW301" i="15"/>
  <c r="CW302" i="15"/>
  <c r="CW303" i="15"/>
  <c r="CW304" i="15"/>
  <c r="CW305" i="15"/>
  <c r="CW306" i="15"/>
  <c r="CW307" i="15"/>
  <c r="CW308" i="15"/>
  <c r="CW309" i="15"/>
  <c r="CW310" i="15"/>
  <c r="CW311" i="15"/>
  <c r="CW312" i="15"/>
  <c r="CW313" i="15"/>
  <c r="CW314" i="15"/>
  <c r="CW315" i="15"/>
  <c r="CW316" i="15"/>
  <c r="CW317" i="15"/>
  <c r="CW318" i="15"/>
  <c r="CW319" i="15"/>
  <c r="CW320" i="15"/>
  <c r="CW321" i="15"/>
  <c r="CW322" i="15"/>
  <c r="CW323" i="15"/>
  <c r="CW324" i="15"/>
  <c r="CW325" i="15"/>
  <c r="CW326" i="15"/>
  <c r="CW327" i="15"/>
  <c r="CI199" i="15"/>
  <c r="CI200" i="15"/>
  <c r="CI201" i="15"/>
  <c r="CI202" i="15"/>
  <c r="CI203" i="15"/>
  <c r="CI204" i="15"/>
  <c r="CI205" i="15"/>
  <c r="CI206" i="15"/>
  <c r="CI207" i="15"/>
  <c r="CI208" i="15"/>
  <c r="CI209" i="15"/>
  <c r="CI210" i="15"/>
  <c r="CI211" i="15"/>
  <c r="CI212" i="15"/>
  <c r="CI213" i="15"/>
  <c r="CI214" i="15"/>
  <c r="CI215" i="15"/>
  <c r="CI216" i="15"/>
  <c r="CI217" i="15"/>
  <c r="CI218" i="15"/>
  <c r="CI219" i="15"/>
  <c r="CI220" i="15"/>
  <c r="CI221" i="15"/>
  <c r="CI222" i="15"/>
  <c r="CI223" i="15"/>
  <c r="CI224" i="15"/>
  <c r="CI225" i="15"/>
  <c r="CI226" i="15"/>
  <c r="CI227" i="15"/>
  <c r="CI228" i="15"/>
  <c r="CI229" i="15"/>
  <c r="CI230" i="15"/>
  <c r="CI231" i="15"/>
  <c r="CI232" i="15"/>
  <c r="CI233" i="15"/>
  <c r="CI234" i="15"/>
  <c r="CI235" i="15"/>
  <c r="CI236" i="15"/>
  <c r="CI237" i="15"/>
  <c r="CI238" i="15"/>
  <c r="CI239" i="15"/>
  <c r="CI240" i="15"/>
  <c r="CI241" i="15"/>
  <c r="CI242" i="15"/>
  <c r="CI243" i="15"/>
  <c r="CI244" i="15"/>
  <c r="CI245" i="15"/>
  <c r="CI246" i="15"/>
  <c r="CI247" i="15"/>
  <c r="CI248" i="15"/>
  <c r="CI249" i="15"/>
  <c r="CI250" i="15"/>
  <c r="CI251" i="15"/>
  <c r="CI252" i="15"/>
  <c r="CI253" i="15"/>
  <c r="CI254" i="15"/>
  <c r="CI255" i="15"/>
  <c r="CI256" i="15"/>
  <c r="CI257" i="15"/>
  <c r="CI258" i="15"/>
  <c r="CI259" i="15"/>
  <c r="CI260" i="15"/>
  <c r="CI261" i="15"/>
  <c r="CI262" i="15"/>
  <c r="CI263" i="15"/>
  <c r="CI264" i="15"/>
  <c r="CI265" i="15"/>
  <c r="CI266" i="15"/>
  <c r="CI267" i="15"/>
  <c r="CI268" i="15"/>
  <c r="CI269" i="15"/>
  <c r="CI270" i="15"/>
  <c r="CI271" i="15"/>
  <c r="CI272" i="15"/>
  <c r="CI273" i="15"/>
  <c r="CI274" i="15"/>
  <c r="CI275" i="15"/>
  <c r="CI276" i="15"/>
  <c r="CI277" i="15"/>
  <c r="CI278" i="15"/>
  <c r="CI279" i="15"/>
  <c r="CI280" i="15"/>
  <c r="CI281" i="15"/>
  <c r="CI282" i="15"/>
  <c r="CI283" i="15"/>
  <c r="CI284" i="15"/>
  <c r="CI285" i="15"/>
  <c r="CI286" i="15"/>
  <c r="CI287" i="15"/>
  <c r="CI288" i="15"/>
  <c r="CI289" i="15"/>
  <c r="CI290" i="15"/>
  <c r="CI291" i="15"/>
  <c r="CI292" i="15"/>
  <c r="CI293" i="15"/>
  <c r="CI294" i="15"/>
  <c r="CI295" i="15"/>
  <c r="CI296" i="15"/>
  <c r="CI297" i="15"/>
  <c r="CI298" i="15"/>
  <c r="CI299" i="15"/>
  <c r="CI300" i="15"/>
  <c r="CI301" i="15"/>
  <c r="CI302" i="15"/>
  <c r="CI303" i="15"/>
  <c r="CI304" i="15"/>
  <c r="CI305" i="15"/>
  <c r="CI306" i="15"/>
  <c r="CI307" i="15"/>
  <c r="CI308" i="15"/>
  <c r="CI309" i="15"/>
  <c r="CI310" i="15"/>
  <c r="CI311" i="15"/>
  <c r="CI312" i="15"/>
  <c r="CI313" i="15"/>
  <c r="CI314" i="15"/>
  <c r="CI315" i="15"/>
  <c r="CI316" i="15"/>
  <c r="CI317" i="15"/>
  <c r="CI318" i="15"/>
  <c r="CI319" i="15"/>
  <c r="CI320" i="15"/>
  <c r="CI321" i="15"/>
  <c r="CI322" i="15"/>
  <c r="CI323" i="15"/>
  <c r="CI324" i="15"/>
  <c r="CI325" i="15"/>
  <c r="CI326" i="15"/>
  <c r="CI327" i="15"/>
  <c r="CI328" i="15"/>
  <c r="CI329" i="15"/>
  <c r="CI330" i="15"/>
  <c r="CI331" i="15"/>
  <c r="CI332" i="15"/>
  <c r="CI333" i="15"/>
  <c r="CI334" i="15"/>
  <c r="CJ199" i="15"/>
  <c r="CJ200" i="15"/>
  <c r="CJ201" i="15"/>
  <c r="CJ202" i="15"/>
  <c r="CJ203" i="15"/>
  <c r="CJ204" i="15"/>
  <c r="CJ205" i="15"/>
  <c r="CJ206" i="15"/>
  <c r="CJ207" i="15"/>
  <c r="CJ208" i="15"/>
  <c r="CJ209" i="15"/>
  <c r="CJ210" i="15"/>
  <c r="CJ211" i="15"/>
  <c r="CJ212" i="15"/>
  <c r="CJ213" i="15"/>
  <c r="CJ214" i="15"/>
  <c r="CJ215" i="15"/>
  <c r="CJ216" i="15"/>
  <c r="CJ217" i="15"/>
  <c r="CJ218" i="15"/>
  <c r="CJ219" i="15"/>
  <c r="CJ220" i="15"/>
  <c r="CJ221" i="15"/>
  <c r="CJ222" i="15"/>
  <c r="CJ223" i="15"/>
  <c r="CJ224" i="15"/>
  <c r="CJ225" i="15"/>
  <c r="CJ226" i="15"/>
  <c r="CJ227" i="15"/>
  <c r="CJ228" i="15"/>
  <c r="CJ229" i="15"/>
  <c r="CJ230" i="15"/>
  <c r="CJ231" i="15"/>
  <c r="CJ232" i="15"/>
  <c r="CJ233" i="15"/>
  <c r="CJ234" i="15"/>
  <c r="CJ235" i="15"/>
  <c r="CJ236" i="15"/>
  <c r="CJ237" i="15"/>
  <c r="CJ238" i="15"/>
  <c r="CJ239" i="15"/>
  <c r="CJ240" i="15"/>
  <c r="CJ241" i="15"/>
  <c r="CJ242" i="15"/>
  <c r="CJ243" i="15"/>
  <c r="CJ244" i="15"/>
  <c r="CJ245" i="15"/>
  <c r="CJ246" i="15"/>
  <c r="CJ247" i="15"/>
  <c r="CJ248" i="15"/>
  <c r="CJ249" i="15"/>
  <c r="CJ250" i="15"/>
  <c r="CJ251" i="15"/>
  <c r="CJ252" i="15"/>
  <c r="CJ253" i="15"/>
  <c r="CJ254" i="15"/>
  <c r="CJ255" i="15"/>
  <c r="CJ256" i="15"/>
  <c r="CJ257" i="15"/>
  <c r="CJ258" i="15"/>
  <c r="CJ259" i="15"/>
  <c r="CJ260" i="15"/>
  <c r="CJ261" i="15"/>
  <c r="CJ262" i="15"/>
  <c r="CJ263" i="15"/>
  <c r="CJ264" i="15"/>
  <c r="CJ265" i="15"/>
  <c r="CJ266" i="15"/>
  <c r="CJ267" i="15"/>
  <c r="CJ268" i="15"/>
  <c r="CJ269" i="15"/>
  <c r="CJ270" i="15"/>
  <c r="CJ271" i="15"/>
  <c r="CJ272" i="15"/>
  <c r="CJ273" i="15"/>
  <c r="CJ274" i="15"/>
  <c r="CJ275" i="15"/>
  <c r="CJ276" i="15"/>
  <c r="CJ277" i="15"/>
  <c r="CJ278" i="15"/>
  <c r="CJ279" i="15"/>
  <c r="CJ280" i="15"/>
  <c r="CJ281" i="15"/>
  <c r="CJ282" i="15"/>
  <c r="CJ283" i="15"/>
  <c r="CJ284" i="15"/>
  <c r="CJ285" i="15"/>
  <c r="CJ286" i="15"/>
  <c r="CJ287" i="15"/>
  <c r="CJ288" i="15"/>
  <c r="CJ289" i="15"/>
  <c r="CJ290" i="15"/>
  <c r="CJ291" i="15"/>
  <c r="CJ292" i="15"/>
  <c r="CJ293" i="15"/>
  <c r="CJ294" i="15"/>
  <c r="CJ295" i="15"/>
  <c r="CJ296" i="15"/>
  <c r="CJ297" i="15"/>
  <c r="CJ298" i="15"/>
  <c r="CJ299" i="15"/>
  <c r="CJ300" i="15"/>
  <c r="CJ301" i="15"/>
  <c r="CJ302" i="15"/>
  <c r="CJ303" i="15"/>
  <c r="CJ304" i="15"/>
  <c r="CJ305" i="15"/>
  <c r="CJ306" i="15"/>
  <c r="CJ307" i="15"/>
  <c r="CJ308" i="15"/>
  <c r="CJ309" i="15"/>
  <c r="CJ310" i="15"/>
  <c r="CJ311" i="15"/>
  <c r="CJ312" i="15"/>
  <c r="CJ313" i="15"/>
  <c r="CJ314" i="15"/>
  <c r="CJ315" i="15"/>
  <c r="CJ316" i="15"/>
  <c r="CJ317" i="15"/>
  <c r="CJ318" i="15"/>
  <c r="CJ319" i="15"/>
  <c r="CJ320" i="15"/>
  <c r="CJ321" i="15"/>
  <c r="CJ322" i="15"/>
  <c r="CJ323" i="15"/>
  <c r="CJ324" i="15"/>
  <c r="CJ325" i="15"/>
  <c r="CJ326" i="15"/>
  <c r="CJ327" i="15"/>
  <c r="CJ328" i="15"/>
  <c r="CJ329" i="15"/>
  <c r="CJ330" i="15"/>
  <c r="CJ331" i="15"/>
  <c r="CJ332" i="15"/>
  <c r="CJ333" i="15"/>
  <c r="CJ334" i="15"/>
  <c r="CK278" i="15"/>
  <c r="CK279" i="15"/>
  <c r="CK280" i="15"/>
  <c r="CK281" i="15"/>
  <c r="CK282" i="15"/>
  <c r="CK283" i="15"/>
  <c r="CK284" i="15"/>
  <c r="CK285" i="15"/>
  <c r="CK286" i="15"/>
  <c r="CK287" i="15"/>
  <c r="CK288" i="15"/>
  <c r="CK289" i="15"/>
  <c r="CK290" i="15"/>
  <c r="CK291" i="15"/>
  <c r="CK292" i="15"/>
  <c r="CK293" i="15"/>
  <c r="CK294" i="15"/>
  <c r="CK295" i="15"/>
  <c r="CK296" i="15"/>
  <c r="CK297" i="15"/>
  <c r="CK298" i="15"/>
  <c r="CK299" i="15"/>
  <c r="CK300" i="15"/>
  <c r="CK301" i="15"/>
  <c r="CK302" i="15"/>
  <c r="CK303" i="15"/>
  <c r="CK304" i="15"/>
  <c r="CK305" i="15"/>
  <c r="CK306" i="15"/>
  <c r="CK307" i="15"/>
  <c r="CK308" i="15"/>
  <c r="CK309" i="15"/>
  <c r="CK310" i="15"/>
  <c r="CK311" i="15"/>
  <c r="CK312" i="15"/>
  <c r="CK313" i="15"/>
  <c r="CK314" i="15"/>
  <c r="CK315" i="15"/>
  <c r="CK316" i="15"/>
  <c r="CK317" i="15"/>
  <c r="CK318" i="15"/>
  <c r="CK319" i="15"/>
  <c r="CK320" i="15"/>
  <c r="CK321" i="15"/>
  <c r="CK322" i="15"/>
  <c r="CK323" i="15"/>
  <c r="CK324" i="15"/>
  <c r="CK325" i="15"/>
  <c r="CK326" i="15"/>
  <c r="CK327" i="15"/>
  <c r="CK328" i="15"/>
  <c r="CK329" i="15"/>
  <c r="CK330" i="15"/>
  <c r="CK331" i="15"/>
  <c r="CK332" i="15"/>
  <c r="CK333" i="15"/>
  <c r="CK334" i="15"/>
  <c r="BW150" i="15"/>
  <c r="BW151" i="15"/>
  <c r="BW152" i="15"/>
  <c r="BW153" i="15"/>
  <c r="BW154" i="15"/>
  <c r="BW155" i="15"/>
  <c r="BW156" i="15"/>
  <c r="BW157" i="15"/>
  <c r="BW158" i="15"/>
  <c r="BW159" i="15"/>
  <c r="BW160" i="15"/>
  <c r="BW161" i="15"/>
  <c r="BW162" i="15"/>
  <c r="BW163" i="15"/>
  <c r="BW164" i="15"/>
  <c r="BW165" i="15"/>
  <c r="BW166" i="15"/>
  <c r="BW167" i="15"/>
  <c r="BW168" i="15"/>
  <c r="BW169" i="15"/>
  <c r="BW170" i="15"/>
  <c r="BW171" i="15"/>
  <c r="BW172" i="15"/>
  <c r="BW173" i="15"/>
  <c r="BW174" i="15"/>
  <c r="BW175" i="15"/>
  <c r="BW176" i="15"/>
  <c r="BW177" i="15"/>
  <c r="BW178" i="15"/>
  <c r="BW179" i="15"/>
  <c r="BW180" i="15"/>
  <c r="BW181" i="15"/>
  <c r="BW182" i="15"/>
  <c r="BW183" i="15"/>
  <c r="BW184" i="15"/>
  <c r="BW185" i="15"/>
  <c r="BW186" i="15"/>
  <c r="BW187" i="15"/>
  <c r="BW188" i="15"/>
  <c r="BW189" i="15"/>
  <c r="BW190" i="15"/>
  <c r="BW191" i="15"/>
  <c r="BW192" i="15"/>
  <c r="BW193" i="15"/>
  <c r="BW194" i="15"/>
  <c r="BW195" i="15"/>
  <c r="BW196" i="15"/>
  <c r="BW197" i="15"/>
  <c r="BW198" i="15"/>
  <c r="BW199" i="15"/>
  <c r="BW200" i="15"/>
  <c r="BW201" i="15"/>
  <c r="BW202" i="15"/>
  <c r="BW203" i="15"/>
  <c r="BW204" i="15"/>
  <c r="BW205" i="15"/>
  <c r="BW206" i="15"/>
  <c r="BW207" i="15"/>
  <c r="BW208" i="15"/>
  <c r="BW209" i="15"/>
  <c r="BW210" i="15"/>
  <c r="BW211" i="15"/>
  <c r="BW212" i="15"/>
  <c r="BW213" i="15"/>
  <c r="BW214" i="15"/>
  <c r="BW215" i="15"/>
  <c r="BW216" i="15"/>
  <c r="BW217" i="15"/>
  <c r="BW218" i="15"/>
  <c r="BW219" i="15"/>
  <c r="BW220" i="15"/>
  <c r="BW221" i="15"/>
  <c r="BW222" i="15"/>
  <c r="BW223" i="15"/>
  <c r="BW224" i="15"/>
  <c r="BW225" i="15"/>
  <c r="BW226" i="15"/>
  <c r="BW227" i="15"/>
  <c r="BW228" i="15"/>
  <c r="BW229" i="15"/>
  <c r="BW230" i="15"/>
  <c r="BW231" i="15"/>
  <c r="BW232" i="15"/>
  <c r="BW233" i="15"/>
  <c r="BW234" i="15"/>
  <c r="BW235" i="15"/>
  <c r="BW236" i="15"/>
  <c r="BW237" i="15"/>
  <c r="BW238" i="15"/>
  <c r="BW239" i="15"/>
  <c r="BW240" i="15"/>
  <c r="BW241" i="15"/>
  <c r="BW242" i="15"/>
  <c r="BW243" i="15"/>
  <c r="BW244" i="15"/>
  <c r="BW245" i="15"/>
  <c r="BW246" i="15"/>
  <c r="BW247" i="15"/>
  <c r="BW248" i="15"/>
  <c r="BW249" i="15"/>
  <c r="BW250" i="15"/>
  <c r="BW251" i="15"/>
  <c r="BW252" i="15"/>
  <c r="BW253" i="15"/>
  <c r="BW254" i="15"/>
  <c r="BW255" i="15"/>
  <c r="BW256" i="15"/>
  <c r="BW257" i="15"/>
  <c r="BW258" i="15"/>
  <c r="BW259" i="15"/>
  <c r="BW260" i="15"/>
  <c r="BW261" i="15"/>
  <c r="BW262" i="15"/>
  <c r="BW263" i="15"/>
  <c r="BW264" i="15"/>
  <c r="BW265" i="15"/>
  <c r="BW266" i="15"/>
  <c r="BW267" i="15"/>
  <c r="BW268" i="15"/>
  <c r="BW269" i="15"/>
  <c r="BW270" i="15"/>
  <c r="BW271" i="15"/>
  <c r="BW272" i="15"/>
  <c r="BW273" i="15"/>
  <c r="BW274" i="15"/>
  <c r="BW275" i="15"/>
  <c r="BW276" i="15"/>
  <c r="BW277" i="15"/>
  <c r="BW278" i="15"/>
  <c r="BW315" i="15"/>
  <c r="BW316" i="15"/>
  <c r="BW317" i="15"/>
  <c r="BW318" i="15"/>
  <c r="BW319" i="15"/>
  <c r="BW320" i="15"/>
  <c r="BW321" i="15"/>
  <c r="BW322" i="15"/>
  <c r="BW323" i="15"/>
  <c r="BW324" i="15"/>
  <c r="BW325" i="15"/>
  <c r="BW326" i="15"/>
  <c r="BW327" i="15"/>
  <c r="BW328" i="15"/>
  <c r="BW329" i="15"/>
  <c r="BW330" i="15"/>
  <c r="BW331" i="15"/>
  <c r="BW332" i="15"/>
  <c r="BW333" i="15"/>
  <c r="BW334" i="15"/>
  <c r="BX150" i="15"/>
  <c r="BX151" i="15"/>
  <c r="BX152" i="15"/>
  <c r="BX153" i="15"/>
  <c r="BX154" i="15"/>
  <c r="BX155" i="15"/>
  <c r="BX156" i="15"/>
  <c r="BX157" i="15"/>
  <c r="BX158" i="15"/>
  <c r="BX159" i="15"/>
  <c r="BX160" i="15"/>
  <c r="BX161" i="15"/>
  <c r="BX162" i="15"/>
  <c r="BX163" i="15"/>
  <c r="BX164" i="15"/>
  <c r="BX165" i="15"/>
  <c r="BX166" i="15"/>
  <c r="BX167" i="15"/>
  <c r="BX168" i="15"/>
  <c r="BX169" i="15"/>
  <c r="BX170" i="15"/>
  <c r="BX171" i="15"/>
  <c r="BX172" i="15"/>
  <c r="BX173" i="15"/>
  <c r="BX174" i="15"/>
  <c r="BX175" i="15"/>
  <c r="BX176" i="15"/>
  <c r="BX177" i="15"/>
  <c r="BX178" i="15"/>
  <c r="BX179" i="15"/>
  <c r="BX180" i="15"/>
  <c r="BX181" i="15"/>
  <c r="BX182" i="15"/>
  <c r="BX183" i="15"/>
  <c r="BX184" i="15"/>
  <c r="BX185" i="15"/>
  <c r="BX186" i="15"/>
  <c r="BX187" i="15"/>
  <c r="BX188" i="15"/>
  <c r="BX189" i="15"/>
  <c r="BX190" i="15"/>
  <c r="BX191" i="15"/>
  <c r="BX192" i="15"/>
  <c r="BX193" i="15"/>
  <c r="BX194" i="15"/>
  <c r="BX195" i="15"/>
  <c r="BX196" i="15"/>
  <c r="BX197" i="15"/>
  <c r="BX198" i="15"/>
  <c r="BX199" i="15"/>
  <c r="BX200" i="15"/>
  <c r="BX201" i="15"/>
  <c r="BX202" i="15"/>
  <c r="BX203" i="15"/>
  <c r="BX204" i="15"/>
  <c r="BX205" i="15"/>
  <c r="BX206" i="15"/>
  <c r="BX207" i="15"/>
  <c r="BX208" i="15"/>
  <c r="BX209" i="15"/>
  <c r="BX210" i="15"/>
  <c r="BX211" i="15"/>
  <c r="BX212" i="15"/>
  <c r="BX213" i="15"/>
  <c r="BX214" i="15"/>
  <c r="BX215" i="15"/>
  <c r="BX216" i="15"/>
  <c r="BX217" i="15"/>
  <c r="BX218" i="15"/>
  <c r="BX219" i="15"/>
  <c r="BX220" i="15"/>
  <c r="BX221" i="15"/>
  <c r="BX222" i="15"/>
  <c r="BX223" i="15"/>
  <c r="BX224" i="15"/>
  <c r="BX225" i="15"/>
  <c r="BX226" i="15"/>
  <c r="BX227" i="15"/>
  <c r="BX228" i="15"/>
  <c r="BX229" i="15"/>
  <c r="BX230" i="15"/>
  <c r="BX231" i="15"/>
  <c r="BX232" i="15"/>
  <c r="BX233" i="15"/>
  <c r="BX234" i="15"/>
  <c r="BX235" i="15"/>
  <c r="BX236" i="15"/>
  <c r="BX237" i="15"/>
  <c r="BX238" i="15"/>
  <c r="BX239" i="15"/>
  <c r="BX240" i="15"/>
  <c r="BX241" i="15"/>
  <c r="BX242" i="15"/>
  <c r="BX243" i="15"/>
  <c r="BX244" i="15"/>
  <c r="BX245" i="15"/>
  <c r="BX246" i="15"/>
  <c r="BX247" i="15"/>
  <c r="BX248" i="15"/>
  <c r="BX249" i="15"/>
  <c r="BX250" i="15"/>
  <c r="BX251" i="15"/>
  <c r="BX252" i="15"/>
  <c r="BX253" i="15"/>
  <c r="BX254" i="15"/>
  <c r="BX255" i="15"/>
  <c r="BX256" i="15"/>
  <c r="BX257" i="15"/>
  <c r="BX258" i="15"/>
  <c r="BX259" i="15"/>
  <c r="BX260" i="15"/>
  <c r="BX261" i="15"/>
  <c r="BX262" i="15"/>
  <c r="BX263" i="15"/>
  <c r="BX264" i="15"/>
  <c r="BX265" i="15"/>
  <c r="BX266" i="15"/>
  <c r="BX267" i="15"/>
  <c r="BX268" i="15"/>
  <c r="BX269" i="15"/>
  <c r="BX270" i="15"/>
  <c r="BX271" i="15"/>
  <c r="BX272" i="15"/>
  <c r="BX273" i="15"/>
  <c r="BX274" i="15"/>
  <c r="BX275" i="15"/>
  <c r="BX276" i="15"/>
  <c r="BX277" i="15"/>
  <c r="BX278" i="15"/>
  <c r="BX315" i="15"/>
  <c r="BX316" i="15"/>
  <c r="BX317" i="15"/>
  <c r="BX318" i="15"/>
  <c r="BX319" i="15"/>
  <c r="BX320" i="15"/>
  <c r="BX321" i="15"/>
  <c r="BX322" i="15"/>
  <c r="BX323" i="15"/>
  <c r="BX324" i="15"/>
  <c r="BX325" i="15"/>
  <c r="BX326" i="15"/>
  <c r="BX327" i="15"/>
  <c r="BX328" i="15"/>
  <c r="BX329" i="15"/>
  <c r="BX330" i="15"/>
  <c r="BX331" i="15"/>
  <c r="BX332" i="15"/>
  <c r="BX333" i="15"/>
  <c r="BX334" i="15"/>
  <c r="BY150" i="15"/>
  <c r="BY151" i="15"/>
  <c r="BY152" i="15"/>
  <c r="BY153" i="15"/>
  <c r="BY154" i="15"/>
  <c r="BY155" i="15"/>
  <c r="BY156" i="15"/>
  <c r="BY157" i="15"/>
  <c r="BY158" i="15"/>
  <c r="BY159" i="15"/>
  <c r="BY160" i="15"/>
  <c r="BY161" i="15"/>
  <c r="BY162" i="15"/>
  <c r="BY163" i="15"/>
  <c r="BY164" i="15"/>
  <c r="BY165" i="15"/>
  <c r="BY166" i="15"/>
  <c r="BY167" i="15"/>
  <c r="BY168" i="15"/>
  <c r="BY169" i="15"/>
  <c r="BY170" i="15"/>
  <c r="BY171" i="15"/>
  <c r="BY172" i="15"/>
  <c r="BY173" i="15"/>
  <c r="BY174" i="15"/>
  <c r="BY175" i="15"/>
  <c r="BY176" i="15"/>
  <c r="BY177" i="15"/>
  <c r="BY178" i="15"/>
  <c r="BY179" i="15"/>
  <c r="BY180" i="15"/>
  <c r="BY181" i="15"/>
  <c r="BY182" i="15"/>
  <c r="BY183" i="15"/>
  <c r="BY184" i="15"/>
  <c r="BY185" i="15"/>
  <c r="BY186" i="15"/>
  <c r="BY187" i="15"/>
  <c r="BY188" i="15"/>
  <c r="BY189" i="15"/>
  <c r="BY190" i="15"/>
  <c r="BY191" i="15"/>
  <c r="BY192" i="15"/>
  <c r="BY193" i="15"/>
  <c r="BY194" i="15"/>
  <c r="BY195" i="15"/>
  <c r="BY196" i="15"/>
  <c r="BY197" i="15"/>
  <c r="BY198" i="15"/>
  <c r="BY199" i="15"/>
  <c r="BY200" i="15"/>
  <c r="BY201" i="15"/>
  <c r="BY202" i="15"/>
  <c r="BY203" i="15"/>
  <c r="BY204" i="15"/>
  <c r="BY205" i="15"/>
  <c r="BY206" i="15"/>
  <c r="BY207" i="15"/>
  <c r="BY208" i="15"/>
  <c r="BY209" i="15"/>
  <c r="BY210" i="15"/>
  <c r="BY211" i="15"/>
  <c r="BY212" i="15"/>
  <c r="BY213" i="15"/>
  <c r="BY214" i="15"/>
  <c r="BY215" i="15"/>
  <c r="BY216" i="15"/>
  <c r="BY217" i="15"/>
  <c r="BY218" i="15"/>
  <c r="BY219" i="15"/>
  <c r="BY220" i="15"/>
  <c r="BY221" i="15"/>
  <c r="BY222" i="15"/>
  <c r="BY223" i="15"/>
  <c r="BY224" i="15"/>
  <c r="BY225" i="15"/>
  <c r="BY226" i="15"/>
  <c r="BY227" i="15"/>
  <c r="BY228" i="15"/>
  <c r="BY229" i="15"/>
  <c r="BY230" i="15"/>
  <c r="BY231" i="15"/>
  <c r="BY232" i="15"/>
  <c r="BY233" i="15"/>
  <c r="BY234" i="15"/>
  <c r="BY235" i="15"/>
  <c r="BY236" i="15"/>
  <c r="BY237" i="15"/>
  <c r="BY238" i="15"/>
  <c r="BY239" i="15"/>
  <c r="BY240" i="15"/>
  <c r="BY241" i="15"/>
  <c r="BY242" i="15"/>
  <c r="BY243" i="15"/>
  <c r="BY244" i="15"/>
  <c r="BY245" i="15"/>
  <c r="BY246" i="15"/>
  <c r="BY247" i="15"/>
  <c r="BY248" i="15"/>
  <c r="BY249" i="15"/>
  <c r="BY250" i="15"/>
  <c r="BY251" i="15"/>
  <c r="BY252" i="15"/>
  <c r="BY253" i="15"/>
  <c r="BY254" i="15"/>
  <c r="BY255" i="15"/>
  <c r="BY256" i="15"/>
  <c r="BY257" i="15"/>
  <c r="BY258" i="15"/>
  <c r="BY259" i="15"/>
  <c r="BY260" i="15"/>
  <c r="BY261" i="15"/>
  <c r="BY262" i="15"/>
  <c r="BY263" i="15"/>
  <c r="BY264" i="15"/>
  <c r="BY265" i="15"/>
  <c r="BY266" i="15"/>
  <c r="BY267" i="15"/>
  <c r="BY268" i="15"/>
  <c r="BY269" i="15"/>
  <c r="BY270" i="15"/>
  <c r="BY271" i="15"/>
  <c r="BY272" i="15"/>
  <c r="BY273" i="15"/>
  <c r="BY274" i="15"/>
  <c r="BY275" i="15"/>
  <c r="BY276" i="15"/>
  <c r="BY277" i="15"/>
  <c r="BY278" i="15"/>
  <c r="BY315" i="15"/>
  <c r="BY316" i="15"/>
  <c r="BY317" i="15"/>
  <c r="BY318" i="15"/>
  <c r="BY319" i="15"/>
  <c r="BY320" i="15"/>
  <c r="BY321" i="15"/>
  <c r="BY322" i="15"/>
  <c r="BY323" i="15"/>
  <c r="BY324" i="15"/>
  <c r="BY325" i="15"/>
  <c r="BY326" i="15"/>
  <c r="BY327" i="15"/>
  <c r="BY328" i="15"/>
  <c r="BY329" i="15"/>
  <c r="BY330" i="15"/>
  <c r="BY331" i="15"/>
  <c r="BY332" i="15"/>
  <c r="BY333" i="15"/>
  <c r="BY334" i="15"/>
  <c r="BK150" i="15"/>
  <c r="BK151" i="15"/>
  <c r="BK152" i="15"/>
  <c r="BK153" i="15"/>
  <c r="BK154" i="15"/>
  <c r="BK155" i="15"/>
  <c r="BK156" i="15"/>
  <c r="BK157" i="15"/>
  <c r="BK158" i="15"/>
  <c r="BK159" i="15"/>
  <c r="BK160" i="15"/>
  <c r="BK161" i="15"/>
  <c r="BK162" i="15"/>
  <c r="BK163" i="15"/>
  <c r="BK164" i="15"/>
  <c r="BK165" i="15"/>
  <c r="BK166" i="15"/>
  <c r="BK167" i="15"/>
  <c r="BK168" i="15"/>
  <c r="BK169" i="15"/>
  <c r="BK170" i="15"/>
  <c r="BK171" i="15"/>
  <c r="BK172" i="15"/>
  <c r="BK173" i="15"/>
  <c r="BK174" i="15"/>
  <c r="BK175" i="15"/>
  <c r="BK176" i="15"/>
  <c r="BK177" i="15"/>
  <c r="BK178" i="15"/>
  <c r="BK179" i="15"/>
  <c r="BK180" i="15"/>
  <c r="BK181" i="15"/>
  <c r="BK182" i="15"/>
  <c r="BK183" i="15"/>
  <c r="BK184" i="15"/>
  <c r="BK185" i="15"/>
  <c r="BK186" i="15"/>
  <c r="BK187" i="15"/>
  <c r="BK188" i="15"/>
  <c r="BK189" i="15"/>
  <c r="BK190" i="15"/>
  <c r="BK191" i="15"/>
  <c r="BK192" i="15"/>
  <c r="BK193" i="15"/>
  <c r="BK194" i="15"/>
  <c r="BK195" i="15"/>
  <c r="BK196" i="15"/>
  <c r="BK197" i="15"/>
  <c r="BK198" i="15"/>
  <c r="BK199" i="15"/>
  <c r="BK200" i="15"/>
  <c r="BK201" i="15"/>
  <c r="BK202" i="15"/>
  <c r="BK203" i="15"/>
  <c r="BK204" i="15"/>
  <c r="BK205" i="15"/>
  <c r="BK206" i="15"/>
  <c r="BK207" i="15"/>
  <c r="BK208" i="15"/>
  <c r="BK209" i="15"/>
  <c r="BK210" i="15"/>
  <c r="BK211" i="15"/>
  <c r="BK212" i="15"/>
  <c r="BK213" i="15"/>
  <c r="BK214" i="15"/>
  <c r="BK215" i="15"/>
  <c r="BK216" i="15"/>
  <c r="BK217" i="15"/>
  <c r="BK218" i="15"/>
  <c r="BK219" i="15"/>
  <c r="BK220" i="15"/>
  <c r="BK221" i="15"/>
  <c r="BK222" i="15"/>
  <c r="BK223" i="15"/>
  <c r="BK224" i="15"/>
  <c r="BK225" i="15"/>
  <c r="BK226" i="15"/>
  <c r="BK227" i="15"/>
  <c r="BK228" i="15"/>
  <c r="BK229" i="15"/>
  <c r="BK230" i="15"/>
  <c r="BK231" i="15"/>
  <c r="BK232" i="15"/>
  <c r="BK233" i="15"/>
  <c r="BK234" i="15"/>
  <c r="BK235" i="15"/>
  <c r="BK236" i="15"/>
  <c r="BK237" i="15"/>
  <c r="BK238" i="15"/>
  <c r="BK239" i="15"/>
  <c r="BK240" i="15"/>
  <c r="BK241" i="15"/>
  <c r="BK242" i="15"/>
  <c r="BK243" i="15"/>
  <c r="BK244" i="15"/>
  <c r="BK245" i="15"/>
  <c r="BK246" i="15"/>
  <c r="BK247" i="15"/>
  <c r="BK248" i="15"/>
  <c r="BK249" i="15"/>
  <c r="BK250" i="15"/>
  <c r="BK251" i="15"/>
  <c r="BK252" i="15"/>
  <c r="BK253" i="15"/>
  <c r="BK254" i="15"/>
  <c r="BK255" i="15"/>
  <c r="BK256" i="15"/>
  <c r="BK257" i="15"/>
  <c r="BK258" i="15"/>
  <c r="BK259" i="15"/>
  <c r="BK260" i="15"/>
  <c r="BK261" i="15"/>
  <c r="BK262" i="15"/>
  <c r="BK263" i="15"/>
  <c r="BK264" i="15"/>
  <c r="BK265" i="15"/>
  <c r="BK266" i="15"/>
  <c r="BK267" i="15"/>
  <c r="BK268" i="15"/>
  <c r="BK269" i="15"/>
  <c r="BK270" i="15"/>
  <c r="BK271" i="15"/>
  <c r="BK272" i="15"/>
  <c r="BK273" i="15"/>
  <c r="BK274" i="15"/>
  <c r="BK275" i="15"/>
  <c r="BK276" i="15"/>
  <c r="BK277" i="15"/>
  <c r="BK278" i="15"/>
  <c r="BK284" i="15"/>
  <c r="BK285" i="15"/>
  <c r="BK286" i="15"/>
  <c r="BK287" i="15"/>
  <c r="BK288" i="15"/>
  <c r="BK289" i="15"/>
  <c r="BK290" i="15"/>
  <c r="BK291" i="15"/>
  <c r="BK292" i="15"/>
  <c r="BK293" i="15"/>
  <c r="BK294" i="15"/>
  <c r="BK295" i="15"/>
  <c r="BK296" i="15"/>
  <c r="BK297" i="15"/>
  <c r="BK298" i="15"/>
  <c r="BK299" i="15"/>
  <c r="BK300" i="15"/>
  <c r="BK301" i="15"/>
  <c r="BK302" i="15"/>
  <c r="BK303" i="15"/>
  <c r="BK304" i="15"/>
  <c r="BK305" i="15"/>
  <c r="BK306" i="15"/>
  <c r="BK307" i="15"/>
  <c r="BK308" i="15"/>
  <c r="BK309" i="15"/>
  <c r="BK310" i="15"/>
  <c r="BK311" i="15"/>
  <c r="BK312" i="15"/>
  <c r="BK313" i="15"/>
  <c r="BK314" i="15"/>
  <c r="BK315" i="15"/>
  <c r="BK316" i="15"/>
  <c r="BK317" i="15"/>
  <c r="BK318" i="15"/>
  <c r="BK319" i="15"/>
  <c r="BK320" i="15"/>
  <c r="BK321" i="15"/>
  <c r="BK322" i="15"/>
  <c r="BK323" i="15"/>
  <c r="BK324" i="15"/>
  <c r="BK325" i="15"/>
  <c r="BK326" i="15"/>
  <c r="BK327" i="15"/>
  <c r="BK328" i="15"/>
  <c r="BK329" i="15"/>
  <c r="BK330" i="15"/>
  <c r="BK331" i="15"/>
  <c r="BK332" i="15"/>
  <c r="BK333" i="15"/>
  <c r="BK334" i="15"/>
  <c r="BL150" i="15"/>
  <c r="BL151" i="15"/>
  <c r="BL152" i="15"/>
  <c r="BL153" i="15"/>
  <c r="BL154" i="15"/>
  <c r="BL155" i="15"/>
  <c r="BL156" i="15"/>
  <c r="BL157" i="15"/>
  <c r="BL158" i="15"/>
  <c r="BL159" i="15"/>
  <c r="BL160" i="15"/>
  <c r="BL161" i="15"/>
  <c r="BL162" i="15"/>
  <c r="BL163" i="15"/>
  <c r="BL164" i="15"/>
  <c r="BL165" i="15"/>
  <c r="BL166" i="15"/>
  <c r="BL167" i="15"/>
  <c r="BL168" i="15"/>
  <c r="BL169" i="15"/>
  <c r="BL170" i="15"/>
  <c r="BL171" i="15"/>
  <c r="BL172" i="15"/>
  <c r="BL173" i="15"/>
  <c r="BL174" i="15"/>
  <c r="BL175" i="15"/>
  <c r="BL176" i="15"/>
  <c r="BL177" i="15"/>
  <c r="BL178" i="15"/>
  <c r="BL179" i="15"/>
  <c r="BL180" i="15"/>
  <c r="BL181" i="15"/>
  <c r="BL182" i="15"/>
  <c r="BL183" i="15"/>
  <c r="BL184" i="15"/>
  <c r="BL185" i="15"/>
  <c r="BL186" i="15"/>
  <c r="BL187" i="15"/>
  <c r="BL188" i="15"/>
  <c r="BL189" i="15"/>
  <c r="BL190" i="15"/>
  <c r="BL191" i="15"/>
  <c r="BL192" i="15"/>
  <c r="BL193" i="15"/>
  <c r="BL194" i="15"/>
  <c r="BL195" i="15"/>
  <c r="BL196" i="15"/>
  <c r="BL197" i="15"/>
  <c r="BL198" i="15"/>
  <c r="BL199" i="15"/>
  <c r="BL200" i="15"/>
  <c r="BL201" i="15"/>
  <c r="BL202" i="15"/>
  <c r="BL203" i="15"/>
  <c r="BL204" i="15"/>
  <c r="BL205" i="15"/>
  <c r="BL206" i="15"/>
  <c r="BL207" i="15"/>
  <c r="BL208" i="15"/>
  <c r="BL209" i="15"/>
  <c r="BL210" i="15"/>
  <c r="BL211" i="15"/>
  <c r="BL212" i="15"/>
  <c r="BL213" i="15"/>
  <c r="BL214" i="15"/>
  <c r="BL215" i="15"/>
  <c r="BL216" i="15"/>
  <c r="BL217" i="15"/>
  <c r="BL218" i="15"/>
  <c r="BL219" i="15"/>
  <c r="BL220" i="15"/>
  <c r="BL221" i="15"/>
  <c r="BL222" i="15"/>
  <c r="BL223" i="15"/>
  <c r="BL224" i="15"/>
  <c r="BL225" i="15"/>
  <c r="BL226" i="15"/>
  <c r="BL227" i="15"/>
  <c r="BL228" i="15"/>
  <c r="BL229" i="15"/>
  <c r="BL230" i="15"/>
  <c r="BL231" i="15"/>
  <c r="BL232" i="15"/>
  <c r="BL233" i="15"/>
  <c r="BL234" i="15"/>
  <c r="BL235" i="15"/>
  <c r="BL236" i="15"/>
  <c r="BL237" i="15"/>
  <c r="BL238" i="15"/>
  <c r="BL239" i="15"/>
  <c r="BL240" i="15"/>
  <c r="BL241" i="15"/>
  <c r="BL242" i="15"/>
  <c r="BL243" i="15"/>
  <c r="BL244" i="15"/>
  <c r="BL245" i="15"/>
  <c r="BL246" i="15"/>
  <c r="BL247" i="15"/>
  <c r="BL248" i="15"/>
  <c r="BL249" i="15"/>
  <c r="BL250" i="15"/>
  <c r="BL251" i="15"/>
  <c r="BL252" i="15"/>
  <c r="BL253" i="15"/>
  <c r="BL254" i="15"/>
  <c r="BL255" i="15"/>
  <c r="BL256" i="15"/>
  <c r="BL257" i="15"/>
  <c r="BL258" i="15"/>
  <c r="BL259" i="15"/>
  <c r="BL260" i="15"/>
  <c r="BL261" i="15"/>
  <c r="BL262" i="15"/>
  <c r="BL263" i="15"/>
  <c r="BL264" i="15"/>
  <c r="BL265" i="15"/>
  <c r="BL266" i="15"/>
  <c r="BL267" i="15"/>
  <c r="BL268" i="15"/>
  <c r="BL269" i="15"/>
  <c r="BL270" i="15"/>
  <c r="BL271" i="15"/>
  <c r="BL272" i="15"/>
  <c r="BL273" i="15"/>
  <c r="BL274" i="15"/>
  <c r="BL275" i="15"/>
  <c r="BL276" i="15"/>
  <c r="BL277" i="15"/>
  <c r="BL278" i="15"/>
  <c r="BL284" i="15"/>
  <c r="BL285" i="15"/>
  <c r="BL286" i="15"/>
  <c r="BL287" i="15"/>
  <c r="BL288" i="15"/>
  <c r="BL289" i="15"/>
  <c r="BL290" i="15"/>
  <c r="BL291" i="15"/>
  <c r="BL292" i="15"/>
  <c r="BL293" i="15"/>
  <c r="BL294" i="15"/>
  <c r="BL295" i="15"/>
  <c r="BL296" i="15"/>
  <c r="BL297" i="15"/>
  <c r="BL298" i="15"/>
  <c r="BL299" i="15"/>
  <c r="BL300" i="15"/>
  <c r="BL301" i="15"/>
  <c r="BL302" i="15"/>
  <c r="BL303" i="15"/>
  <c r="BL304" i="15"/>
  <c r="BL305" i="15"/>
  <c r="BL306" i="15"/>
  <c r="BL307" i="15"/>
  <c r="BL308" i="15"/>
  <c r="BL309" i="15"/>
  <c r="BL310" i="15"/>
  <c r="BL311" i="15"/>
  <c r="BL312" i="15"/>
  <c r="BL313" i="15"/>
  <c r="BL314" i="15"/>
  <c r="BL315" i="15"/>
  <c r="BL316" i="15"/>
  <c r="BL317" i="15"/>
  <c r="BL318" i="15"/>
  <c r="BL319" i="15"/>
  <c r="BL320" i="15"/>
  <c r="BL321" i="15"/>
  <c r="BL322" i="15"/>
  <c r="BL323" i="15"/>
  <c r="BL324" i="15"/>
  <c r="BL325" i="15"/>
  <c r="BL326" i="15"/>
  <c r="BL327" i="15"/>
  <c r="BL328" i="15"/>
  <c r="BL329" i="15"/>
  <c r="BL330" i="15"/>
  <c r="BL331" i="15"/>
  <c r="BL332" i="15"/>
  <c r="BL333" i="15"/>
  <c r="BL334" i="15"/>
  <c r="BM150" i="15"/>
  <c r="BM151" i="15"/>
  <c r="BM152" i="15"/>
  <c r="BM153" i="15"/>
  <c r="BM154" i="15"/>
  <c r="BM155" i="15"/>
  <c r="BM156" i="15"/>
  <c r="BM157" i="15"/>
  <c r="BM158" i="15"/>
  <c r="BM159" i="15"/>
  <c r="BM160" i="15"/>
  <c r="BM161" i="15"/>
  <c r="BM162" i="15"/>
  <c r="BM163" i="15"/>
  <c r="BM164" i="15"/>
  <c r="BM165" i="15"/>
  <c r="BM166" i="15"/>
  <c r="BM167" i="15"/>
  <c r="BM168" i="15"/>
  <c r="BM169" i="15"/>
  <c r="BM170" i="15"/>
  <c r="BM171" i="15"/>
  <c r="BM172" i="15"/>
  <c r="BM173" i="15"/>
  <c r="BM174" i="15"/>
  <c r="BM175" i="15"/>
  <c r="BM176" i="15"/>
  <c r="BM177" i="15"/>
  <c r="BM178" i="15"/>
  <c r="BM179" i="15"/>
  <c r="BM180" i="15"/>
  <c r="BM181" i="15"/>
  <c r="BM182" i="15"/>
  <c r="BM183" i="15"/>
  <c r="BM184" i="15"/>
  <c r="BM185" i="15"/>
  <c r="BM186" i="15"/>
  <c r="BM187" i="15"/>
  <c r="BM188" i="15"/>
  <c r="BM189" i="15"/>
  <c r="BM190" i="15"/>
  <c r="BM191" i="15"/>
  <c r="BM192" i="15"/>
  <c r="BM193" i="15"/>
  <c r="BM194" i="15"/>
  <c r="BM195" i="15"/>
  <c r="BM196" i="15"/>
  <c r="BM197" i="15"/>
  <c r="BM198" i="15"/>
  <c r="BM199" i="15"/>
  <c r="BM200" i="15"/>
  <c r="BM201" i="15"/>
  <c r="BM202" i="15"/>
  <c r="BM203" i="15"/>
  <c r="BM204" i="15"/>
  <c r="BM205" i="15"/>
  <c r="BM206" i="15"/>
  <c r="BM207" i="15"/>
  <c r="BM208" i="15"/>
  <c r="BM209" i="15"/>
  <c r="BM210" i="15"/>
  <c r="BM211" i="15"/>
  <c r="BM212" i="15"/>
  <c r="BM213" i="15"/>
  <c r="BM214" i="15"/>
  <c r="BM215" i="15"/>
  <c r="BM216" i="15"/>
  <c r="BM217" i="15"/>
  <c r="BM218" i="15"/>
  <c r="BM219" i="15"/>
  <c r="BM220" i="15"/>
  <c r="BM221" i="15"/>
  <c r="BM222" i="15"/>
  <c r="BM223" i="15"/>
  <c r="BM224" i="15"/>
  <c r="BM225" i="15"/>
  <c r="BM226" i="15"/>
  <c r="BM227" i="15"/>
  <c r="BM228" i="15"/>
  <c r="BM229" i="15"/>
  <c r="BM230" i="15"/>
  <c r="BM231" i="15"/>
  <c r="BM232" i="15"/>
  <c r="BM233" i="15"/>
  <c r="BM234" i="15"/>
  <c r="BM235" i="15"/>
  <c r="BM236" i="15"/>
  <c r="BM237" i="15"/>
  <c r="BM238" i="15"/>
  <c r="BM239" i="15"/>
  <c r="BM240" i="15"/>
  <c r="BM241" i="15"/>
  <c r="BM242" i="15"/>
  <c r="BM243" i="15"/>
  <c r="BM244" i="15"/>
  <c r="BM245" i="15"/>
  <c r="BM246" i="15"/>
  <c r="BM247" i="15"/>
  <c r="BM248" i="15"/>
  <c r="BM249" i="15"/>
  <c r="BM250" i="15"/>
  <c r="BM251" i="15"/>
  <c r="BM252" i="15"/>
  <c r="BM253" i="15"/>
  <c r="BM254" i="15"/>
  <c r="BM255" i="15"/>
  <c r="BM256" i="15"/>
  <c r="BM257" i="15"/>
  <c r="BM258" i="15"/>
  <c r="BM259" i="15"/>
  <c r="BM260" i="15"/>
  <c r="BM261" i="15"/>
  <c r="BM262" i="15"/>
  <c r="BM263" i="15"/>
  <c r="BM264" i="15"/>
  <c r="BM265" i="15"/>
  <c r="BM266" i="15"/>
  <c r="BM267" i="15"/>
  <c r="BM268" i="15"/>
  <c r="BM269" i="15"/>
  <c r="BM270" i="15"/>
  <c r="BM271" i="15"/>
  <c r="BM272" i="15"/>
  <c r="BM273" i="15"/>
  <c r="BM274" i="15"/>
  <c r="BM275" i="15"/>
  <c r="BM276" i="15"/>
  <c r="BM277" i="15"/>
  <c r="BM278" i="15"/>
  <c r="BM284" i="15"/>
  <c r="BM285" i="15"/>
  <c r="BM286" i="15"/>
  <c r="BM287" i="15"/>
  <c r="BM288" i="15"/>
  <c r="BM289" i="15"/>
  <c r="BM290" i="15"/>
  <c r="BM291" i="15"/>
  <c r="BM292" i="15"/>
  <c r="BM293" i="15"/>
  <c r="BM294" i="15"/>
  <c r="BM295" i="15"/>
  <c r="BM296" i="15"/>
  <c r="BM297" i="15"/>
  <c r="BM298" i="15"/>
  <c r="BM299" i="15"/>
  <c r="BM300" i="15"/>
  <c r="BM301" i="15"/>
  <c r="BM302" i="15"/>
  <c r="BM303" i="15"/>
  <c r="BM304" i="15"/>
  <c r="BM305" i="15"/>
  <c r="BM306" i="15"/>
  <c r="BM307" i="15"/>
  <c r="BM308" i="15"/>
  <c r="BM309" i="15"/>
  <c r="BM310" i="15"/>
  <c r="BM311" i="15"/>
  <c r="BM312" i="15"/>
  <c r="BM313" i="15"/>
  <c r="BM314" i="15"/>
  <c r="BM315" i="15"/>
  <c r="BM316" i="15"/>
  <c r="BM317" i="15"/>
  <c r="BM318" i="15"/>
  <c r="BM319" i="15"/>
  <c r="BM320" i="15"/>
  <c r="BM321" i="15"/>
  <c r="BM322" i="15"/>
  <c r="BM323" i="15"/>
  <c r="BM324" i="15"/>
  <c r="BM325" i="15"/>
  <c r="BM326" i="15"/>
  <c r="BM327" i="15"/>
  <c r="BM328" i="15"/>
  <c r="BM329" i="15"/>
  <c r="BM330" i="15"/>
  <c r="BM331" i="15"/>
  <c r="BM332" i="15"/>
  <c r="BM333" i="15"/>
  <c r="BM334" i="15"/>
  <c r="AY150" i="15"/>
  <c r="AY151" i="15"/>
  <c r="AY152" i="15"/>
  <c r="AY153" i="15"/>
  <c r="AY154" i="15"/>
  <c r="AY155" i="15"/>
  <c r="AY156" i="15"/>
  <c r="AY157" i="15"/>
  <c r="AY158" i="15"/>
  <c r="AY159" i="15"/>
  <c r="AY160" i="15"/>
  <c r="AY161" i="15"/>
  <c r="AY162" i="15"/>
  <c r="AY163" i="15"/>
  <c r="AY164" i="15"/>
  <c r="AY165" i="15"/>
  <c r="AY166" i="15"/>
  <c r="AY167" i="15"/>
  <c r="AY168" i="15"/>
  <c r="AY169" i="15"/>
  <c r="AY170" i="15"/>
  <c r="AY171" i="15"/>
  <c r="AY172" i="15"/>
  <c r="AY173" i="15"/>
  <c r="AY174" i="15"/>
  <c r="AY175" i="15"/>
  <c r="AY176" i="15"/>
  <c r="AY177" i="15"/>
  <c r="AY178" i="15"/>
  <c r="AY179" i="15"/>
  <c r="AY180" i="15"/>
  <c r="AY181" i="15"/>
  <c r="AY182" i="15"/>
  <c r="AY183" i="15"/>
  <c r="AY184" i="15"/>
  <c r="AY185" i="15"/>
  <c r="AY186" i="15"/>
  <c r="AY187" i="15"/>
  <c r="AY188" i="15"/>
  <c r="AY189" i="15"/>
  <c r="AY190" i="15"/>
  <c r="AY191" i="15"/>
  <c r="AY192" i="15"/>
  <c r="AY193" i="15"/>
  <c r="AY194" i="15"/>
  <c r="AY195" i="15"/>
  <c r="AY196" i="15"/>
  <c r="AY197" i="15"/>
  <c r="AY198" i="15"/>
  <c r="AY199" i="15"/>
  <c r="AY200" i="15"/>
  <c r="AY201" i="15"/>
  <c r="AY202" i="15"/>
  <c r="AY203" i="15"/>
  <c r="AY204" i="15"/>
  <c r="AY205" i="15"/>
  <c r="AY206" i="15"/>
  <c r="AY207" i="15"/>
  <c r="AY208" i="15"/>
  <c r="AY209" i="15"/>
  <c r="AY210" i="15"/>
  <c r="AY211" i="15"/>
  <c r="AY212" i="15"/>
  <c r="AY213" i="15"/>
  <c r="AY214" i="15"/>
  <c r="AY215" i="15"/>
  <c r="AY216" i="15"/>
  <c r="AY217" i="15"/>
  <c r="AY218" i="15"/>
  <c r="AY219" i="15"/>
  <c r="AY220" i="15"/>
  <c r="AY221" i="15"/>
  <c r="AY222" i="15"/>
  <c r="AY223" i="15"/>
  <c r="AY224" i="15"/>
  <c r="AY225" i="15"/>
  <c r="AY226" i="15"/>
  <c r="AY227" i="15"/>
  <c r="AY228" i="15"/>
  <c r="AY229" i="15"/>
  <c r="AY230" i="15"/>
  <c r="AY231" i="15"/>
  <c r="AY232" i="15"/>
  <c r="AY233" i="15"/>
  <c r="AY234" i="15"/>
  <c r="AY235" i="15"/>
  <c r="AY236" i="15"/>
  <c r="AY237" i="15"/>
  <c r="AY238" i="15"/>
  <c r="AY239" i="15"/>
  <c r="AY240" i="15"/>
  <c r="AY241" i="15"/>
  <c r="AY242" i="15"/>
  <c r="AY243" i="15"/>
  <c r="AY244" i="15"/>
  <c r="AY245" i="15"/>
  <c r="AY246" i="15"/>
  <c r="AY247" i="15"/>
  <c r="AY248" i="15"/>
  <c r="AY249" i="15"/>
  <c r="AY250" i="15"/>
  <c r="AY251" i="15"/>
  <c r="AY252" i="15"/>
  <c r="AY253" i="15"/>
  <c r="AY254" i="15"/>
  <c r="AY255" i="15"/>
  <c r="AY256" i="15"/>
  <c r="AY257" i="15"/>
  <c r="AY258" i="15"/>
  <c r="AY276" i="15"/>
  <c r="AY277" i="15"/>
  <c r="AY278" i="15"/>
  <c r="AY279" i="15"/>
  <c r="AY280" i="15"/>
  <c r="AY281" i="15"/>
  <c r="AY282" i="15"/>
  <c r="AY283" i="15"/>
  <c r="AY284" i="15"/>
  <c r="AY285" i="15"/>
  <c r="AY286" i="15"/>
  <c r="AY287" i="15"/>
  <c r="AY288" i="15"/>
  <c r="AY289" i="15"/>
  <c r="AY290" i="15"/>
  <c r="AY291" i="15"/>
  <c r="AY292" i="15"/>
  <c r="AY293" i="15"/>
  <c r="AY294" i="15"/>
  <c r="AY295" i="15"/>
  <c r="AY296" i="15"/>
  <c r="AY297" i="15"/>
  <c r="AY298" i="15"/>
  <c r="AY299" i="15"/>
  <c r="AY300" i="15"/>
  <c r="AY301" i="15"/>
  <c r="AY302" i="15"/>
  <c r="AY303" i="15"/>
  <c r="AY304" i="15"/>
  <c r="AY305" i="15"/>
  <c r="AY306" i="15"/>
  <c r="AY307" i="15"/>
  <c r="AY308" i="15"/>
  <c r="AY309" i="15"/>
  <c r="AY310" i="15"/>
  <c r="AY311" i="15"/>
  <c r="AY312" i="15"/>
  <c r="AY313" i="15"/>
  <c r="AY314" i="15"/>
  <c r="AY315" i="15"/>
  <c r="AY316" i="15"/>
  <c r="AY317" i="15"/>
  <c r="AY318" i="15"/>
  <c r="AY319" i="15"/>
  <c r="AY320" i="15"/>
  <c r="AY321" i="15"/>
  <c r="AY322" i="15"/>
  <c r="AY323" i="15"/>
  <c r="AY324" i="15"/>
  <c r="AY325" i="15"/>
  <c r="AY326" i="15"/>
  <c r="AY327" i="15"/>
  <c r="AY328" i="15"/>
  <c r="AY329" i="15"/>
  <c r="AY330" i="15"/>
  <c r="AY331" i="15"/>
  <c r="AY332" i="15"/>
  <c r="AY333" i="15"/>
  <c r="AY334" i="15"/>
  <c r="AZ150" i="15"/>
  <c r="AZ151" i="15"/>
  <c r="AZ152" i="15"/>
  <c r="AZ153" i="15"/>
  <c r="AZ154" i="15"/>
  <c r="AZ155" i="15"/>
  <c r="AZ156" i="15"/>
  <c r="AZ157" i="15"/>
  <c r="AZ158" i="15"/>
  <c r="AZ159" i="15"/>
  <c r="AZ160" i="15"/>
  <c r="AZ161" i="15"/>
  <c r="AZ162" i="15"/>
  <c r="AZ163" i="15"/>
  <c r="AZ164" i="15"/>
  <c r="AZ165" i="15"/>
  <c r="AZ166" i="15"/>
  <c r="AZ167" i="15"/>
  <c r="AZ168" i="15"/>
  <c r="AZ169" i="15"/>
  <c r="AZ170" i="15"/>
  <c r="AZ171" i="15"/>
  <c r="AZ172" i="15"/>
  <c r="AZ173" i="15"/>
  <c r="AZ174" i="15"/>
  <c r="AZ175" i="15"/>
  <c r="AZ176" i="15"/>
  <c r="AZ177" i="15"/>
  <c r="AZ178" i="15"/>
  <c r="AZ179" i="15"/>
  <c r="AZ180" i="15"/>
  <c r="AZ181" i="15"/>
  <c r="AZ182" i="15"/>
  <c r="AZ183" i="15"/>
  <c r="AZ184" i="15"/>
  <c r="AZ185" i="15"/>
  <c r="AZ186" i="15"/>
  <c r="AZ187" i="15"/>
  <c r="AZ188" i="15"/>
  <c r="AZ189" i="15"/>
  <c r="AZ190" i="15"/>
  <c r="AZ191" i="15"/>
  <c r="AZ192" i="15"/>
  <c r="AZ193" i="15"/>
  <c r="AZ194" i="15"/>
  <c r="AZ195" i="15"/>
  <c r="AZ196" i="15"/>
  <c r="AZ197" i="15"/>
  <c r="AZ198" i="15"/>
  <c r="AZ199" i="15"/>
  <c r="AZ200" i="15"/>
  <c r="AZ201" i="15"/>
  <c r="AZ202" i="15"/>
  <c r="AZ203" i="15"/>
  <c r="AZ204" i="15"/>
  <c r="AZ205" i="15"/>
  <c r="AZ206" i="15"/>
  <c r="AZ207" i="15"/>
  <c r="AZ208" i="15"/>
  <c r="AZ209" i="15"/>
  <c r="AZ210" i="15"/>
  <c r="AZ211" i="15"/>
  <c r="AZ212" i="15"/>
  <c r="AZ213" i="15"/>
  <c r="AZ214" i="15"/>
  <c r="AZ215" i="15"/>
  <c r="AZ216" i="15"/>
  <c r="AZ217" i="15"/>
  <c r="AZ218" i="15"/>
  <c r="AZ219" i="15"/>
  <c r="AZ220" i="15"/>
  <c r="AZ221" i="15"/>
  <c r="AZ222" i="15"/>
  <c r="AZ223" i="15"/>
  <c r="AZ224" i="15"/>
  <c r="AZ225" i="15"/>
  <c r="AZ226" i="15"/>
  <c r="AZ227" i="15"/>
  <c r="AZ228" i="15"/>
  <c r="AZ229" i="15"/>
  <c r="AZ230" i="15"/>
  <c r="AZ231" i="15"/>
  <c r="AZ232" i="15"/>
  <c r="AZ233" i="15"/>
  <c r="AZ234" i="15"/>
  <c r="AZ235" i="15"/>
  <c r="AZ236" i="15"/>
  <c r="AZ237" i="15"/>
  <c r="AZ238" i="15"/>
  <c r="AZ239" i="15"/>
  <c r="AZ240" i="15"/>
  <c r="AZ241" i="15"/>
  <c r="AZ242" i="15"/>
  <c r="AZ243" i="15"/>
  <c r="AZ244" i="15"/>
  <c r="AZ245" i="15"/>
  <c r="AZ246" i="15"/>
  <c r="AZ247" i="15"/>
  <c r="AZ248" i="15"/>
  <c r="AZ249" i="15"/>
  <c r="AZ250" i="15"/>
  <c r="AZ251" i="15"/>
  <c r="AZ252" i="15"/>
  <c r="AZ253" i="15"/>
  <c r="AZ254" i="15"/>
  <c r="AZ255" i="15"/>
  <c r="AZ256" i="15"/>
  <c r="AZ257" i="15"/>
  <c r="AZ258" i="15"/>
  <c r="AZ276" i="15"/>
  <c r="AZ277" i="15"/>
  <c r="AZ278" i="15"/>
  <c r="AZ279" i="15"/>
  <c r="AZ280" i="15"/>
  <c r="AZ281" i="15"/>
  <c r="AZ282" i="15"/>
  <c r="AZ283" i="15"/>
  <c r="AZ284" i="15"/>
  <c r="AZ285" i="15"/>
  <c r="AZ286" i="15"/>
  <c r="AZ287" i="15"/>
  <c r="AZ288" i="15"/>
  <c r="AZ289" i="15"/>
  <c r="AZ290" i="15"/>
  <c r="AZ291" i="15"/>
  <c r="AZ292" i="15"/>
  <c r="AZ293" i="15"/>
  <c r="AZ294" i="15"/>
  <c r="AZ295" i="15"/>
  <c r="AZ296" i="15"/>
  <c r="AZ297" i="15"/>
  <c r="AZ298" i="15"/>
  <c r="AZ299" i="15"/>
  <c r="AZ300" i="15"/>
  <c r="AZ301" i="15"/>
  <c r="AZ302" i="15"/>
  <c r="AZ303" i="15"/>
  <c r="AZ304" i="15"/>
  <c r="AZ305" i="15"/>
  <c r="AZ306" i="15"/>
  <c r="AZ307" i="15"/>
  <c r="AZ308" i="15"/>
  <c r="AZ309" i="15"/>
  <c r="AZ310" i="15"/>
  <c r="AZ311" i="15"/>
  <c r="AZ312" i="15"/>
  <c r="AZ313" i="15"/>
  <c r="AZ314" i="15"/>
  <c r="AZ315" i="15"/>
  <c r="AZ316" i="15"/>
  <c r="AZ317" i="15"/>
  <c r="AZ318" i="15"/>
  <c r="AZ319" i="15"/>
  <c r="AZ320" i="15"/>
  <c r="AZ321" i="15"/>
  <c r="AZ322" i="15"/>
  <c r="AZ323" i="15"/>
  <c r="AZ324" i="15"/>
  <c r="AZ325" i="15"/>
  <c r="AZ326" i="15"/>
  <c r="AZ327" i="15"/>
  <c r="AZ328" i="15"/>
  <c r="AZ329" i="15"/>
  <c r="AZ330" i="15"/>
  <c r="AZ331" i="15"/>
  <c r="AZ332" i="15"/>
  <c r="AZ333" i="15"/>
  <c r="AZ334" i="15"/>
  <c r="BA150" i="15"/>
  <c r="BA151" i="15"/>
  <c r="BA152" i="15"/>
  <c r="BA153" i="15"/>
  <c r="BA154" i="15"/>
  <c r="BA155" i="15"/>
  <c r="BA156" i="15"/>
  <c r="BA157" i="15"/>
  <c r="BA158" i="15"/>
  <c r="BA159" i="15"/>
  <c r="BA160" i="15"/>
  <c r="BA161" i="15"/>
  <c r="BA162" i="15"/>
  <c r="BA163" i="15"/>
  <c r="BA164" i="15"/>
  <c r="BA165" i="15"/>
  <c r="BA166" i="15"/>
  <c r="BA167" i="15"/>
  <c r="BA168" i="15"/>
  <c r="BA169" i="15"/>
  <c r="BA170" i="15"/>
  <c r="BA171" i="15"/>
  <c r="BA172" i="15"/>
  <c r="BA173" i="15"/>
  <c r="BA174" i="15"/>
  <c r="BA175" i="15"/>
  <c r="BA176" i="15"/>
  <c r="BA177" i="15"/>
  <c r="BA178" i="15"/>
  <c r="BA179" i="15"/>
  <c r="BA180" i="15"/>
  <c r="BA181" i="15"/>
  <c r="BA182" i="15"/>
  <c r="BA183" i="15"/>
  <c r="BA184" i="15"/>
  <c r="BA185" i="15"/>
  <c r="BA186" i="15"/>
  <c r="BA187" i="15"/>
  <c r="BA188" i="15"/>
  <c r="BA189" i="15"/>
  <c r="BA190" i="15"/>
  <c r="BA191" i="15"/>
  <c r="BA192" i="15"/>
  <c r="BA193" i="15"/>
  <c r="BA194" i="15"/>
  <c r="BA195" i="15"/>
  <c r="BA196" i="15"/>
  <c r="BA197" i="15"/>
  <c r="BA198" i="15"/>
  <c r="BA199" i="15"/>
  <c r="BA200" i="15"/>
  <c r="BA201" i="15"/>
  <c r="BA202" i="15"/>
  <c r="BA203" i="15"/>
  <c r="BA204" i="15"/>
  <c r="BA205" i="15"/>
  <c r="BA206" i="15"/>
  <c r="BA207" i="15"/>
  <c r="BA208" i="15"/>
  <c r="BA209" i="15"/>
  <c r="BA210" i="15"/>
  <c r="BA211" i="15"/>
  <c r="BA212" i="15"/>
  <c r="BA213" i="15"/>
  <c r="BA214" i="15"/>
  <c r="BA215" i="15"/>
  <c r="BA216" i="15"/>
  <c r="BA217" i="15"/>
  <c r="BA218" i="15"/>
  <c r="BA219" i="15"/>
  <c r="BA220" i="15"/>
  <c r="BA221" i="15"/>
  <c r="BA222" i="15"/>
  <c r="BA223" i="15"/>
  <c r="BA224" i="15"/>
  <c r="BA225" i="15"/>
  <c r="BA226" i="15"/>
  <c r="BA227" i="15"/>
  <c r="BA228" i="15"/>
  <c r="BA229" i="15"/>
  <c r="BA230" i="15"/>
  <c r="BA231" i="15"/>
  <c r="BA232" i="15"/>
  <c r="BA233" i="15"/>
  <c r="BA234" i="15"/>
  <c r="BA235" i="15"/>
  <c r="BA236" i="15"/>
  <c r="BA237" i="15"/>
  <c r="BA238" i="15"/>
  <c r="BA239" i="15"/>
  <c r="BA240" i="15"/>
  <c r="BA241" i="15"/>
  <c r="BA242" i="15"/>
  <c r="BA243" i="15"/>
  <c r="BA244" i="15"/>
  <c r="BA245" i="15"/>
  <c r="BA246" i="15"/>
  <c r="BA247" i="15"/>
  <c r="BA248" i="15"/>
  <c r="BA249" i="15"/>
  <c r="BA250" i="15"/>
  <c r="BA251" i="15"/>
  <c r="BA252" i="15"/>
  <c r="BA253" i="15"/>
  <c r="BA254" i="15"/>
  <c r="BA255" i="15"/>
  <c r="BA256" i="15"/>
  <c r="BA257" i="15"/>
  <c r="BA258" i="15"/>
  <c r="BA276" i="15"/>
  <c r="BA277" i="15"/>
  <c r="BA278" i="15"/>
  <c r="BA279" i="15"/>
  <c r="BA280" i="15"/>
  <c r="BA281" i="15"/>
  <c r="BA282" i="15"/>
  <c r="BA283" i="15"/>
  <c r="BA284" i="15"/>
  <c r="BA285" i="15"/>
  <c r="BA286" i="15"/>
  <c r="BA287" i="15"/>
  <c r="BA288" i="15"/>
  <c r="BA289" i="15"/>
  <c r="BA290" i="15"/>
  <c r="BA291" i="15"/>
  <c r="BA292" i="15"/>
  <c r="BA293" i="15"/>
  <c r="BA294" i="15"/>
  <c r="BA295" i="15"/>
  <c r="BA296" i="15"/>
  <c r="BA297" i="15"/>
  <c r="BA298" i="15"/>
  <c r="BA299" i="15"/>
  <c r="BA300" i="15"/>
  <c r="BA301" i="15"/>
  <c r="BA302" i="15"/>
  <c r="BA303" i="15"/>
  <c r="BA304" i="15"/>
  <c r="BA305" i="15"/>
  <c r="BA306" i="15"/>
  <c r="BA307" i="15"/>
  <c r="BA308" i="15"/>
  <c r="BA309" i="15"/>
  <c r="BA310" i="15"/>
  <c r="BA311" i="15"/>
  <c r="BA312" i="15"/>
  <c r="BA313" i="15"/>
  <c r="BA314" i="15"/>
  <c r="BA315" i="15"/>
  <c r="BA316" i="15"/>
  <c r="BA317" i="15"/>
  <c r="BA318" i="15"/>
  <c r="BA319" i="15"/>
  <c r="BA320" i="15"/>
  <c r="BA321" i="15"/>
  <c r="BA322" i="15"/>
  <c r="BA323" i="15"/>
  <c r="BA324" i="15"/>
  <c r="BA325" i="15"/>
  <c r="BA326" i="15"/>
  <c r="BA327" i="15"/>
  <c r="BA328" i="15"/>
  <c r="BA329" i="15"/>
  <c r="BA330" i="15"/>
  <c r="BA331" i="15"/>
  <c r="BA332" i="15"/>
  <c r="BA333" i="15"/>
  <c r="BA334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66" i="15"/>
  <c r="AM167" i="15"/>
  <c r="AM168" i="15"/>
  <c r="AM169" i="15"/>
  <c r="AM170" i="15"/>
  <c r="AM171" i="15"/>
  <c r="AM172" i="15"/>
  <c r="AM173" i="15"/>
  <c r="AM174" i="15"/>
  <c r="AM175" i="15"/>
  <c r="AM176" i="15"/>
  <c r="AM177" i="15"/>
  <c r="AM178" i="15"/>
  <c r="AM179" i="15"/>
  <c r="AM180" i="15"/>
  <c r="AM181" i="15"/>
  <c r="AM182" i="15"/>
  <c r="AM183" i="15"/>
  <c r="AM184" i="15"/>
  <c r="AM185" i="15"/>
  <c r="AM186" i="15"/>
  <c r="AM187" i="15"/>
  <c r="AM188" i="15"/>
  <c r="AM189" i="15"/>
  <c r="AM190" i="15"/>
  <c r="AM191" i="15"/>
  <c r="AM192" i="15"/>
  <c r="AM193" i="15"/>
  <c r="AM194" i="15"/>
  <c r="AM195" i="15"/>
  <c r="AM196" i="15"/>
  <c r="AM197" i="15"/>
  <c r="AM198" i="15"/>
  <c r="AM199" i="15"/>
  <c r="AM200" i="15"/>
  <c r="AM201" i="15"/>
  <c r="AM202" i="15"/>
  <c r="AM203" i="15"/>
  <c r="AM204" i="15"/>
  <c r="AM205" i="15"/>
  <c r="AM206" i="15"/>
  <c r="AM207" i="15"/>
  <c r="AM208" i="15"/>
  <c r="AM209" i="15"/>
  <c r="AM210" i="15"/>
  <c r="AM211" i="15"/>
  <c r="AM212" i="15"/>
  <c r="AM213" i="15"/>
  <c r="AM214" i="15"/>
  <c r="AM215" i="15"/>
  <c r="AM216" i="15"/>
  <c r="AM217" i="15"/>
  <c r="AM218" i="15"/>
  <c r="AM219" i="15"/>
  <c r="AM220" i="15"/>
  <c r="AM221" i="15"/>
  <c r="AM222" i="15"/>
  <c r="AM223" i="15"/>
  <c r="AM224" i="15"/>
  <c r="AM225" i="15"/>
  <c r="AM226" i="15"/>
  <c r="AM227" i="15"/>
  <c r="AM228" i="15"/>
  <c r="AM229" i="15"/>
  <c r="AM230" i="15"/>
  <c r="AM231" i="15"/>
  <c r="AM232" i="15"/>
  <c r="AM233" i="15"/>
  <c r="AM234" i="15"/>
  <c r="AM235" i="15"/>
  <c r="AM236" i="15"/>
  <c r="AM237" i="15"/>
  <c r="AM238" i="15"/>
  <c r="AM239" i="15"/>
  <c r="AM240" i="15"/>
  <c r="AM241" i="15"/>
  <c r="AM242" i="15"/>
  <c r="AM243" i="15"/>
  <c r="AM244" i="15"/>
  <c r="AM245" i="15"/>
  <c r="AM246" i="15"/>
  <c r="AM247" i="15"/>
  <c r="AM248" i="15"/>
  <c r="AM249" i="15"/>
  <c r="AM250" i="15"/>
  <c r="AM251" i="15"/>
  <c r="AM252" i="15"/>
  <c r="AM253" i="15"/>
  <c r="AM254" i="15"/>
  <c r="AM255" i="15"/>
  <c r="AM256" i="15"/>
  <c r="AM257" i="15"/>
  <c r="AM258" i="15"/>
  <c r="AM259" i="15"/>
  <c r="AM260" i="15"/>
  <c r="AM261" i="15"/>
  <c r="AM262" i="15"/>
  <c r="AM263" i="15"/>
  <c r="AM264" i="15"/>
  <c r="AM265" i="15"/>
  <c r="AM266" i="15"/>
  <c r="AM267" i="15"/>
  <c r="AM268" i="15"/>
  <c r="AM269" i="15"/>
  <c r="AM270" i="15"/>
  <c r="AM271" i="15"/>
  <c r="AM272" i="15"/>
  <c r="AM273" i="15"/>
  <c r="AM274" i="15"/>
  <c r="AM275" i="15"/>
  <c r="AM276" i="15"/>
  <c r="AM277" i="15"/>
  <c r="AM278" i="15"/>
  <c r="AM279" i="15"/>
  <c r="AM280" i="15"/>
  <c r="AM281" i="15"/>
  <c r="AM282" i="15"/>
  <c r="AM283" i="15"/>
  <c r="AM284" i="15"/>
  <c r="AM285" i="15"/>
  <c r="AM286" i="15"/>
  <c r="AM287" i="15"/>
  <c r="AM288" i="15"/>
  <c r="AM289" i="15"/>
  <c r="AM290" i="15"/>
  <c r="AM291" i="15"/>
  <c r="AM292" i="15"/>
  <c r="AM293" i="15"/>
  <c r="AM294" i="15"/>
  <c r="AM295" i="15"/>
  <c r="AM296" i="15"/>
  <c r="AM297" i="15"/>
  <c r="AM298" i="15"/>
  <c r="AM299" i="15"/>
  <c r="AM300" i="15"/>
  <c r="AM301" i="15"/>
  <c r="AM302" i="15"/>
  <c r="AM303" i="15"/>
  <c r="AM304" i="15"/>
  <c r="AM305" i="15"/>
  <c r="AM306" i="15"/>
  <c r="AM307" i="15"/>
  <c r="AM308" i="15"/>
  <c r="AM309" i="15"/>
  <c r="AM310" i="15"/>
  <c r="AM311" i="15"/>
  <c r="AM312" i="15"/>
  <c r="AM313" i="15"/>
  <c r="AM314" i="15"/>
  <c r="AM315" i="15"/>
  <c r="AM316" i="15"/>
  <c r="AM317" i="15"/>
  <c r="AM318" i="15"/>
  <c r="AM319" i="15"/>
  <c r="AM320" i="15"/>
  <c r="AM321" i="15"/>
  <c r="AM322" i="15"/>
  <c r="AM323" i="15"/>
  <c r="AM324" i="15"/>
  <c r="AM325" i="15"/>
  <c r="AM326" i="15"/>
  <c r="AM327" i="15"/>
  <c r="AM328" i="15"/>
  <c r="AM329" i="15"/>
  <c r="AM330" i="15"/>
  <c r="AM331" i="15"/>
  <c r="AM332" i="15"/>
  <c r="AM333" i="15"/>
  <c r="AM334" i="15"/>
  <c r="AN150" i="15"/>
  <c r="AN151" i="15"/>
  <c r="AN152" i="15"/>
  <c r="AN153" i="15"/>
  <c r="AN154" i="15"/>
  <c r="AN155" i="15"/>
  <c r="AN156" i="15"/>
  <c r="AN157" i="15"/>
  <c r="AN158" i="15"/>
  <c r="AN159" i="15"/>
  <c r="AN160" i="15"/>
  <c r="AN161" i="15"/>
  <c r="AN162" i="15"/>
  <c r="AN163" i="15"/>
  <c r="AN164" i="15"/>
  <c r="AN165" i="15"/>
  <c r="AN166" i="15"/>
  <c r="AN167" i="15"/>
  <c r="AN168" i="15"/>
  <c r="AN169" i="15"/>
  <c r="AN170" i="15"/>
  <c r="AN171" i="15"/>
  <c r="AN172" i="15"/>
  <c r="AN173" i="15"/>
  <c r="AN174" i="15"/>
  <c r="AN175" i="15"/>
  <c r="AN176" i="15"/>
  <c r="AN177" i="15"/>
  <c r="AN178" i="15"/>
  <c r="AN179" i="15"/>
  <c r="AN180" i="15"/>
  <c r="AN181" i="15"/>
  <c r="AN182" i="15"/>
  <c r="AN183" i="15"/>
  <c r="AN184" i="15"/>
  <c r="AN185" i="15"/>
  <c r="AN186" i="15"/>
  <c r="AN187" i="15"/>
  <c r="AN188" i="15"/>
  <c r="AN189" i="15"/>
  <c r="AN190" i="15"/>
  <c r="AN191" i="15"/>
  <c r="AN192" i="15"/>
  <c r="AN193" i="15"/>
  <c r="AN194" i="15"/>
  <c r="AN195" i="15"/>
  <c r="AN196" i="15"/>
  <c r="AN197" i="15"/>
  <c r="AN198" i="15"/>
  <c r="AN199" i="15"/>
  <c r="AN200" i="15"/>
  <c r="AN201" i="15"/>
  <c r="AN202" i="15"/>
  <c r="AN203" i="15"/>
  <c r="AN204" i="15"/>
  <c r="AN205" i="15"/>
  <c r="AN206" i="15"/>
  <c r="AN207" i="15"/>
  <c r="AN208" i="15"/>
  <c r="AN209" i="15"/>
  <c r="AN210" i="15"/>
  <c r="AN211" i="15"/>
  <c r="AN212" i="15"/>
  <c r="AN213" i="15"/>
  <c r="AN214" i="15"/>
  <c r="AN215" i="15"/>
  <c r="AN216" i="15"/>
  <c r="AN217" i="15"/>
  <c r="AN218" i="15"/>
  <c r="AN219" i="15"/>
  <c r="AN220" i="15"/>
  <c r="AN221" i="15"/>
  <c r="AN222" i="15"/>
  <c r="AN223" i="15"/>
  <c r="AN224" i="15"/>
  <c r="AN225" i="15"/>
  <c r="AN226" i="15"/>
  <c r="AN227" i="15"/>
  <c r="AN228" i="15"/>
  <c r="AN229" i="15"/>
  <c r="AN230" i="15"/>
  <c r="AN231" i="15"/>
  <c r="AN232" i="15"/>
  <c r="AN233" i="15"/>
  <c r="AN234" i="15"/>
  <c r="AN235" i="15"/>
  <c r="AN236" i="15"/>
  <c r="AN237" i="15"/>
  <c r="AN238" i="15"/>
  <c r="AN239" i="15"/>
  <c r="AN240" i="15"/>
  <c r="AN241" i="15"/>
  <c r="AN242" i="15"/>
  <c r="AN243" i="15"/>
  <c r="AN244" i="15"/>
  <c r="AN245" i="15"/>
  <c r="AN246" i="15"/>
  <c r="AN247" i="15"/>
  <c r="AN248" i="15"/>
  <c r="AN249" i="15"/>
  <c r="AN250" i="15"/>
  <c r="AN251" i="15"/>
  <c r="AN252" i="15"/>
  <c r="AN253" i="15"/>
  <c r="AN254" i="15"/>
  <c r="AN255" i="15"/>
  <c r="AN256" i="15"/>
  <c r="AN257" i="15"/>
  <c r="AN258" i="15"/>
  <c r="AN259" i="15"/>
  <c r="AN260" i="15"/>
  <c r="AN261" i="15"/>
  <c r="AN262" i="15"/>
  <c r="AN263" i="15"/>
  <c r="AN264" i="15"/>
  <c r="AN265" i="15"/>
  <c r="AN266" i="15"/>
  <c r="AN267" i="15"/>
  <c r="AN268" i="15"/>
  <c r="AN269" i="15"/>
  <c r="AN270" i="15"/>
  <c r="AN271" i="15"/>
  <c r="AN272" i="15"/>
  <c r="AN273" i="15"/>
  <c r="AN274" i="15"/>
  <c r="AN275" i="15"/>
  <c r="AN276" i="15"/>
  <c r="AN277" i="15"/>
  <c r="AN278" i="15"/>
  <c r="AN279" i="15"/>
  <c r="AN280" i="15"/>
  <c r="AN281" i="15"/>
  <c r="AN282" i="15"/>
  <c r="AN283" i="15"/>
  <c r="AN284" i="15"/>
  <c r="AN285" i="15"/>
  <c r="AN286" i="15"/>
  <c r="AN287" i="15"/>
  <c r="AN288" i="15"/>
  <c r="AN289" i="15"/>
  <c r="AN290" i="15"/>
  <c r="AN291" i="15"/>
  <c r="AN292" i="15"/>
  <c r="AN293" i="15"/>
  <c r="AN294" i="15"/>
  <c r="AN295" i="15"/>
  <c r="AN296" i="15"/>
  <c r="AN297" i="15"/>
  <c r="AN298" i="15"/>
  <c r="AN299" i="15"/>
  <c r="AN300" i="15"/>
  <c r="AN301" i="15"/>
  <c r="AN302" i="15"/>
  <c r="AN303" i="15"/>
  <c r="AN304" i="15"/>
  <c r="AN305" i="15"/>
  <c r="AN306" i="15"/>
  <c r="AN307" i="15"/>
  <c r="AN308" i="15"/>
  <c r="AN309" i="15"/>
  <c r="AN310" i="15"/>
  <c r="AN311" i="15"/>
  <c r="AN312" i="15"/>
  <c r="AN313" i="15"/>
  <c r="AN314" i="15"/>
  <c r="AN315" i="15"/>
  <c r="AN316" i="15"/>
  <c r="AN317" i="15"/>
  <c r="AN318" i="15"/>
  <c r="AN319" i="15"/>
  <c r="AN320" i="15"/>
  <c r="AN321" i="15"/>
  <c r="AN322" i="15"/>
  <c r="AN323" i="15"/>
  <c r="AN324" i="15"/>
  <c r="AN325" i="15"/>
  <c r="AN326" i="15"/>
  <c r="AN327" i="15"/>
  <c r="AN328" i="15"/>
  <c r="AN329" i="15"/>
  <c r="AN330" i="15"/>
  <c r="AN331" i="15"/>
  <c r="AN332" i="15"/>
  <c r="AN333" i="15"/>
  <c r="AN334" i="15"/>
  <c r="AO150" i="15"/>
  <c r="AO151" i="15"/>
  <c r="AO152" i="15"/>
  <c r="AO153" i="15"/>
  <c r="AO154" i="15"/>
  <c r="AO155" i="15"/>
  <c r="AO156" i="15"/>
  <c r="AO157" i="15"/>
  <c r="AO158" i="15"/>
  <c r="AO159" i="15"/>
  <c r="AO160" i="15"/>
  <c r="AO161" i="15"/>
  <c r="AO162" i="15"/>
  <c r="AO163" i="15"/>
  <c r="AO164" i="15"/>
  <c r="AO165" i="15"/>
  <c r="AO166" i="15"/>
  <c r="AO167" i="15"/>
  <c r="AO168" i="15"/>
  <c r="AO169" i="15"/>
  <c r="AO170" i="15"/>
  <c r="AO171" i="15"/>
  <c r="AO172" i="15"/>
  <c r="AO173" i="15"/>
  <c r="AO174" i="15"/>
  <c r="AO175" i="15"/>
  <c r="AO176" i="15"/>
  <c r="AO177" i="15"/>
  <c r="AO178" i="15"/>
  <c r="AO179" i="15"/>
  <c r="AO180" i="15"/>
  <c r="AO181" i="15"/>
  <c r="AO182" i="15"/>
  <c r="AO183" i="15"/>
  <c r="AO184" i="15"/>
  <c r="AO185" i="15"/>
  <c r="AO186" i="15"/>
  <c r="AO187" i="15"/>
  <c r="AO188" i="15"/>
  <c r="AO189" i="15"/>
  <c r="AO190" i="15"/>
  <c r="AO191" i="15"/>
  <c r="AO192" i="15"/>
  <c r="AO193" i="15"/>
  <c r="AO194" i="15"/>
  <c r="AO195" i="15"/>
  <c r="AO196" i="15"/>
  <c r="AO197" i="15"/>
  <c r="AO198" i="15"/>
  <c r="AO199" i="15"/>
  <c r="AO200" i="15"/>
  <c r="AO201" i="15"/>
  <c r="AO202" i="15"/>
  <c r="AO203" i="15"/>
  <c r="AO204" i="15"/>
  <c r="AO205" i="15"/>
  <c r="AO206" i="15"/>
  <c r="AO207" i="15"/>
  <c r="AO208" i="15"/>
  <c r="AO209" i="15"/>
  <c r="AO210" i="15"/>
  <c r="AO211" i="15"/>
  <c r="AO212" i="15"/>
  <c r="AO213" i="15"/>
  <c r="AO214" i="15"/>
  <c r="AO215" i="15"/>
  <c r="AO216" i="15"/>
  <c r="AO217" i="15"/>
  <c r="AO218" i="15"/>
  <c r="AO219" i="15"/>
  <c r="AO220" i="15"/>
  <c r="AO221" i="15"/>
  <c r="AO222" i="15"/>
  <c r="AO223" i="15"/>
  <c r="AO224" i="15"/>
  <c r="AO225" i="15"/>
  <c r="AO226" i="15"/>
  <c r="AO227" i="15"/>
  <c r="AO228" i="15"/>
  <c r="AO229" i="15"/>
  <c r="AO230" i="15"/>
  <c r="AO231" i="15"/>
  <c r="AO232" i="15"/>
  <c r="AO233" i="15"/>
  <c r="AO234" i="15"/>
  <c r="AO235" i="15"/>
  <c r="AO236" i="15"/>
  <c r="AO237" i="15"/>
  <c r="AO238" i="15"/>
  <c r="AO239" i="15"/>
  <c r="AO240" i="15"/>
  <c r="AO241" i="15"/>
  <c r="AO242" i="15"/>
  <c r="AO243" i="15"/>
  <c r="AO244" i="15"/>
  <c r="AO245" i="15"/>
  <c r="AO246" i="15"/>
  <c r="AO247" i="15"/>
  <c r="AO248" i="15"/>
  <c r="AO249" i="15"/>
  <c r="AO250" i="15"/>
  <c r="AO251" i="15"/>
  <c r="AO252" i="15"/>
  <c r="AO253" i="15"/>
  <c r="AO254" i="15"/>
  <c r="AO255" i="15"/>
  <c r="AO256" i="15"/>
  <c r="AO257" i="15"/>
  <c r="AO258" i="15"/>
  <c r="AO259" i="15"/>
  <c r="AO260" i="15"/>
  <c r="AO261" i="15"/>
  <c r="AO262" i="15"/>
  <c r="AO263" i="15"/>
  <c r="AO264" i="15"/>
  <c r="AO265" i="15"/>
  <c r="AO266" i="15"/>
  <c r="AO267" i="15"/>
  <c r="AO268" i="15"/>
  <c r="AO269" i="15"/>
  <c r="AO270" i="15"/>
  <c r="AO271" i="15"/>
  <c r="AO272" i="15"/>
  <c r="AO273" i="15"/>
  <c r="AO274" i="15"/>
  <c r="AO275" i="15"/>
  <c r="AO276" i="15"/>
  <c r="AO277" i="15"/>
  <c r="AO278" i="15"/>
  <c r="AO279" i="15"/>
  <c r="AO280" i="15"/>
  <c r="AO281" i="15"/>
  <c r="AO282" i="15"/>
  <c r="AO283" i="15"/>
  <c r="AO284" i="15"/>
  <c r="AO285" i="15"/>
  <c r="AO286" i="15"/>
  <c r="AO287" i="15"/>
  <c r="AO288" i="15"/>
  <c r="AO289" i="15"/>
  <c r="AO290" i="15"/>
  <c r="AO291" i="15"/>
  <c r="AO292" i="15"/>
  <c r="AO293" i="15"/>
  <c r="AO294" i="15"/>
  <c r="AO295" i="15"/>
  <c r="AO296" i="15"/>
  <c r="AO297" i="15"/>
  <c r="AO298" i="15"/>
  <c r="AO299" i="15"/>
  <c r="AO300" i="15"/>
  <c r="AO301" i="15"/>
  <c r="AO302" i="15"/>
  <c r="AO303" i="15"/>
  <c r="AO304" i="15"/>
  <c r="AO305" i="15"/>
  <c r="AO306" i="15"/>
  <c r="AO307" i="15"/>
  <c r="AO308" i="15"/>
  <c r="AO309" i="15"/>
  <c r="AO310" i="15"/>
  <c r="AO311" i="15"/>
  <c r="AO312" i="15"/>
  <c r="AO313" i="15"/>
  <c r="AO314" i="15"/>
  <c r="AO315" i="15"/>
  <c r="AO316" i="15"/>
  <c r="AO317" i="15"/>
  <c r="AO318" i="15"/>
  <c r="AO319" i="15"/>
  <c r="AO320" i="15"/>
  <c r="AO321" i="15"/>
  <c r="AO322" i="15"/>
  <c r="AO323" i="15"/>
  <c r="AO324" i="15"/>
  <c r="AO325" i="15"/>
  <c r="AO326" i="15"/>
  <c r="AO327" i="15"/>
  <c r="AO328" i="15"/>
  <c r="AO329" i="15"/>
  <c r="AO330" i="15"/>
  <c r="AO331" i="15"/>
  <c r="AO332" i="15"/>
  <c r="AO333" i="15"/>
  <c r="AO334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304" i="15"/>
  <c r="O305" i="15"/>
  <c r="O306" i="15"/>
  <c r="O307" i="15"/>
  <c r="O308" i="15"/>
  <c r="O309" i="15"/>
  <c r="O310" i="15"/>
  <c r="O311" i="15"/>
  <c r="O312" i="15"/>
  <c r="O313" i="15"/>
  <c r="O314" i="15"/>
  <c r="O315" i="15"/>
  <c r="O316" i="15"/>
  <c r="O317" i="15"/>
  <c r="O318" i="15"/>
  <c r="O319" i="15"/>
  <c r="O320" i="15"/>
  <c r="O321" i="15"/>
  <c r="O322" i="15"/>
  <c r="O323" i="15"/>
  <c r="O324" i="15"/>
  <c r="O325" i="15"/>
  <c r="O326" i="15"/>
  <c r="O327" i="15"/>
  <c r="O328" i="15"/>
  <c r="O329" i="15"/>
  <c r="O330" i="15"/>
  <c r="O331" i="15"/>
  <c r="O332" i="15"/>
  <c r="O333" i="15"/>
  <c r="O334" i="15"/>
  <c r="P150" i="15"/>
  <c r="P151" i="15"/>
  <c r="P152" i="15"/>
  <c r="P153" i="15"/>
  <c r="P154" i="15"/>
  <c r="P155" i="15"/>
  <c r="P156" i="15"/>
  <c r="P157" i="15"/>
  <c r="P158" i="15"/>
  <c r="P159" i="15"/>
  <c r="P160" i="15"/>
  <c r="P161" i="15"/>
  <c r="P162" i="15"/>
  <c r="P163" i="15"/>
  <c r="P164" i="15"/>
  <c r="P165" i="15"/>
  <c r="P166" i="15"/>
  <c r="P167" i="15"/>
  <c r="P168" i="15"/>
  <c r="P169" i="15"/>
  <c r="P170" i="15"/>
  <c r="P171" i="15"/>
  <c r="P172" i="15"/>
  <c r="P173" i="15"/>
  <c r="P174" i="15"/>
  <c r="P175" i="15"/>
  <c r="P176" i="15"/>
  <c r="P177" i="15"/>
  <c r="P178" i="15"/>
  <c r="P179" i="15"/>
  <c r="P180" i="15"/>
  <c r="P181" i="15"/>
  <c r="P182" i="15"/>
  <c r="P183" i="15"/>
  <c r="P184" i="15"/>
  <c r="P185" i="15"/>
  <c r="P186" i="15"/>
  <c r="P187" i="15"/>
  <c r="P188" i="15"/>
  <c r="P189" i="15"/>
  <c r="P190" i="15"/>
  <c r="P191" i="15"/>
  <c r="P192" i="15"/>
  <c r="P193" i="15"/>
  <c r="P194" i="15"/>
  <c r="P195" i="15"/>
  <c r="P196" i="15"/>
  <c r="P197" i="15"/>
  <c r="P198" i="15"/>
  <c r="P199" i="15"/>
  <c r="P200" i="15"/>
  <c r="P201" i="15"/>
  <c r="P202" i="15"/>
  <c r="P203" i="15"/>
  <c r="P204" i="15"/>
  <c r="P205" i="15"/>
  <c r="P206" i="15"/>
  <c r="P207" i="15"/>
  <c r="P208" i="15"/>
  <c r="P209" i="15"/>
  <c r="P210" i="15"/>
  <c r="P211" i="15"/>
  <c r="P212" i="15"/>
  <c r="P213" i="15"/>
  <c r="P214" i="15"/>
  <c r="P215" i="15"/>
  <c r="P216" i="15"/>
  <c r="P217" i="15"/>
  <c r="P218" i="15"/>
  <c r="P219" i="15"/>
  <c r="P220" i="15"/>
  <c r="P221" i="15"/>
  <c r="P222" i="15"/>
  <c r="P223" i="15"/>
  <c r="P224" i="15"/>
  <c r="P225" i="15"/>
  <c r="P226" i="15"/>
  <c r="P227" i="15"/>
  <c r="P228" i="15"/>
  <c r="P229" i="15"/>
  <c r="P230" i="15"/>
  <c r="P231" i="15"/>
  <c r="P232" i="15"/>
  <c r="P233" i="15"/>
  <c r="P234" i="15"/>
  <c r="P235" i="15"/>
  <c r="P236" i="15"/>
  <c r="P237" i="15"/>
  <c r="P238" i="15"/>
  <c r="P239" i="15"/>
  <c r="P240" i="15"/>
  <c r="P241" i="15"/>
  <c r="P242" i="15"/>
  <c r="P243" i="15"/>
  <c r="P244" i="15"/>
  <c r="P245" i="15"/>
  <c r="P246" i="15"/>
  <c r="P247" i="15"/>
  <c r="P248" i="15"/>
  <c r="P249" i="15"/>
  <c r="P250" i="15"/>
  <c r="P251" i="15"/>
  <c r="P252" i="15"/>
  <c r="P253" i="15"/>
  <c r="P254" i="15"/>
  <c r="P255" i="15"/>
  <c r="P256" i="15"/>
  <c r="P257" i="15"/>
  <c r="P258" i="15"/>
  <c r="P259" i="15"/>
  <c r="P260" i="15"/>
  <c r="P261" i="15"/>
  <c r="P262" i="15"/>
  <c r="P263" i="15"/>
  <c r="P264" i="15"/>
  <c r="P265" i="15"/>
  <c r="P266" i="15"/>
  <c r="P267" i="15"/>
  <c r="P268" i="15"/>
  <c r="P269" i="15"/>
  <c r="P270" i="15"/>
  <c r="P271" i="15"/>
  <c r="P272" i="15"/>
  <c r="P273" i="15"/>
  <c r="P274" i="15"/>
  <c r="P275" i="15"/>
  <c r="P276" i="15"/>
  <c r="P277" i="15"/>
  <c r="P278" i="15"/>
  <c r="P279" i="15"/>
  <c r="P280" i="15"/>
  <c r="P281" i="15"/>
  <c r="P282" i="15"/>
  <c r="P283" i="15"/>
  <c r="P284" i="15"/>
  <c r="P285" i="15"/>
  <c r="P286" i="15"/>
  <c r="P287" i="15"/>
  <c r="P288" i="15"/>
  <c r="P289" i="15"/>
  <c r="P290" i="15"/>
  <c r="P291" i="15"/>
  <c r="P292" i="15"/>
  <c r="P293" i="15"/>
  <c r="P294" i="15"/>
  <c r="P295" i="15"/>
  <c r="P296" i="15"/>
  <c r="P297" i="15"/>
  <c r="P298" i="15"/>
  <c r="P299" i="15"/>
  <c r="P300" i="15"/>
  <c r="P301" i="15"/>
  <c r="P302" i="15"/>
  <c r="P303" i="15"/>
  <c r="P304" i="15"/>
  <c r="P305" i="15"/>
  <c r="P306" i="15"/>
  <c r="P307" i="15"/>
  <c r="P308" i="15"/>
  <c r="P309" i="15"/>
  <c r="P310" i="15"/>
  <c r="P311" i="15"/>
  <c r="P312" i="15"/>
  <c r="P313" i="15"/>
  <c r="P314" i="15"/>
  <c r="P315" i="15"/>
  <c r="P316" i="15"/>
  <c r="P317" i="15"/>
  <c r="P318" i="15"/>
  <c r="P319" i="15"/>
  <c r="P320" i="15"/>
  <c r="P321" i="15"/>
  <c r="P322" i="15"/>
  <c r="P323" i="15"/>
  <c r="P324" i="15"/>
  <c r="P325" i="15"/>
  <c r="P326" i="15"/>
  <c r="P327" i="15"/>
  <c r="P328" i="15"/>
  <c r="P329" i="15"/>
  <c r="P330" i="15"/>
  <c r="P331" i="15"/>
  <c r="P332" i="15"/>
  <c r="P333" i="15"/>
  <c r="P334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E134" i="15"/>
  <c r="D134" i="15"/>
  <c r="C134" i="15"/>
  <c r="E133" i="15"/>
  <c r="D133" i="15"/>
  <c r="C133" i="15"/>
  <c r="E132" i="15"/>
  <c r="D132" i="15"/>
  <c r="C132" i="15"/>
  <c r="E131" i="15"/>
  <c r="D131" i="15"/>
  <c r="C131" i="15"/>
  <c r="E130" i="15"/>
  <c r="D130" i="15"/>
  <c r="C130" i="15"/>
  <c r="E129" i="15"/>
  <c r="D129" i="15"/>
  <c r="C129" i="15"/>
  <c r="E125" i="15"/>
  <c r="D125" i="15"/>
  <c r="C125" i="15"/>
  <c r="E124" i="15"/>
  <c r="D124" i="15"/>
  <c r="C124" i="15"/>
  <c r="E123" i="15"/>
  <c r="D123" i="15"/>
  <c r="C123" i="15"/>
  <c r="E122" i="15"/>
  <c r="D122" i="15"/>
  <c r="C122" i="15"/>
  <c r="E121" i="15"/>
  <c r="D121" i="15"/>
  <c r="C121" i="15"/>
  <c r="E120" i="15"/>
  <c r="D120" i="15"/>
  <c r="C120" i="15"/>
  <c r="E119" i="15"/>
  <c r="D119" i="15"/>
  <c r="C119" i="15"/>
  <c r="E118" i="15"/>
  <c r="D118" i="15"/>
  <c r="C118" i="15"/>
  <c r="E117" i="15"/>
  <c r="D117" i="15"/>
  <c r="C117" i="15"/>
  <c r="E116" i="15"/>
  <c r="D116" i="15"/>
  <c r="C116" i="15"/>
  <c r="E115" i="15"/>
  <c r="D115" i="15"/>
  <c r="C115" i="15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DN334" i="15"/>
  <c r="DK334" i="15"/>
  <c r="CP334" i="15"/>
  <c r="CM334" i="15"/>
  <c r="CD334" i="15"/>
  <c r="CA334" i="15"/>
  <c r="BR334" i="15"/>
  <c r="BO334" i="15"/>
  <c r="BF334" i="15"/>
  <c r="BC334" i="15"/>
  <c r="AT334" i="15"/>
  <c r="AQ334" i="15"/>
  <c r="V334" i="15"/>
  <c r="S334" i="15"/>
  <c r="DN333" i="15"/>
  <c r="DJ333" i="15"/>
  <c r="F333" i="15" s="1"/>
  <c r="CP333" i="15"/>
  <c r="CM333" i="15"/>
  <c r="CD333" i="15"/>
  <c r="CA333" i="15"/>
  <c r="BR333" i="15"/>
  <c r="BO333" i="15"/>
  <c r="BF333" i="15"/>
  <c r="BC333" i="15"/>
  <c r="AT333" i="15"/>
  <c r="AQ333" i="15"/>
  <c r="V333" i="15"/>
  <c r="S333" i="15"/>
  <c r="DZ332" i="15"/>
  <c r="DW332" i="15"/>
  <c r="DM332" i="15"/>
  <c r="I332" i="15" s="1"/>
  <c r="DL332" i="15"/>
  <c r="H332" i="15" s="1"/>
  <c r="DJ332" i="15"/>
  <c r="F332" i="15" s="1"/>
  <c r="CP332" i="15"/>
  <c r="CM332" i="15"/>
  <c r="CD332" i="15"/>
  <c r="CA332" i="15"/>
  <c r="BR332" i="15"/>
  <c r="BO332" i="15"/>
  <c r="BF332" i="15"/>
  <c r="BC332" i="15"/>
  <c r="AT332" i="15"/>
  <c r="AQ332" i="15"/>
  <c r="V332" i="15"/>
  <c r="S332" i="15"/>
  <c r="DZ331" i="15"/>
  <c r="DW331" i="15"/>
  <c r="DM331" i="15"/>
  <c r="I331" i="15" s="1"/>
  <c r="DL331" i="15"/>
  <c r="H331" i="15" s="1"/>
  <c r="DJ331" i="15"/>
  <c r="F331" i="15" s="1"/>
  <c r="CP331" i="15"/>
  <c r="CM331" i="15"/>
  <c r="CD331" i="15"/>
  <c r="CA331" i="15"/>
  <c r="BR331" i="15"/>
  <c r="BO331" i="15"/>
  <c r="BF331" i="15"/>
  <c r="BC331" i="15"/>
  <c r="AT331" i="15"/>
  <c r="AQ331" i="15"/>
  <c r="V331" i="15"/>
  <c r="S331" i="15"/>
  <c r="DZ330" i="15"/>
  <c r="DW330" i="15"/>
  <c r="DM330" i="15"/>
  <c r="I330" i="15" s="1"/>
  <c r="DL330" i="15"/>
  <c r="H330" i="15" s="1"/>
  <c r="DJ330" i="15"/>
  <c r="F330" i="15" s="1"/>
  <c r="CP330" i="15"/>
  <c r="CM330" i="15"/>
  <c r="CD330" i="15"/>
  <c r="CA330" i="15"/>
  <c r="BR330" i="15"/>
  <c r="BO330" i="15"/>
  <c r="BF330" i="15"/>
  <c r="BC330" i="15"/>
  <c r="AT330" i="15"/>
  <c r="AQ330" i="15"/>
  <c r="V330" i="15"/>
  <c r="S330" i="1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J334" i="1"/>
  <c r="G334" i="1"/>
  <c r="J333" i="1"/>
  <c r="G333" i="1"/>
  <c r="J332" i="1"/>
  <c r="G332" i="1"/>
  <c r="J331" i="1"/>
  <c r="G331" i="1"/>
  <c r="J330" i="1"/>
  <c r="G330" i="1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N138" i="17"/>
  <c r="AN139" i="17"/>
  <c r="AN140" i="17"/>
  <c r="AN141" i="17"/>
  <c r="AN142" i="17"/>
  <c r="AN143" i="17"/>
  <c r="AN144" i="17"/>
  <c r="AN145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59" i="17"/>
  <c r="AN160" i="17"/>
  <c r="AN161" i="17"/>
  <c r="AN162" i="17"/>
  <c r="AN163" i="17"/>
  <c r="AN164" i="17"/>
  <c r="AN165" i="17"/>
  <c r="AN166" i="17"/>
  <c r="AN167" i="17"/>
  <c r="AN168" i="17"/>
  <c r="AN169" i="17"/>
  <c r="AN170" i="17"/>
  <c r="AN171" i="17"/>
  <c r="AN172" i="17"/>
  <c r="AN173" i="17"/>
  <c r="AN174" i="17"/>
  <c r="AN175" i="17"/>
  <c r="AN176" i="17"/>
  <c r="AN177" i="17"/>
  <c r="AN178" i="17"/>
  <c r="AN179" i="17"/>
  <c r="AN180" i="17"/>
  <c r="AN181" i="17"/>
  <c r="AN182" i="17"/>
  <c r="AN183" i="17"/>
  <c r="AN184" i="17"/>
  <c r="AN185" i="17"/>
  <c r="AN186" i="17"/>
  <c r="AN187" i="17"/>
  <c r="AN188" i="17"/>
  <c r="AN189" i="17"/>
  <c r="AN190" i="17"/>
  <c r="AN191" i="17"/>
  <c r="AN192" i="17"/>
  <c r="AN193" i="17"/>
  <c r="AN194" i="17"/>
  <c r="AN195" i="17"/>
  <c r="AN196" i="17"/>
  <c r="AN197" i="17"/>
  <c r="AN198" i="17"/>
  <c r="AN199" i="17"/>
  <c r="AN200" i="17"/>
  <c r="AN201" i="17"/>
  <c r="AN202" i="17"/>
  <c r="AN203" i="17"/>
  <c r="AN204" i="17"/>
  <c r="AN205" i="17"/>
  <c r="AN206" i="17"/>
  <c r="AN207" i="17"/>
  <c r="AN208" i="17"/>
  <c r="AN209" i="17"/>
  <c r="AN210" i="17"/>
  <c r="AN211" i="17"/>
  <c r="AN212" i="17"/>
  <c r="AN213" i="17"/>
  <c r="AN214" i="17"/>
  <c r="AN215" i="17"/>
  <c r="AN216" i="17"/>
  <c r="AN217" i="17"/>
  <c r="AN218" i="17"/>
  <c r="AN219" i="17"/>
  <c r="AN220" i="17"/>
  <c r="AN221" i="17"/>
  <c r="AN222" i="17"/>
  <c r="AN223" i="17"/>
  <c r="AN224" i="17"/>
  <c r="AN225" i="17"/>
  <c r="AN226" i="17"/>
  <c r="AN227" i="17"/>
  <c r="AN228" i="17"/>
  <c r="AN229" i="17"/>
  <c r="AN230" i="17"/>
  <c r="AN231" i="17"/>
  <c r="AN232" i="17"/>
  <c r="AN233" i="17"/>
  <c r="AN234" i="17"/>
  <c r="AN235" i="17"/>
  <c r="AN236" i="17"/>
  <c r="AN237" i="17"/>
  <c r="AN238" i="17"/>
  <c r="AN239" i="17"/>
  <c r="AN240" i="17"/>
  <c r="AN241" i="17"/>
  <c r="AN242" i="17"/>
  <c r="AN243" i="17"/>
  <c r="AN244" i="17"/>
  <c r="AN245" i="17"/>
  <c r="AN246" i="17"/>
  <c r="AN247" i="17"/>
  <c r="AN248" i="17"/>
  <c r="AN249" i="17"/>
  <c r="AN250" i="17"/>
  <c r="AN251" i="17"/>
  <c r="AN252" i="17"/>
  <c r="AN253" i="17"/>
  <c r="AN254" i="17"/>
  <c r="AN255" i="17"/>
  <c r="AN256" i="17"/>
  <c r="AN257" i="17"/>
  <c r="AN258" i="17"/>
  <c r="AN259" i="17"/>
  <c r="AN260" i="17"/>
  <c r="AN261" i="17"/>
  <c r="AN262" i="17"/>
  <c r="AN263" i="17"/>
  <c r="AN264" i="17"/>
  <c r="AN265" i="17"/>
  <c r="AN266" i="17"/>
  <c r="AN267" i="17"/>
  <c r="AN268" i="17"/>
  <c r="AN269" i="17"/>
  <c r="AN270" i="17"/>
  <c r="AN271" i="17"/>
  <c r="AN272" i="17"/>
  <c r="AN273" i="17"/>
  <c r="AN274" i="17"/>
  <c r="AN275" i="17"/>
  <c r="AN276" i="17"/>
  <c r="AN277" i="17"/>
  <c r="AN278" i="17"/>
  <c r="AN279" i="17"/>
  <c r="AN280" i="17"/>
  <c r="AN281" i="17"/>
  <c r="AN282" i="17"/>
  <c r="AN283" i="17"/>
  <c r="AN284" i="17"/>
  <c r="AN285" i="17"/>
  <c r="AN286" i="17"/>
  <c r="AN287" i="17"/>
  <c r="AN288" i="17"/>
  <c r="AN289" i="17"/>
  <c r="AN290" i="17"/>
  <c r="AN291" i="17"/>
  <c r="AN292" i="17"/>
  <c r="AN293" i="17"/>
  <c r="AN294" i="17"/>
  <c r="AN295" i="17"/>
  <c r="AN296" i="17"/>
  <c r="AN297" i="17"/>
  <c r="AN298" i="17"/>
  <c r="AN299" i="17"/>
  <c r="AN300" i="17"/>
  <c r="AN301" i="17"/>
  <c r="AN302" i="17"/>
  <c r="AN303" i="17"/>
  <c r="AN304" i="17"/>
  <c r="AN305" i="17"/>
  <c r="AN306" i="17"/>
  <c r="AN307" i="17"/>
  <c r="AN308" i="17"/>
  <c r="AN309" i="17"/>
  <c r="AN310" i="17"/>
  <c r="AN311" i="17"/>
  <c r="AN312" i="17"/>
  <c r="AN313" i="17"/>
  <c r="AN314" i="17"/>
  <c r="AN315" i="17"/>
  <c r="AN316" i="17"/>
  <c r="AN317" i="17"/>
  <c r="AN318" i="17"/>
  <c r="AN319" i="17"/>
  <c r="AN320" i="17"/>
  <c r="AN321" i="17"/>
  <c r="AN322" i="17"/>
  <c r="AN323" i="17"/>
  <c r="AN324" i="17"/>
  <c r="AN325" i="17"/>
  <c r="AN326" i="17"/>
  <c r="AN327" i="17"/>
  <c r="AN328" i="17"/>
  <c r="AN329" i="17"/>
  <c r="AN330" i="17"/>
  <c r="AN331" i="17"/>
  <c r="AN332" i="17"/>
  <c r="AN333" i="17"/>
  <c r="AN334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O152" i="17"/>
  <c r="AO153" i="17"/>
  <c r="AO154" i="17"/>
  <c r="AO155" i="17"/>
  <c r="AO156" i="17"/>
  <c r="AO157" i="17"/>
  <c r="AO158" i="17"/>
  <c r="AO159" i="17"/>
  <c r="AO160" i="17"/>
  <c r="AO161" i="17"/>
  <c r="AO162" i="17"/>
  <c r="AO163" i="17"/>
  <c r="AO164" i="17"/>
  <c r="AO165" i="17"/>
  <c r="AO166" i="17"/>
  <c r="AO167" i="17"/>
  <c r="AO168" i="17"/>
  <c r="AO169" i="17"/>
  <c r="AO170" i="17"/>
  <c r="AO171" i="17"/>
  <c r="AO172" i="17"/>
  <c r="AO173" i="17"/>
  <c r="AO174" i="17"/>
  <c r="AO175" i="17"/>
  <c r="AO176" i="17"/>
  <c r="AO177" i="17"/>
  <c r="AO178" i="17"/>
  <c r="AO179" i="17"/>
  <c r="AO180" i="17"/>
  <c r="AO181" i="17"/>
  <c r="AO182" i="17"/>
  <c r="AO183" i="17"/>
  <c r="AO184" i="17"/>
  <c r="AO185" i="17"/>
  <c r="AO186" i="17"/>
  <c r="AO187" i="17"/>
  <c r="AO188" i="17"/>
  <c r="AO189" i="17"/>
  <c r="AO190" i="17"/>
  <c r="AO191" i="17"/>
  <c r="AO192" i="17"/>
  <c r="AO193" i="17"/>
  <c r="AO194" i="17"/>
  <c r="AO195" i="17"/>
  <c r="AO196" i="17"/>
  <c r="AO197" i="17"/>
  <c r="AO198" i="17"/>
  <c r="AO199" i="17"/>
  <c r="AO200" i="17"/>
  <c r="AO201" i="17"/>
  <c r="AO202" i="17"/>
  <c r="AO203" i="17"/>
  <c r="AO204" i="17"/>
  <c r="AO205" i="17"/>
  <c r="AO206" i="17"/>
  <c r="AO207" i="17"/>
  <c r="AO208" i="17"/>
  <c r="AO209" i="17"/>
  <c r="AO210" i="17"/>
  <c r="AO211" i="17"/>
  <c r="AO212" i="17"/>
  <c r="AO213" i="17"/>
  <c r="AO214" i="17"/>
  <c r="AO215" i="17"/>
  <c r="AO216" i="17"/>
  <c r="AO217" i="17"/>
  <c r="AO218" i="17"/>
  <c r="AO219" i="17"/>
  <c r="AO220" i="17"/>
  <c r="AO221" i="17"/>
  <c r="AO222" i="17"/>
  <c r="AO223" i="17"/>
  <c r="AO224" i="17"/>
  <c r="AO225" i="17"/>
  <c r="AO226" i="17"/>
  <c r="AO227" i="17"/>
  <c r="AO228" i="17"/>
  <c r="AO229" i="17"/>
  <c r="AO230" i="17"/>
  <c r="AO231" i="17"/>
  <c r="AO232" i="17"/>
  <c r="AO233" i="17"/>
  <c r="AO234" i="17"/>
  <c r="AO235" i="17"/>
  <c r="AO236" i="17"/>
  <c r="AO237" i="17"/>
  <c r="AO238" i="17"/>
  <c r="AO239" i="17"/>
  <c r="AO240" i="17"/>
  <c r="AO241" i="17"/>
  <c r="AO242" i="17"/>
  <c r="AO243" i="17"/>
  <c r="AO244" i="17"/>
  <c r="AO245" i="17"/>
  <c r="AO246" i="17"/>
  <c r="AO247" i="17"/>
  <c r="AO248" i="17"/>
  <c r="AO249" i="17"/>
  <c r="AO250" i="17"/>
  <c r="AO251" i="17"/>
  <c r="AO252" i="17"/>
  <c r="AO253" i="17"/>
  <c r="AO254" i="17"/>
  <c r="AO255" i="17"/>
  <c r="AO256" i="17"/>
  <c r="AO257" i="17"/>
  <c r="AO258" i="17"/>
  <c r="AO259" i="17"/>
  <c r="AO260" i="17"/>
  <c r="AO261" i="17"/>
  <c r="AO262" i="17"/>
  <c r="AO263" i="17"/>
  <c r="AO264" i="17"/>
  <c r="AO265" i="17"/>
  <c r="AO266" i="17"/>
  <c r="AO267" i="17"/>
  <c r="AO268" i="17"/>
  <c r="AO269" i="17"/>
  <c r="AO270" i="17"/>
  <c r="AO271" i="17"/>
  <c r="AO272" i="17"/>
  <c r="AO273" i="17"/>
  <c r="AO274" i="17"/>
  <c r="AO275" i="17"/>
  <c r="AO276" i="17"/>
  <c r="AO277" i="17"/>
  <c r="AO278" i="17"/>
  <c r="AO279" i="17"/>
  <c r="AO280" i="17"/>
  <c r="AO281" i="17"/>
  <c r="AO282" i="17"/>
  <c r="AO283" i="17"/>
  <c r="AO284" i="17"/>
  <c r="AO285" i="17"/>
  <c r="AO286" i="17"/>
  <c r="AO287" i="17"/>
  <c r="AO288" i="17"/>
  <c r="AO289" i="17"/>
  <c r="AO290" i="17"/>
  <c r="AO291" i="17"/>
  <c r="AO292" i="17"/>
  <c r="AO293" i="17"/>
  <c r="AO294" i="17"/>
  <c r="AO295" i="17"/>
  <c r="AO296" i="17"/>
  <c r="AO297" i="17"/>
  <c r="AO298" i="17"/>
  <c r="AO299" i="17"/>
  <c r="AO300" i="17"/>
  <c r="AO301" i="17"/>
  <c r="AO302" i="17"/>
  <c r="AO303" i="17"/>
  <c r="AO304" i="17"/>
  <c r="AO305" i="17"/>
  <c r="AO306" i="17"/>
  <c r="AO307" i="17"/>
  <c r="AO308" i="17"/>
  <c r="AO309" i="17"/>
  <c r="AO310" i="17"/>
  <c r="AO311" i="17"/>
  <c r="AO312" i="17"/>
  <c r="AO313" i="17"/>
  <c r="AO314" i="17"/>
  <c r="AO315" i="17"/>
  <c r="AO316" i="17"/>
  <c r="AO317" i="17"/>
  <c r="AO318" i="17"/>
  <c r="AO319" i="17"/>
  <c r="AO320" i="17"/>
  <c r="AO321" i="17"/>
  <c r="AO322" i="17"/>
  <c r="AO323" i="17"/>
  <c r="AO324" i="17"/>
  <c r="AO325" i="17"/>
  <c r="AO326" i="17"/>
  <c r="AO327" i="17"/>
  <c r="AO328" i="17"/>
  <c r="AO329" i="17"/>
  <c r="AO330" i="17"/>
  <c r="AO331" i="17"/>
  <c r="AO332" i="17"/>
  <c r="AO333" i="17"/>
  <c r="AO334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B138" i="17"/>
  <c r="AB139" i="17"/>
  <c r="AB140" i="17"/>
  <c r="AB141" i="17"/>
  <c r="AB142" i="17"/>
  <c r="AB143" i="17"/>
  <c r="AB144" i="17"/>
  <c r="AB145" i="17"/>
  <c r="AB146" i="17"/>
  <c r="AB147" i="17"/>
  <c r="AB148" i="17"/>
  <c r="AB149" i="17"/>
  <c r="AB150" i="17"/>
  <c r="AB151" i="17"/>
  <c r="AB152" i="17"/>
  <c r="AB153" i="17"/>
  <c r="AB154" i="17"/>
  <c r="AB155" i="17"/>
  <c r="AB156" i="17"/>
  <c r="AB157" i="17"/>
  <c r="AB158" i="17"/>
  <c r="AB159" i="17"/>
  <c r="AB160" i="17"/>
  <c r="AB161" i="17"/>
  <c r="AB162" i="17"/>
  <c r="AB163" i="17"/>
  <c r="AB164" i="17"/>
  <c r="AB165" i="17"/>
  <c r="AB166" i="17"/>
  <c r="AB167" i="17"/>
  <c r="AB168" i="17"/>
  <c r="AB169" i="17"/>
  <c r="AB170" i="17"/>
  <c r="AB171" i="17"/>
  <c r="AB172" i="17"/>
  <c r="AB173" i="17"/>
  <c r="AB174" i="17"/>
  <c r="AB175" i="17"/>
  <c r="AB176" i="17"/>
  <c r="AB177" i="17"/>
  <c r="AB178" i="17"/>
  <c r="AB179" i="17"/>
  <c r="AB180" i="17"/>
  <c r="AB181" i="17"/>
  <c r="AB182" i="17"/>
  <c r="AB183" i="17"/>
  <c r="AB184" i="17"/>
  <c r="AB185" i="17"/>
  <c r="AB186" i="17"/>
  <c r="AB187" i="17"/>
  <c r="AB188" i="17"/>
  <c r="AB189" i="17"/>
  <c r="AB190" i="17"/>
  <c r="AB191" i="17"/>
  <c r="AB192" i="17"/>
  <c r="AB193" i="17"/>
  <c r="AB194" i="17"/>
  <c r="AB195" i="17"/>
  <c r="AB196" i="17"/>
  <c r="AB197" i="17"/>
  <c r="AB198" i="17"/>
  <c r="AB199" i="17"/>
  <c r="AB200" i="17"/>
  <c r="AB201" i="17"/>
  <c r="AB202" i="17"/>
  <c r="AB203" i="17"/>
  <c r="AB204" i="17"/>
  <c r="AB205" i="17"/>
  <c r="AB206" i="17"/>
  <c r="AB207" i="17"/>
  <c r="AB208" i="17"/>
  <c r="AB209" i="17"/>
  <c r="AB210" i="17"/>
  <c r="AB211" i="17"/>
  <c r="AB212" i="17"/>
  <c r="AB213" i="17"/>
  <c r="AB214" i="17"/>
  <c r="AB215" i="17"/>
  <c r="AB216" i="17"/>
  <c r="AB217" i="17"/>
  <c r="AB218" i="17"/>
  <c r="AB219" i="17"/>
  <c r="AB220" i="17"/>
  <c r="AB221" i="17"/>
  <c r="AB222" i="17"/>
  <c r="AB223" i="17"/>
  <c r="AB224" i="17"/>
  <c r="AB225" i="17"/>
  <c r="AB226" i="17"/>
  <c r="AB227" i="17"/>
  <c r="AB228" i="17"/>
  <c r="AB229" i="17"/>
  <c r="AB230" i="17"/>
  <c r="AB231" i="17"/>
  <c r="AB232" i="17"/>
  <c r="AB233" i="17"/>
  <c r="AB234" i="17"/>
  <c r="AB235" i="17"/>
  <c r="AB236" i="17"/>
  <c r="AB237" i="17"/>
  <c r="AB238" i="17"/>
  <c r="AB239" i="17"/>
  <c r="AB240" i="17"/>
  <c r="AB241" i="17"/>
  <c r="AB242" i="17"/>
  <c r="AB243" i="17"/>
  <c r="AB244" i="17"/>
  <c r="AB245" i="17"/>
  <c r="AB246" i="17"/>
  <c r="AB247" i="17"/>
  <c r="AB248" i="17"/>
  <c r="AB249" i="17"/>
  <c r="AB250" i="17"/>
  <c r="AB251" i="17"/>
  <c r="AB252" i="17"/>
  <c r="AB253" i="17"/>
  <c r="AB254" i="17"/>
  <c r="AB255" i="17"/>
  <c r="AB256" i="17"/>
  <c r="AB257" i="17"/>
  <c r="AB258" i="17"/>
  <c r="AB259" i="17"/>
  <c r="AB260" i="17"/>
  <c r="AB261" i="17"/>
  <c r="AB262" i="17"/>
  <c r="AB263" i="17"/>
  <c r="AB264" i="17"/>
  <c r="AB265" i="17"/>
  <c r="AB266" i="17"/>
  <c r="AB267" i="17"/>
  <c r="AB268" i="17"/>
  <c r="AB269" i="17"/>
  <c r="AB270" i="17"/>
  <c r="AB271" i="17"/>
  <c r="AB272" i="17"/>
  <c r="AB273" i="17"/>
  <c r="AB274" i="17"/>
  <c r="AB275" i="17"/>
  <c r="AB276" i="17"/>
  <c r="AB277" i="17"/>
  <c r="AB278" i="17"/>
  <c r="AB279" i="17"/>
  <c r="AB280" i="17"/>
  <c r="AB281" i="17"/>
  <c r="AB282" i="17"/>
  <c r="AB283" i="17"/>
  <c r="AB284" i="17"/>
  <c r="AB285" i="17"/>
  <c r="AB286" i="17"/>
  <c r="AB287" i="17"/>
  <c r="AB288" i="17"/>
  <c r="AB289" i="17"/>
  <c r="AB290" i="17"/>
  <c r="AB291" i="17"/>
  <c r="AB292" i="17"/>
  <c r="AB293" i="17"/>
  <c r="AB294" i="17"/>
  <c r="AB295" i="17"/>
  <c r="AB296" i="17"/>
  <c r="AB297" i="17"/>
  <c r="AB298" i="17"/>
  <c r="AB299" i="17"/>
  <c r="AB300" i="17"/>
  <c r="AB301" i="17"/>
  <c r="AB302" i="17"/>
  <c r="AB303" i="17"/>
  <c r="AB304" i="17"/>
  <c r="AB305" i="17"/>
  <c r="AB306" i="17"/>
  <c r="AB307" i="17"/>
  <c r="AB308" i="17"/>
  <c r="AB309" i="17"/>
  <c r="AB310" i="17"/>
  <c r="AB311" i="17"/>
  <c r="AB312" i="17"/>
  <c r="AB313" i="17"/>
  <c r="AB314" i="17"/>
  <c r="AB315" i="17"/>
  <c r="AB316" i="17"/>
  <c r="AB317" i="17"/>
  <c r="AB318" i="17"/>
  <c r="AB319" i="17"/>
  <c r="AB320" i="17"/>
  <c r="AB321" i="17"/>
  <c r="AB322" i="17"/>
  <c r="AB323" i="17"/>
  <c r="AB324" i="17"/>
  <c r="AB325" i="17"/>
  <c r="AB326" i="17"/>
  <c r="AB327" i="17"/>
  <c r="AB328" i="17"/>
  <c r="AB329" i="17"/>
  <c r="AB330" i="17"/>
  <c r="AB331" i="17"/>
  <c r="AB332" i="17"/>
  <c r="AB333" i="17"/>
  <c r="AB334" i="17"/>
  <c r="AC138" i="17"/>
  <c r="AC139" i="17"/>
  <c r="AC140" i="17"/>
  <c r="AC141" i="17"/>
  <c r="AC142" i="17"/>
  <c r="AC143" i="17"/>
  <c r="AC144" i="17"/>
  <c r="AC145" i="17"/>
  <c r="AC146" i="17"/>
  <c r="AC147" i="17"/>
  <c r="AC148" i="17"/>
  <c r="AC149" i="17"/>
  <c r="AC150" i="17"/>
  <c r="AC151" i="17"/>
  <c r="AC152" i="17"/>
  <c r="AC153" i="17"/>
  <c r="AC154" i="17"/>
  <c r="AC155" i="17"/>
  <c r="AC156" i="17"/>
  <c r="AC157" i="17"/>
  <c r="AC158" i="17"/>
  <c r="AC159" i="17"/>
  <c r="AC160" i="17"/>
  <c r="AC161" i="17"/>
  <c r="AC162" i="17"/>
  <c r="AC163" i="17"/>
  <c r="AC164" i="17"/>
  <c r="AC165" i="17"/>
  <c r="AC166" i="17"/>
  <c r="AC167" i="17"/>
  <c r="AC168" i="17"/>
  <c r="AC169" i="17"/>
  <c r="AC170" i="17"/>
  <c r="AC171" i="17"/>
  <c r="AC172" i="17"/>
  <c r="AC173" i="17"/>
  <c r="AC174" i="17"/>
  <c r="AC175" i="17"/>
  <c r="AC176" i="17"/>
  <c r="AC177" i="17"/>
  <c r="AC178" i="17"/>
  <c r="AC179" i="17"/>
  <c r="AC180" i="17"/>
  <c r="AC181" i="17"/>
  <c r="AC182" i="17"/>
  <c r="AC183" i="17"/>
  <c r="AC184" i="17"/>
  <c r="AC185" i="17"/>
  <c r="AC186" i="17"/>
  <c r="AC187" i="17"/>
  <c r="AC188" i="17"/>
  <c r="AC189" i="17"/>
  <c r="AC190" i="17"/>
  <c r="AC191" i="17"/>
  <c r="AC192" i="17"/>
  <c r="AC193" i="17"/>
  <c r="AC194" i="17"/>
  <c r="AC195" i="17"/>
  <c r="AC196" i="17"/>
  <c r="AC197" i="17"/>
  <c r="AC198" i="17"/>
  <c r="AC199" i="17"/>
  <c r="AC200" i="17"/>
  <c r="AC201" i="17"/>
  <c r="AC202" i="17"/>
  <c r="AC203" i="17"/>
  <c r="AC204" i="17"/>
  <c r="AC205" i="17"/>
  <c r="AC206" i="17"/>
  <c r="AC207" i="17"/>
  <c r="AC208" i="17"/>
  <c r="AC209" i="17"/>
  <c r="AC210" i="17"/>
  <c r="AC211" i="17"/>
  <c r="AC212" i="17"/>
  <c r="AC213" i="17"/>
  <c r="AC214" i="17"/>
  <c r="AC215" i="17"/>
  <c r="AC216" i="17"/>
  <c r="AC217" i="17"/>
  <c r="AC218" i="17"/>
  <c r="AC219" i="17"/>
  <c r="AC220" i="17"/>
  <c r="AC221" i="17"/>
  <c r="AC222" i="17"/>
  <c r="AC223" i="17"/>
  <c r="AC224" i="17"/>
  <c r="AC225" i="17"/>
  <c r="AC226" i="17"/>
  <c r="AC227" i="17"/>
  <c r="AC228" i="17"/>
  <c r="AC229" i="17"/>
  <c r="AC230" i="17"/>
  <c r="AC231" i="17"/>
  <c r="AC232" i="17"/>
  <c r="AC233" i="17"/>
  <c r="AC234" i="17"/>
  <c r="AC235" i="17"/>
  <c r="AC236" i="17"/>
  <c r="AC237" i="17"/>
  <c r="AC238" i="17"/>
  <c r="AC239" i="17"/>
  <c r="AC240" i="17"/>
  <c r="AC241" i="17"/>
  <c r="AC242" i="17"/>
  <c r="AC243" i="17"/>
  <c r="AC244" i="17"/>
  <c r="AC245" i="17"/>
  <c r="AC246" i="17"/>
  <c r="AC247" i="17"/>
  <c r="AC248" i="17"/>
  <c r="AC249" i="17"/>
  <c r="AC250" i="17"/>
  <c r="AC251" i="17"/>
  <c r="AC252" i="17"/>
  <c r="AC253" i="17"/>
  <c r="AC254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C273" i="17"/>
  <c r="AC274" i="17"/>
  <c r="AC275" i="17"/>
  <c r="AC276" i="17"/>
  <c r="AC277" i="17"/>
  <c r="AC278" i="17"/>
  <c r="AC279" i="17"/>
  <c r="AC280" i="17"/>
  <c r="AC281" i="17"/>
  <c r="AC282" i="17"/>
  <c r="AC283" i="17"/>
  <c r="AC284" i="17"/>
  <c r="AC285" i="17"/>
  <c r="AC286" i="17"/>
  <c r="AC287" i="17"/>
  <c r="AC288" i="17"/>
  <c r="AC289" i="17"/>
  <c r="AC290" i="17"/>
  <c r="AC291" i="17"/>
  <c r="AC292" i="17"/>
  <c r="AC293" i="17"/>
  <c r="AC294" i="17"/>
  <c r="AC295" i="17"/>
  <c r="AC296" i="17"/>
  <c r="AC297" i="17"/>
  <c r="AC298" i="17"/>
  <c r="AC299" i="17"/>
  <c r="AC300" i="17"/>
  <c r="AC301" i="17"/>
  <c r="AC302" i="17"/>
  <c r="AC303" i="17"/>
  <c r="AC304" i="17"/>
  <c r="AC305" i="17"/>
  <c r="AC306" i="17"/>
  <c r="AC307" i="17"/>
  <c r="AC308" i="17"/>
  <c r="AC309" i="17"/>
  <c r="AC310" i="17"/>
  <c r="AC311" i="17"/>
  <c r="AC312" i="17"/>
  <c r="AC313" i="17"/>
  <c r="AC314" i="17"/>
  <c r="AC315" i="17"/>
  <c r="AC316" i="17"/>
  <c r="AC317" i="17"/>
  <c r="AC318" i="17"/>
  <c r="AC319" i="17"/>
  <c r="AC320" i="17"/>
  <c r="AC321" i="17"/>
  <c r="AC322" i="17"/>
  <c r="AC323" i="17"/>
  <c r="AC324" i="17"/>
  <c r="AC325" i="17"/>
  <c r="AC326" i="17"/>
  <c r="AC327" i="17"/>
  <c r="AC328" i="17"/>
  <c r="AC329" i="17"/>
  <c r="AC330" i="17"/>
  <c r="AC331" i="17"/>
  <c r="AC332" i="17"/>
  <c r="AC333" i="17"/>
  <c r="AC334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O207" i="17"/>
  <c r="O208" i="17"/>
  <c r="O209" i="17"/>
  <c r="O210" i="17"/>
  <c r="O211" i="17"/>
  <c r="O212" i="17"/>
  <c r="O213" i="17"/>
  <c r="O214" i="17"/>
  <c r="O215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75" i="17"/>
  <c r="O276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320" i="17"/>
  <c r="O321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P199" i="17"/>
  <c r="P200" i="17"/>
  <c r="P201" i="17"/>
  <c r="P202" i="17"/>
  <c r="P203" i="17"/>
  <c r="P204" i="17"/>
  <c r="P205" i="17"/>
  <c r="P206" i="17"/>
  <c r="P207" i="17"/>
  <c r="P208" i="17"/>
  <c r="P209" i="17"/>
  <c r="P210" i="17"/>
  <c r="P211" i="17"/>
  <c r="P212" i="17"/>
  <c r="P213" i="17"/>
  <c r="P214" i="17"/>
  <c r="P215" i="17"/>
  <c r="P216" i="17"/>
  <c r="P217" i="17"/>
  <c r="P218" i="17"/>
  <c r="P219" i="17"/>
  <c r="P220" i="17"/>
  <c r="P221" i="17"/>
  <c r="P222" i="17"/>
  <c r="P223" i="17"/>
  <c r="P224" i="17"/>
  <c r="P225" i="17"/>
  <c r="P226" i="17"/>
  <c r="P227" i="17"/>
  <c r="P228" i="17"/>
  <c r="P229" i="17"/>
  <c r="P230" i="17"/>
  <c r="P231" i="17"/>
  <c r="P232" i="17"/>
  <c r="P233" i="17"/>
  <c r="P234" i="17"/>
  <c r="P235" i="17"/>
  <c r="P236" i="17"/>
  <c r="P237" i="17"/>
  <c r="P238" i="17"/>
  <c r="P239" i="17"/>
  <c r="P240" i="17"/>
  <c r="P241" i="17"/>
  <c r="P242" i="17"/>
  <c r="P243" i="17"/>
  <c r="P244" i="17"/>
  <c r="P245" i="17"/>
  <c r="P246" i="17"/>
  <c r="P247" i="17"/>
  <c r="P248" i="17"/>
  <c r="P249" i="17"/>
  <c r="P250" i="17"/>
  <c r="P251" i="17"/>
  <c r="P252" i="17"/>
  <c r="P253" i="17"/>
  <c r="P254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P272" i="17"/>
  <c r="P273" i="17"/>
  <c r="P274" i="17"/>
  <c r="P275" i="17"/>
  <c r="P276" i="17"/>
  <c r="P277" i="17"/>
  <c r="P278" i="17"/>
  <c r="P279" i="17"/>
  <c r="P280" i="17"/>
  <c r="P281" i="17"/>
  <c r="P282" i="17"/>
  <c r="P283" i="17"/>
  <c r="P284" i="17"/>
  <c r="P285" i="17"/>
  <c r="P286" i="17"/>
  <c r="P287" i="17"/>
  <c r="P288" i="17"/>
  <c r="P289" i="17"/>
  <c r="P290" i="17"/>
  <c r="P291" i="17"/>
  <c r="P292" i="17"/>
  <c r="P293" i="17"/>
  <c r="P294" i="17"/>
  <c r="P295" i="17"/>
  <c r="P296" i="17"/>
  <c r="P297" i="17"/>
  <c r="P298" i="17"/>
  <c r="P299" i="17"/>
  <c r="P300" i="17"/>
  <c r="P301" i="17"/>
  <c r="P302" i="17"/>
  <c r="P303" i="17"/>
  <c r="P304" i="17"/>
  <c r="P305" i="17"/>
  <c r="P306" i="17"/>
  <c r="P307" i="17"/>
  <c r="P308" i="17"/>
  <c r="P309" i="17"/>
  <c r="P310" i="17"/>
  <c r="P311" i="17"/>
  <c r="P312" i="17"/>
  <c r="P313" i="17"/>
  <c r="P314" i="17"/>
  <c r="P315" i="17"/>
  <c r="P316" i="17"/>
  <c r="P317" i="17"/>
  <c r="P318" i="17"/>
  <c r="P319" i="17"/>
  <c r="P320" i="17"/>
  <c r="P321" i="17"/>
  <c r="P322" i="17"/>
  <c r="P323" i="17"/>
  <c r="P324" i="17"/>
  <c r="P325" i="17"/>
  <c r="P326" i="17"/>
  <c r="P327" i="17"/>
  <c r="P328" i="17"/>
  <c r="P329" i="17"/>
  <c r="P330" i="17"/>
  <c r="P331" i="17"/>
  <c r="P332" i="17"/>
  <c r="P333" i="17"/>
  <c r="P334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J130" i="17"/>
  <c r="J129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1" i="17"/>
  <c r="J40" i="17"/>
  <c r="J39" i="17"/>
  <c r="J37" i="17"/>
  <c r="J36" i="17"/>
  <c r="J35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G130" i="17"/>
  <c r="G129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1" i="17"/>
  <c r="G40" i="17"/>
  <c r="G39" i="17"/>
  <c r="G37" i="17"/>
  <c r="G36" i="17"/>
  <c r="G35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D130" i="17"/>
  <c r="C130" i="17"/>
  <c r="E129" i="17"/>
  <c r="D129" i="17"/>
  <c r="C129" i="17"/>
  <c r="D122" i="17"/>
  <c r="E121" i="17"/>
  <c r="D121" i="17"/>
  <c r="C121" i="17"/>
  <c r="E120" i="17"/>
  <c r="D120" i="17"/>
  <c r="C120" i="17"/>
  <c r="E119" i="17"/>
  <c r="D119" i="17"/>
  <c r="C119" i="17"/>
  <c r="E118" i="17"/>
  <c r="D118" i="17"/>
  <c r="C118" i="17"/>
  <c r="E117" i="17"/>
  <c r="D117" i="17"/>
  <c r="C117" i="17"/>
  <c r="E116" i="17"/>
  <c r="D116" i="17"/>
  <c r="C116" i="17"/>
  <c r="E115" i="17"/>
  <c r="D115" i="17"/>
  <c r="C115" i="17"/>
  <c r="E114" i="17"/>
  <c r="D114" i="17"/>
  <c r="C114" i="17"/>
  <c r="E113" i="17"/>
  <c r="D113" i="17"/>
  <c r="C113" i="17"/>
  <c r="E112" i="17"/>
  <c r="D112" i="17"/>
  <c r="C112" i="17"/>
  <c r="E111" i="17"/>
  <c r="D111" i="17"/>
  <c r="C111" i="17"/>
  <c r="E110" i="17"/>
  <c r="D110" i="17"/>
  <c r="C110" i="17"/>
  <c r="E109" i="17"/>
  <c r="D109" i="17"/>
  <c r="C109" i="17"/>
  <c r="E108" i="17"/>
  <c r="D108" i="17"/>
  <c r="C108" i="17"/>
  <c r="E107" i="17"/>
  <c r="D107" i="17"/>
  <c r="C107" i="17"/>
  <c r="E106" i="17"/>
  <c r="D106" i="17"/>
  <c r="C106" i="17"/>
  <c r="E105" i="17"/>
  <c r="D105" i="17"/>
  <c r="C105" i="17"/>
  <c r="E104" i="17"/>
  <c r="D104" i="17"/>
  <c r="C104" i="17"/>
  <c r="E103" i="17"/>
  <c r="D103" i="17"/>
  <c r="C103" i="17"/>
  <c r="E102" i="17"/>
  <c r="D102" i="17"/>
  <c r="C102" i="17"/>
  <c r="E101" i="17"/>
  <c r="D101" i="17"/>
  <c r="C101" i="17"/>
  <c r="E100" i="17"/>
  <c r="D100" i="17"/>
  <c r="C100" i="17"/>
  <c r="E99" i="17"/>
  <c r="D99" i="17"/>
  <c r="C99" i="17"/>
  <c r="E98" i="17"/>
  <c r="D98" i="17"/>
  <c r="C98" i="17"/>
  <c r="E97" i="17"/>
  <c r="D97" i="17"/>
  <c r="C97" i="17"/>
  <c r="E96" i="17"/>
  <c r="D96" i="17"/>
  <c r="C96" i="17"/>
  <c r="E95" i="17"/>
  <c r="D95" i="17"/>
  <c r="C95" i="17"/>
  <c r="E94" i="17"/>
  <c r="D94" i="17"/>
  <c r="C94" i="17"/>
  <c r="E93" i="17"/>
  <c r="D93" i="17"/>
  <c r="C93" i="17"/>
  <c r="E92" i="17"/>
  <c r="D92" i="17"/>
  <c r="C92" i="17"/>
  <c r="E91" i="17"/>
  <c r="D91" i="17"/>
  <c r="C91" i="17"/>
  <c r="E90" i="17"/>
  <c r="D90" i="17"/>
  <c r="C90" i="17"/>
  <c r="E89" i="17"/>
  <c r="D89" i="17"/>
  <c r="C89" i="17"/>
  <c r="E88" i="17"/>
  <c r="D88" i="17"/>
  <c r="C88" i="17"/>
  <c r="E87" i="17"/>
  <c r="D87" i="17"/>
  <c r="C87" i="17"/>
  <c r="E86" i="17"/>
  <c r="D86" i="17"/>
  <c r="C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E79" i="17"/>
  <c r="D79" i="17"/>
  <c r="C79" i="17"/>
  <c r="E78" i="17"/>
  <c r="D78" i="17"/>
  <c r="C78" i="17"/>
  <c r="E77" i="17"/>
  <c r="D77" i="17"/>
  <c r="C77" i="17"/>
  <c r="E76" i="17"/>
  <c r="D76" i="17"/>
  <c r="C76" i="17"/>
  <c r="E75" i="17"/>
  <c r="D75" i="17"/>
  <c r="C75" i="17"/>
  <c r="E74" i="17"/>
  <c r="D74" i="17"/>
  <c r="C74" i="17"/>
  <c r="E73" i="17"/>
  <c r="D73" i="17"/>
  <c r="C73" i="17"/>
  <c r="E72" i="17"/>
  <c r="D72" i="17"/>
  <c r="C72" i="17"/>
  <c r="E71" i="17"/>
  <c r="D71" i="17"/>
  <c r="C71" i="17"/>
  <c r="E70" i="17"/>
  <c r="D70" i="17"/>
  <c r="C70" i="17"/>
  <c r="E69" i="17"/>
  <c r="D69" i="17"/>
  <c r="C69" i="17"/>
  <c r="E68" i="17"/>
  <c r="D68" i="17"/>
  <c r="C68" i="17"/>
  <c r="E67" i="17"/>
  <c r="D67" i="17"/>
  <c r="C67" i="17"/>
  <c r="E66" i="17"/>
  <c r="D66" i="17"/>
  <c r="C66" i="17"/>
  <c r="E65" i="17"/>
  <c r="D65" i="17"/>
  <c r="C65" i="17"/>
  <c r="E64" i="17"/>
  <c r="D64" i="17"/>
  <c r="C64" i="17"/>
  <c r="E63" i="17"/>
  <c r="D63" i="17"/>
  <c r="C63" i="17"/>
  <c r="E62" i="17"/>
  <c r="D62" i="17"/>
  <c r="C62" i="17"/>
  <c r="E61" i="17"/>
  <c r="D61" i="17"/>
  <c r="C61" i="17"/>
  <c r="E60" i="17"/>
  <c r="D60" i="17"/>
  <c r="C60" i="17"/>
  <c r="E59" i="17"/>
  <c r="D59" i="17"/>
  <c r="C59" i="17"/>
  <c r="E58" i="17"/>
  <c r="D58" i="17"/>
  <c r="C58" i="17"/>
  <c r="E57" i="17"/>
  <c r="D57" i="17"/>
  <c r="C57" i="17"/>
  <c r="E56" i="17"/>
  <c r="D56" i="17"/>
  <c r="C56" i="17"/>
  <c r="E55" i="17"/>
  <c r="D55" i="17"/>
  <c r="C55" i="17"/>
  <c r="E54" i="17"/>
  <c r="D54" i="17"/>
  <c r="C54" i="17"/>
  <c r="E53" i="17"/>
  <c r="D53" i="17"/>
  <c r="C53" i="17"/>
  <c r="E52" i="17"/>
  <c r="D52" i="17"/>
  <c r="C52" i="17"/>
  <c r="E51" i="17"/>
  <c r="D51" i="17"/>
  <c r="C51" i="17"/>
  <c r="E50" i="17"/>
  <c r="D50" i="17"/>
  <c r="C50" i="17"/>
  <c r="E49" i="17"/>
  <c r="D49" i="17"/>
  <c r="C49" i="17"/>
  <c r="E48" i="17"/>
  <c r="D48" i="17"/>
  <c r="C48" i="17"/>
  <c r="E47" i="17"/>
  <c r="D47" i="17"/>
  <c r="C47" i="17"/>
  <c r="E46" i="17"/>
  <c r="D46" i="17"/>
  <c r="C46" i="17"/>
  <c r="E45" i="17"/>
  <c r="D45" i="17"/>
  <c r="C45" i="17"/>
  <c r="E44" i="17"/>
  <c r="D44" i="17"/>
  <c r="C44" i="17"/>
  <c r="E43" i="17"/>
  <c r="D43" i="17"/>
  <c r="C43" i="17"/>
  <c r="E41" i="17"/>
  <c r="D41" i="17"/>
  <c r="C41" i="17"/>
  <c r="E40" i="17"/>
  <c r="D40" i="17"/>
  <c r="C40" i="17"/>
  <c r="E39" i="17"/>
  <c r="D39" i="17"/>
  <c r="C39" i="17"/>
  <c r="E37" i="17"/>
  <c r="D37" i="17"/>
  <c r="C37" i="17"/>
  <c r="E36" i="17"/>
  <c r="D36" i="17"/>
  <c r="C36" i="17"/>
  <c r="E35" i="17"/>
  <c r="D35" i="17"/>
  <c r="C35" i="17"/>
  <c r="E33" i="17"/>
  <c r="D33" i="17"/>
  <c r="C33" i="17"/>
  <c r="E32" i="17"/>
  <c r="D32" i="17"/>
  <c r="C32" i="17"/>
  <c r="E31" i="17"/>
  <c r="D31" i="17"/>
  <c r="C31" i="17"/>
  <c r="E30" i="17"/>
  <c r="D30" i="17"/>
  <c r="C30" i="17"/>
  <c r="E29" i="17"/>
  <c r="D29" i="17"/>
  <c r="C29" i="17"/>
  <c r="E28" i="17"/>
  <c r="D28" i="17"/>
  <c r="C28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AT334" i="17"/>
  <c r="AQ334" i="17"/>
  <c r="AH334" i="17"/>
  <c r="AE334" i="17"/>
  <c r="V334" i="17"/>
  <c r="S334" i="17"/>
  <c r="I334" i="17"/>
  <c r="H334" i="17"/>
  <c r="F334" i="17"/>
  <c r="AT333" i="17"/>
  <c r="AQ333" i="17"/>
  <c r="AH333" i="17"/>
  <c r="AE333" i="17"/>
  <c r="V333" i="17"/>
  <c r="S333" i="17"/>
  <c r="I333" i="17"/>
  <c r="H333" i="17"/>
  <c r="F333" i="17"/>
  <c r="AT332" i="17"/>
  <c r="AQ332" i="17"/>
  <c r="AH332" i="17"/>
  <c r="AE332" i="17"/>
  <c r="V332" i="17"/>
  <c r="S332" i="17"/>
  <c r="I332" i="17"/>
  <c r="H332" i="17"/>
  <c r="F332" i="17"/>
  <c r="AT331" i="17"/>
  <c r="AQ331" i="17"/>
  <c r="AH331" i="17"/>
  <c r="AE331" i="17"/>
  <c r="V331" i="17"/>
  <c r="S331" i="17"/>
  <c r="I331" i="17"/>
  <c r="H331" i="17"/>
  <c r="F331" i="17"/>
  <c r="AT330" i="17"/>
  <c r="AQ330" i="17"/>
  <c r="AH330" i="17"/>
  <c r="AE330" i="17"/>
  <c r="V330" i="17"/>
  <c r="S330" i="17"/>
  <c r="I330" i="17"/>
  <c r="H330" i="17"/>
  <c r="F330" i="17"/>
  <c r="BF334" i="16"/>
  <c r="BF333" i="16"/>
  <c r="BF332" i="16"/>
  <c r="BF331" i="16"/>
  <c r="BF330" i="16"/>
  <c r="BF329" i="16"/>
  <c r="BF328" i="16"/>
  <c r="BC334" i="16"/>
  <c r="BC333" i="16"/>
  <c r="BC332" i="16"/>
  <c r="BC331" i="16"/>
  <c r="BC330" i="16"/>
  <c r="BC329" i="16"/>
  <c r="BC328" i="16"/>
  <c r="BK330" i="16"/>
  <c r="BK331" i="16"/>
  <c r="BK332" i="16"/>
  <c r="BK333" i="16"/>
  <c r="BK334" i="16"/>
  <c r="BL330" i="16"/>
  <c r="BL331" i="16"/>
  <c r="BL332" i="16"/>
  <c r="BL333" i="16"/>
  <c r="BL334" i="16"/>
  <c r="BM330" i="16"/>
  <c r="BM331" i="16"/>
  <c r="BM332" i="16"/>
  <c r="BM333" i="16"/>
  <c r="BM334" i="16"/>
  <c r="BO330" i="16"/>
  <c r="BO331" i="16"/>
  <c r="BO332" i="16"/>
  <c r="BO333" i="16"/>
  <c r="BO334" i="16"/>
  <c r="BR330" i="16"/>
  <c r="BR331" i="16"/>
  <c r="BR332" i="16"/>
  <c r="BR333" i="16"/>
  <c r="BR334" i="16"/>
  <c r="AY331" i="16"/>
  <c r="AY332" i="16"/>
  <c r="AY333" i="16"/>
  <c r="AY334" i="16"/>
  <c r="AZ331" i="16"/>
  <c r="AZ332" i="16"/>
  <c r="AZ333" i="16"/>
  <c r="AZ334" i="16"/>
  <c r="BA331" i="16"/>
  <c r="BA332" i="16"/>
  <c r="BA333" i="16"/>
  <c r="BA334" i="16"/>
  <c r="AM330" i="16"/>
  <c r="AM331" i="16"/>
  <c r="AM332" i="16"/>
  <c r="AM333" i="16"/>
  <c r="AM334" i="16"/>
  <c r="AN330" i="16"/>
  <c r="AN331" i="16"/>
  <c r="AN332" i="16"/>
  <c r="AN333" i="16"/>
  <c r="AN334" i="16"/>
  <c r="AO330" i="16"/>
  <c r="AO331" i="16"/>
  <c r="AO332" i="16"/>
  <c r="AO333" i="16"/>
  <c r="AO334" i="16"/>
  <c r="AQ330" i="16"/>
  <c r="AQ331" i="16"/>
  <c r="AQ332" i="16"/>
  <c r="AQ333" i="16"/>
  <c r="AQ334" i="16"/>
  <c r="AT330" i="16"/>
  <c r="AT331" i="16"/>
  <c r="AT332" i="16"/>
  <c r="AT333" i="16"/>
  <c r="AT334" i="16"/>
  <c r="AA330" i="16"/>
  <c r="AA331" i="16"/>
  <c r="AA332" i="16"/>
  <c r="AA333" i="16"/>
  <c r="AA334" i="16"/>
  <c r="AB330" i="16"/>
  <c r="AB331" i="16"/>
  <c r="AB332" i="16"/>
  <c r="AB333" i="16"/>
  <c r="AB334" i="16"/>
  <c r="AC330" i="16"/>
  <c r="AC331" i="16"/>
  <c r="AC332" i="16"/>
  <c r="AC333" i="16"/>
  <c r="AC334" i="16"/>
  <c r="AE330" i="16"/>
  <c r="AE331" i="16"/>
  <c r="AE332" i="16"/>
  <c r="AE333" i="16"/>
  <c r="AE334" i="16"/>
  <c r="AH330" i="16"/>
  <c r="AH331" i="16"/>
  <c r="AH332" i="16"/>
  <c r="AH333" i="16"/>
  <c r="AH334" i="16"/>
  <c r="O330" i="16"/>
  <c r="O331" i="16"/>
  <c r="O332" i="16"/>
  <c r="O333" i="16"/>
  <c r="O334" i="16"/>
  <c r="P330" i="16"/>
  <c r="P331" i="16"/>
  <c r="P332" i="16"/>
  <c r="P333" i="16"/>
  <c r="P334" i="16"/>
  <c r="Q330" i="16"/>
  <c r="Q331" i="16"/>
  <c r="Q332" i="16"/>
  <c r="Q333" i="16"/>
  <c r="Q334" i="16"/>
  <c r="S330" i="16"/>
  <c r="S331" i="16"/>
  <c r="S332" i="16"/>
  <c r="S333" i="16"/>
  <c r="V330" i="16"/>
  <c r="V331" i="16"/>
  <c r="V332" i="16"/>
  <c r="V333" i="16"/>
  <c r="V334" i="16"/>
  <c r="I334" i="16"/>
  <c r="H334" i="16"/>
  <c r="F334" i="16"/>
  <c r="I333" i="16"/>
  <c r="H333" i="16"/>
  <c r="F333" i="16"/>
  <c r="I332" i="16"/>
  <c r="H332" i="16"/>
  <c r="F332" i="16"/>
  <c r="I331" i="16"/>
  <c r="H331" i="16"/>
  <c r="F331" i="16"/>
  <c r="I330" i="16"/>
  <c r="H330" i="16"/>
  <c r="F330" i="16"/>
  <c r="H333" i="87" l="1"/>
  <c r="H332" i="87"/>
  <c r="G332" i="15"/>
  <c r="E330" i="15"/>
  <c r="J330" i="15"/>
  <c r="G331" i="15"/>
  <c r="C330" i="15"/>
  <c r="D330" i="15"/>
  <c r="J331" i="15"/>
  <c r="E331" i="15"/>
  <c r="C331" i="15"/>
  <c r="D331" i="15"/>
  <c r="E332" i="15"/>
  <c r="J332" i="15"/>
  <c r="G333" i="15"/>
  <c r="C333" i="15"/>
  <c r="E333" i="15"/>
  <c r="G330" i="15"/>
  <c r="C332" i="15"/>
  <c r="D332" i="15"/>
  <c r="H334" i="87"/>
  <c r="H330" i="87"/>
  <c r="G330" i="17"/>
  <c r="G334" i="17"/>
  <c r="H331" i="87"/>
  <c r="G331" i="17"/>
  <c r="D331" i="17"/>
  <c r="C331" i="17"/>
  <c r="J332" i="17"/>
  <c r="E332" i="17"/>
  <c r="G333" i="17"/>
  <c r="C332" i="17"/>
  <c r="D332" i="17"/>
  <c r="J333" i="17"/>
  <c r="E333" i="17"/>
  <c r="J330" i="17"/>
  <c r="E330" i="17"/>
  <c r="D333" i="17"/>
  <c r="C333" i="17"/>
  <c r="J334" i="17"/>
  <c r="E334" i="17"/>
  <c r="D330" i="17"/>
  <c r="C330" i="17"/>
  <c r="J331" i="17"/>
  <c r="E331" i="17"/>
  <c r="G332" i="17"/>
  <c r="D334" i="17"/>
  <c r="C334" i="17"/>
  <c r="I332" i="87"/>
  <c r="I333" i="87"/>
  <c r="I331" i="87"/>
  <c r="F333" i="87"/>
  <c r="I330" i="87"/>
  <c r="F332" i="87"/>
  <c r="F330" i="87"/>
  <c r="F334" i="87"/>
  <c r="F331" i="87"/>
  <c r="D334" i="16"/>
  <c r="I334" i="87"/>
  <c r="DI330" i="15"/>
  <c r="DG331" i="15"/>
  <c r="DH331" i="15"/>
  <c r="DH330" i="15"/>
  <c r="DG330" i="15"/>
  <c r="DI332" i="15"/>
  <c r="DI333" i="15"/>
  <c r="DG333" i="15"/>
  <c r="DI331" i="15"/>
  <c r="DG332" i="15"/>
  <c r="DH332" i="15"/>
  <c r="DN332" i="15"/>
  <c r="DN331" i="15"/>
  <c r="DN330" i="15"/>
  <c r="DK330" i="15"/>
  <c r="DK331" i="15"/>
  <c r="DK332" i="15"/>
  <c r="DK333" i="15"/>
  <c r="G330" i="16"/>
  <c r="J331" i="16"/>
  <c r="C334" i="16"/>
  <c r="J330" i="16"/>
  <c r="G333" i="16"/>
  <c r="J334" i="16"/>
  <c r="E333" i="16"/>
  <c r="D331" i="16"/>
  <c r="D332" i="16"/>
  <c r="D330" i="16"/>
  <c r="C332" i="16"/>
  <c r="E331" i="16"/>
  <c r="G332" i="16"/>
  <c r="C330" i="16"/>
  <c r="G334" i="16"/>
  <c r="E334" i="16"/>
  <c r="E330" i="16"/>
  <c r="C333" i="16"/>
  <c r="G331" i="16"/>
  <c r="E332" i="16"/>
  <c r="D333" i="16"/>
  <c r="J333" i="16"/>
  <c r="C331" i="16"/>
  <c r="J332" i="16"/>
  <c r="I329" i="16"/>
  <c r="H329" i="16"/>
  <c r="F329" i="16"/>
  <c r="I328" i="16"/>
  <c r="H328" i="16"/>
  <c r="F328" i="16"/>
  <c r="I327" i="16"/>
  <c r="H327" i="16"/>
  <c r="F327" i="16"/>
  <c r="I326" i="16"/>
  <c r="H326" i="16"/>
  <c r="F326" i="16"/>
  <c r="I325" i="16"/>
  <c r="H325" i="16"/>
  <c r="F325" i="16"/>
  <c r="I324" i="16"/>
  <c r="H324" i="16"/>
  <c r="F324" i="16"/>
  <c r="I323" i="16"/>
  <c r="H323" i="16"/>
  <c r="F323" i="16"/>
  <c r="I322" i="16"/>
  <c r="H322" i="16"/>
  <c r="F322" i="16"/>
  <c r="I321" i="16"/>
  <c r="H321" i="16"/>
  <c r="F321" i="16"/>
  <c r="I320" i="16"/>
  <c r="H320" i="16"/>
  <c r="F320" i="16"/>
  <c r="I319" i="16"/>
  <c r="H319" i="16"/>
  <c r="F319" i="16"/>
  <c r="I318" i="16"/>
  <c r="H318" i="16"/>
  <c r="F318" i="16"/>
  <c r="I317" i="16"/>
  <c r="H317" i="16"/>
  <c r="F317" i="16"/>
  <c r="I316" i="16"/>
  <c r="H316" i="16"/>
  <c r="F316" i="16"/>
  <c r="I315" i="16"/>
  <c r="H315" i="16"/>
  <c r="F315" i="16"/>
  <c r="I314" i="16"/>
  <c r="H314" i="16"/>
  <c r="F314" i="16"/>
  <c r="I313" i="16"/>
  <c r="H313" i="16"/>
  <c r="F313" i="16"/>
  <c r="I312" i="16"/>
  <c r="H312" i="16"/>
  <c r="F312" i="16"/>
  <c r="I311" i="16"/>
  <c r="H311" i="16"/>
  <c r="F311" i="16"/>
  <c r="I310" i="16"/>
  <c r="H310" i="16"/>
  <c r="F310" i="16"/>
  <c r="I309" i="16"/>
  <c r="H309" i="16"/>
  <c r="F309" i="16"/>
  <c r="I308" i="16"/>
  <c r="H308" i="16"/>
  <c r="F308" i="16"/>
  <c r="I307" i="16"/>
  <c r="H307" i="16"/>
  <c r="F307" i="16"/>
  <c r="I306" i="16"/>
  <c r="H306" i="16"/>
  <c r="F306" i="16"/>
  <c r="I305" i="16"/>
  <c r="H305" i="16"/>
  <c r="F305" i="16"/>
  <c r="I304" i="16"/>
  <c r="H304" i="16"/>
  <c r="F304" i="16"/>
  <c r="I303" i="16"/>
  <c r="H303" i="16"/>
  <c r="F303" i="16"/>
  <c r="I302" i="16"/>
  <c r="H302" i="16"/>
  <c r="F302" i="16"/>
  <c r="I301" i="16"/>
  <c r="H301" i="16"/>
  <c r="F301" i="16"/>
  <c r="I300" i="16"/>
  <c r="H300" i="16"/>
  <c r="F300" i="16"/>
  <c r="I299" i="16"/>
  <c r="H299" i="16"/>
  <c r="F299" i="16"/>
  <c r="I298" i="16"/>
  <c r="H298" i="16"/>
  <c r="F298" i="16"/>
  <c r="I297" i="16"/>
  <c r="H297" i="16"/>
  <c r="F297" i="16"/>
  <c r="I296" i="16"/>
  <c r="H296" i="16"/>
  <c r="F296" i="16"/>
  <c r="I295" i="16"/>
  <c r="H295" i="16"/>
  <c r="F295" i="16"/>
  <c r="I294" i="16"/>
  <c r="H294" i="16"/>
  <c r="F294" i="16"/>
  <c r="I293" i="16"/>
  <c r="H293" i="16"/>
  <c r="F293" i="16"/>
  <c r="I292" i="16"/>
  <c r="H292" i="16"/>
  <c r="F292" i="16"/>
  <c r="I291" i="16"/>
  <c r="H291" i="16"/>
  <c r="F291" i="16"/>
  <c r="I290" i="16"/>
  <c r="H290" i="16"/>
  <c r="F290" i="16"/>
  <c r="I289" i="16"/>
  <c r="H289" i="16"/>
  <c r="F289" i="16"/>
  <c r="I288" i="16"/>
  <c r="H288" i="16"/>
  <c r="F288" i="16"/>
  <c r="I287" i="16"/>
  <c r="H287" i="16"/>
  <c r="F287" i="16"/>
  <c r="I286" i="16"/>
  <c r="H286" i="16"/>
  <c r="F286" i="16"/>
  <c r="I285" i="16"/>
  <c r="H285" i="16"/>
  <c r="F285" i="16"/>
  <c r="I284" i="16"/>
  <c r="H284" i="16"/>
  <c r="F284" i="16"/>
  <c r="I283" i="16"/>
  <c r="H283" i="16"/>
  <c r="F283" i="16"/>
  <c r="I282" i="16"/>
  <c r="H282" i="16"/>
  <c r="F282" i="16"/>
  <c r="I281" i="16"/>
  <c r="H281" i="16"/>
  <c r="F281" i="16"/>
  <c r="I280" i="16"/>
  <c r="H280" i="16"/>
  <c r="F280" i="16"/>
  <c r="I279" i="16"/>
  <c r="H279" i="16"/>
  <c r="F279" i="16"/>
  <c r="I278" i="16"/>
  <c r="H278" i="16"/>
  <c r="F278" i="16"/>
  <c r="I277" i="16"/>
  <c r="H277" i="16"/>
  <c r="F277" i="16"/>
  <c r="I276" i="16"/>
  <c r="H276" i="16"/>
  <c r="F276" i="16"/>
  <c r="I275" i="16"/>
  <c r="H275" i="16"/>
  <c r="F275" i="16"/>
  <c r="I274" i="16"/>
  <c r="H274" i="16"/>
  <c r="F274" i="16"/>
  <c r="I273" i="16"/>
  <c r="H273" i="16"/>
  <c r="F273" i="16"/>
  <c r="I272" i="16"/>
  <c r="H272" i="16"/>
  <c r="F272" i="16"/>
  <c r="I271" i="16"/>
  <c r="H271" i="16"/>
  <c r="F271" i="16"/>
  <c r="I270" i="16"/>
  <c r="H270" i="16"/>
  <c r="F270" i="16"/>
  <c r="I269" i="16"/>
  <c r="H269" i="16"/>
  <c r="F269" i="16"/>
  <c r="I268" i="16"/>
  <c r="H268" i="16"/>
  <c r="F268" i="16"/>
  <c r="I267" i="16"/>
  <c r="H267" i="16"/>
  <c r="F267" i="16"/>
  <c r="I266" i="16"/>
  <c r="H266" i="16"/>
  <c r="F266" i="16"/>
  <c r="I265" i="16"/>
  <c r="H265" i="16"/>
  <c r="F265" i="16"/>
  <c r="I264" i="16"/>
  <c r="H264" i="16"/>
  <c r="F264" i="16"/>
  <c r="I263" i="16"/>
  <c r="H263" i="16"/>
  <c r="F263" i="16"/>
  <c r="I262" i="16"/>
  <c r="H262" i="16"/>
  <c r="F262" i="16"/>
  <c r="I261" i="16"/>
  <c r="H261" i="16"/>
  <c r="F261" i="16"/>
  <c r="I260" i="16"/>
  <c r="H260" i="16"/>
  <c r="F260" i="16"/>
  <c r="I259" i="16"/>
  <c r="H259" i="16"/>
  <c r="F259" i="16"/>
  <c r="I258" i="16"/>
  <c r="H258" i="16"/>
  <c r="F258" i="16"/>
  <c r="I257" i="16"/>
  <c r="H257" i="16"/>
  <c r="F257" i="16"/>
  <c r="I256" i="16"/>
  <c r="H256" i="16"/>
  <c r="F256" i="16"/>
  <c r="I255" i="16"/>
  <c r="H255" i="16"/>
  <c r="F255" i="16"/>
  <c r="I254" i="16"/>
  <c r="H254" i="16"/>
  <c r="F254" i="16"/>
  <c r="I253" i="16"/>
  <c r="H253" i="16"/>
  <c r="F253" i="16"/>
  <c r="I252" i="16"/>
  <c r="H252" i="16"/>
  <c r="F252" i="16"/>
  <c r="I251" i="16"/>
  <c r="H251" i="16"/>
  <c r="F251" i="16"/>
  <c r="I250" i="16"/>
  <c r="H250" i="16"/>
  <c r="F250" i="16"/>
  <c r="I249" i="16"/>
  <c r="H249" i="16"/>
  <c r="F249" i="16"/>
  <c r="I248" i="16"/>
  <c r="H248" i="16"/>
  <c r="F248" i="16"/>
  <c r="I247" i="16"/>
  <c r="H247" i="16"/>
  <c r="F247" i="16"/>
  <c r="I246" i="16"/>
  <c r="H246" i="16"/>
  <c r="F246" i="16"/>
  <c r="I245" i="16"/>
  <c r="H245" i="16"/>
  <c r="F245" i="16"/>
  <c r="I244" i="16"/>
  <c r="H244" i="16"/>
  <c r="F244" i="16"/>
  <c r="I243" i="16"/>
  <c r="H243" i="16"/>
  <c r="F243" i="16"/>
  <c r="I242" i="16"/>
  <c r="H242" i="16"/>
  <c r="F242" i="16"/>
  <c r="I241" i="16"/>
  <c r="H241" i="16"/>
  <c r="F241" i="16"/>
  <c r="I240" i="16"/>
  <c r="H240" i="16"/>
  <c r="F240" i="16"/>
  <c r="I239" i="16"/>
  <c r="H239" i="16"/>
  <c r="F239" i="16"/>
  <c r="I238" i="16"/>
  <c r="H238" i="16"/>
  <c r="F238" i="16"/>
  <c r="I237" i="16"/>
  <c r="H237" i="16"/>
  <c r="F237" i="16"/>
  <c r="I236" i="16"/>
  <c r="H236" i="16"/>
  <c r="F236" i="16"/>
  <c r="I235" i="16"/>
  <c r="H235" i="16"/>
  <c r="F235" i="16"/>
  <c r="I234" i="16"/>
  <c r="H234" i="16"/>
  <c r="F234" i="16"/>
  <c r="I233" i="16"/>
  <c r="H233" i="16"/>
  <c r="F233" i="16"/>
  <c r="I232" i="16"/>
  <c r="H232" i="16"/>
  <c r="F232" i="16"/>
  <c r="I231" i="16"/>
  <c r="H231" i="16"/>
  <c r="F231" i="16"/>
  <c r="I230" i="16"/>
  <c r="H230" i="16"/>
  <c r="F230" i="16"/>
  <c r="I229" i="16"/>
  <c r="H229" i="16"/>
  <c r="F229" i="16"/>
  <c r="I228" i="16"/>
  <c r="H228" i="16"/>
  <c r="F228" i="16"/>
  <c r="I227" i="16"/>
  <c r="H227" i="16"/>
  <c r="F227" i="16"/>
  <c r="I226" i="16"/>
  <c r="H226" i="16"/>
  <c r="F226" i="16"/>
  <c r="I225" i="16"/>
  <c r="H225" i="16"/>
  <c r="F225" i="16"/>
  <c r="I224" i="16"/>
  <c r="H224" i="16"/>
  <c r="F224" i="16"/>
  <c r="I223" i="16"/>
  <c r="H223" i="16"/>
  <c r="F223" i="16"/>
  <c r="I222" i="16"/>
  <c r="H222" i="16"/>
  <c r="F222" i="16"/>
  <c r="I221" i="16"/>
  <c r="H221" i="16"/>
  <c r="F221" i="16"/>
  <c r="I220" i="16"/>
  <c r="H220" i="16"/>
  <c r="F220" i="16"/>
  <c r="I219" i="16"/>
  <c r="H219" i="16"/>
  <c r="F219" i="16"/>
  <c r="I218" i="16"/>
  <c r="H218" i="16"/>
  <c r="F218" i="16"/>
  <c r="I217" i="16"/>
  <c r="H217" i="16"/>
  <c r="F217" i="16"/>
  <c r="I216" i="16"/>
  <c r="H216" i="16"/>
  <c r="F216" i="16"/>
  <c r="I215" i="16"/>
  <c r="H215" i="16"/>
  <c r="F215" i="16"/>
  <c r="I214" i="16"/>
  <c r="H214" i="16"/>
  <c r="F214" i="16"/>
  <c r="I213" i="16"/>
  <c r="H213" i="16"/>
  <c r="F213" i="16"/>
  <c r="I212" i="16"/>
  <c r="H212" i="16"/>
  <c r="F212" i="16"/>
  <c r="I211" i="16"/>
  <c r="H211" i="16"/>
  <c r="F211" i="16"/>
  <c r="I210" i="16"/>
  <c r="H210" i="16"/>
  <c r="F210" i="16"/>
  <c r="I209" i="16"/>
  <c r="H209" i="16"/>
  <c r="F209" i="16"/>
  <c r="I208" i="16"/>
  <c r="H208" i="16"/>
  <c r="F208" i="16"/>
  <c r="I207" i="16"/>
  <c r="H207" i="16"/>
  <c r="F207" i="16"/>
  <c r="I206" i="16"/>
  <c r="H206" i="16"/>
  <c r="F206" i="16"/>
  <c r="I205" i="16"/>
  <c r="H205" i="16"/>
  <c r="F205" i="16"/>
  <c r="I204" i="16"/>
  <c r="H204" i="16"/>
  <c r="F204" i="16"/>
  <c r="I203" i="16"/>
  <c r="H203" i="16"/>
  <c r="F203" i="16"/>
  <c r="I202" i="16"/>
  <c r="H202" i="16"/>
  <c r="F202" i="16"/>
  <c r="I201" i="16"/>
  <c r="H201" i="16"/>
  <c r="F201" i="16"/>
  <c r="I200" i="16"/>
  <c r="H200" i="16"/>
  <c r="F200" i="16"/>
  <c r="I199" i="16"/>
  <c r="H199" i="16"/>
  <c r="F199" i="16"/>
  <c r="I198" i="16"/>
  <c r="H198" i="16"/>
  <c r="F198" i="16"/>
  <c r="I197" i="16"/>
  <c r="H197" i="16"/>
  <c r="F197" i="16"/>
  <c r="I196" i="16"/>
  <c r="H196" i="16"/>
  <c r="F196" i="16"/>
  <c r="I195" i="16"/>
  <c r="H195" i="16"/>
  <c r="F195" i="16"/>
  <c r="I194" i="16"/>
  <c r="H194" i="16"/>
  <c r="F194" i="16"/>
  <c r="I193" i="16"/>
  <c r="H193" i="16"/>
  <c r="F193" i="16"/>
  <c r="I192" i="16"/>
  <c r="H192" i="16"/>
  <c r="F192" i="16"/>
  <c r="I191" i="16"/>
  <c r="H191" i="16"/>
  <c r="F191" i="16"/>
  <c r="I190" i="16"/>
  <c r="H190" i="16"/>
  <c r="F190" i="16"/>
  <c r="I189" i="16"/>
  <c r="H189" i="16"/>
  <c r="F189" i="16"/>
  <c r="I188" i="16"/>
  <c r="H188" i="16"/>
  <c r="F188" i="16"/>
  <c r="I187" i="16"/>
  <c r="H187" i="16"/>
  <c r="F187" i="16"/>
  <c r="I186" i="16"/>
  <c r="H186" i="16"/>
  <c r="F186" i="16"/>
  <c r="I185" i="16"/>
  <c r="H185" i="16"/>
  <c r="F185" i="16"/>
  <c r="I184" i="16"/>
  <c r="H184" i="16"/>
  <c r="F184" i="16"/>
  <c r="I183" i="16"/>
  <c r="H183" i="16"/>
  <c r="F183" i="16"/>
  <c r="I182" i="16"/>
  <c r="H182" i="16"/>
  <c r="F182" i="16"/>
  <c r="I181" i="16"/>
  <c r="H181" i="16"/>
  <c r="F181" i="16"/>
  <c r="I180" i="16"/>
  <c r="H180" i="16"/>
  <c r="F180" i="16"/>
  <c r="I179" i="16"/>
  <c r="H179" i="16"/>
  <c r="F179" i="16"/>
  <c r="I178" i="16"/>
  <c r="H178" i="16"/>
  <c r="F178" i="16"/>
  <c r="I177" i="16"/>
  <c r="H177" i="16"/>
  <c r="F177" i="16"/>
  <c r="I176" i="16"/>
  <c r="H176" i="16"/>
  <c r="F176" i="16"/>
  <c r="I175" i="16"/>
  <c r="H175" i="16"/>
  <c r="F175" i="16"/>
  <c r="I174" i="16"/>
  <c r="H174" i="16"/>
  <c r="F174" i="16"/>
  <c r="I173" i="16"/>
  <c r="H173" i="16"/>
  <c r="F173" i="16"/>
  <c r="I172" i="16"/>
  <c r="H172" i="16"/>
  <c r="F172" i="16"/>
  <c r="I171" i="16"/>
  <c r="H171" i="16"/>
  <c r="F171" i="16"/>
  <c r="I170" i="16"/>
  <c r="H170" i="16"/>
  <c r="F170" i="16"/>
  <c r="I169" i="16"/>
  <c r="H169" i="16"/>
  <c r="F169" i="16"/>
  <c r="I168" i="16"/>
  <c r="H168" i="16"/>
  <c r="F168" i="16"/>
  <c r="I167" i="16"/>
  <c r="H167" i="16"/>
  <c r="F167" i="16"/>
  <c r="I166" i="16"/>
  <c r="H166" i="16"/>
  <c r="F166" i="16"/>
  <c r="I165" i="16"/>
  <c r="H165" i="16"/>
  <c r="F165" i="16"/>
  <c r="I164" i="16"/>
  <c r="H164" i="16"/>
  <c r="F164" i="16"/>
  <c r="I163" i="16"/>
  <c r="H163" i="16"/>
  <c r="F163" i="16"/>
  <c r="I162" i="16"/>
  <c r="H162" i="16"/>
  <c r="F162" i="16"/>
  <c r="I161" i="16"/>
  <c r="H161" i="16"/>
  <c r="F161" i="16"/>
  <c r="I160" i="16"/>
  <c r="H160" i="16"/>
  <c r="F160" i="16"/>
  <c r="I159" i="16"/>
  <c r="H159" i="16"/>
  <c r="F159" i="16"/>
  <c r="I158" i="16"/>
  <c r="H158" i="16"/>
  <c r="F158" i="16"/>
  <c r="I157" i="16"/>
  <c r="H157" i="16"/>
  <c r="F157" i="16"/>
  <c r="I156" i="16"/>
  <c r="H156" i="16"/>
  <c r="F156" i="16"/>
  <c r="I155" i="16"/>
  <c r="H155" i="16"/>
  <c r="F155" i="16"/>
  <c r="I154" i="16"/>
  <c r="H154" i="16"/>
  <c r="F154" i="16"/>
  <c r="I153" i="16"/>
  <c r="H153" i="16"/>
  <c r="F153" i="16"/>
  <c r="I152" i="16"/>
  <c r="H152" i="16"/>
  <c r="F152" i="16"/>
  <c r="I151" i="16"/>
  <c r="H151" i="16"/>
  <c r="F151" i="16"/>
  <c r="I150" i="16"/>
  <c r="H150" i="16"/>
  <c r="F150" i="16"/>
  <c r="I149" i="16"/>
  <c r="H149" i="16"/>
  <c r="F149" i="16"/>
  <c r="I148" i="16"/>
  <c r="H148" i="16"/>
  <c r="F148" i="16"/>
  <c r="I147" i="16"/>
  <c r="H147" i="16"/>
  <c r="F147" i="16"/>
  <c r="I146" i="16"/>
  <c r="H146" i="16"/>
  <c r="F146" i="16"/>
  <c r="I145" i="16"/>
  <c r="H145" i="16"/>
  <c r="F145" i="16"/>
  <c r="I144" i="16"/>
  <c r="H144" i="16"/>
  <c r="F144" i="16"/>
  <c r="I143" i="16"/>
  <c r="H143" i="16"/>
  <c r="F143" i="16"/>
  <c r="I142" i="16"/>
  <c r="H142" i="16"/>
  <c r="F142" i="16"/>
  <c r="I141" i="16"/>
  <c r="H141" i="16"/>
  <c r="F141" i="16"/>
  <c r="I140" i="16"/>
  <c r="H140" i="16"/>
  <c r="F140" i="16"/>
  <c r="BK138" i="16"/>
  <c r="BK139" i="16"/>
  <c r="BK140" i="16"/>
  <c r="BK141" i="16"/>
  <c r="BK142" i="16"/>
  <c r="BK143" i="16"/>
  <c r="BK144" i="16"/>
  <c r="BK145" i="16"/>
  <c r="BK146" i="16"/>
  <c r="BK147" i="16"/>
  <c r="BK148" i="16"/>
  <c r="BK149" i="16"/>
  <c r="BK150" i="16"/>
  <c r="BK151" i="16"/>
  <c r="BK152" i="16"/>
  <c r="BK153" i="16"/>
  <c r="BK154" i="16"/>
  <c r="BK155" i="16"/>
  <c r="BK156" i="16"/>
  <c r="BK157" i="16"/>
  <c r="BK158" i="16"/>
  <c r="BK159" i="16"/>
  <c r="BK160" i="16"/>
  <c r="BK161" i="16"/>
  <c r="BK162" i="16"/>
  <c r="BK163" i="16"/>
  <c r="BK164" i="16"/>
  <c r="BK165" i="16"/>
  <c r="BK166" i="16"/>
  <c r="BK167" i="16"/>
  <c r="BK168" i="16"/>
  <c r="BK169" i="16"/>
  <c r="BK170" i="16"/>
  <c r="BK171" i="16"/>
  <c r="BK172" i="16"/>
  <c r="BK173" i="16"/>
  <c r="BK174" i="16"/>
  <c r="BK175" i="16"/>
  <c r="BK176" i="16"/>
  <c r="BK177" i="16"/>
  <c r="BK178" i="16"/>
  <c r="BK179" i="16"/>
  <c r="BK180" i="16"/>
  <c r="BK181" i="16"/>
  <c r="BK182" i="16"/>
  <c r="BK183" i="16"/>
  <c r="BK184" i="16"/>
  <c r="BK185" i="16"/>
  <c r="BK186" i="16"/>
  <c r="BK187" i="16"/>
  <c r="BK188" i="16"/>
  <c r="BK189" i="16"/>
  <c r="BK190" i="16"/>
  <c r="BK191" i="16"/>
  <c r="BK192" i="16"/>
  <c r="BK193" i="16"/>
  <c r="BK194" i="16"/>
  <c r="BK195" i="16"/>
  <c r="BK196" i="16"/>
  <c r="BK197" i="16"/>
  <c r="BK198" i="16"/>
  <c r="BK199" i="16"/>
  <c r="BK200" i="16"/>
  <c r="BK201" i="16"/>
  <c r="BK202" i="16"/>
  <c r="BK203" i="16"/>
  <c r="BK204" i="16"/>
  <c r="BK205" i="16"/>
  <c r="BK206" i="16"/>
  <c r="BK207" i="16"/>
  <c r="BK208" i="16"/>
  <c r="BK209" i="16"/>
  <c r="BK210" i="16"/>
  <c r="BK211" i="16"/>
  <c r="BK212" i="16"/>
  <c r="BK213" i="16"/>
  <c r="BK214" i="16"/>
  <c r="BK215" i="16"/>
  <c r="BK216" i="16"/>
  <c r="BK217" i="16"/>
  <c r="BK218" i="16"/>
  <c r="BK219" i="16"/>
  <c r="BK220" i="16"/>
  <c r="BK221" i="16"/>
  <c r="BK222" i="16"/>
  <c r="BK223" i="16"/>
  <c r="BK224" i="16"/>
  <c r="BK225" i="16"/>
  <c r="BK226" i="16"/>
  <c r="BK227" i="16"/>
  <c r="BK228" i="16"/>
  <c r="BK229" i="16"/>
  <c r="BK230" i="16"/>
  <c r="BK231" i="16"/>
  <c r="BK232" i="16"/>
  <c r="BK233" i="16"/>
  <c r="BK234" i="16"/>
  <c r="BK235" i="16"/>
  <c r="BK236" i="16"/>
  <c r="BK237" i="16"/>
  <c r="BK238" i="16"/>
  <c r="BK239" i="16"/>
  <c r="BK240" i="16"/>
  <c r="BK241" i="16"/>
  <c r="BK242" i="16"/>
  <c r="BK243" i="16"/>
  <c r="BK244" i="16"/>
  <c r="BK245" i="16"/>
  <c r="BK246" i="16"/>
  <c r="BK247" i="16"/>
  <c r="BK248" i="16"/>
  <c r="BK249" i="16"/>
  <c r="BK250" i="16"/>
  <c r="BK251" i="16"/>
  <c r="BK252" i="16"/>
  <c r="BK253" i="16"/>
  <c r="BK254" i="16"/>
  <c r="BK255" i="16"/>
  <c r="BK256" i="16"/>
  <c r="BK257" i="16"/>
  <c r="BK258" i="16"/>
  <c r="BK259" i="16"/>
  <c r="BK260" i="16"/>
  <c r="BK261" i="16"/>
  <c r="BK262" i="16"/>
  <c r="BK263" i="16"/>
  <c r="BK264" i="16"/>
  <c r="BK265" i="16"/>
  <c r="BK266" i="16"/>
  <c r="BK267" i="16"/>
  <c r="BK268" i="16"/>
  <c r="BK269" i="16"/>
  <c r="BK270" i="16"/>
  <c r="BK271" i="16"/>
  <c r="BK272" i="16"/>
  <c r="BK273" i="16"/>
  <c r="BK274" i="16"/>
  <c r="BK275" i="16"/>
  <c r="BK276" i="16"/>
  <c r="BK277" i="16"/>
  <c r="BK278" i="16"/>
  <c r="BK279" i="16"/>
  <c r="BK280" i="16"/>
  <c r="BK281" i="16"/>
  <c r="BK282" i="16"/>
  <c r="BK283" i="16"/>
  <c r="BK284" i="16"/>
  <c r="BK285" i="16"/>
  <c r="BK286" i="16"/>
  <c r="BK287" i="16"/>
  <c r="BK288" i="16"/>
  <c r="BK289" i="16"/>
  <c r="BK290" i="16"/>
  <c r="BK291" i="16"/>
  <c r="BK292" i="16"/>
  <c r="BK293" i="16"/>
  <c r="BK294" i="16"/>
  <c r="BK295" i="16"/>
  <c r="BK296" i="16"/>
  <c r="BK297" i="16"/>
  <c r="BK298" i="16"/>
  <c r="BK299" i="16"/>
  <c r="BK300" i="16"/>
  <c r="BK301" i="16"/>
  <c r="BK302" i="16"/>
  <c r="BK303" i="16"/>
  <c r="BK304" i="16"/>
  <c r="BK305" i="16"/>
  <c r="BK306" i="16"/>
  <c r="BK307" i="16"/>
  <c r="BK308" i="16"/>
  <c r="BK309" i="16"/>
  <c r="BK310" i="16"/>
  <c r="BK311" i="16"/>
  <c r="BK312" i="16"/>
  <c r="BK313" i="16"/>
  <c r="BK314" i="16"/>
  <c r="BK315" i="16"/>
  <c r="BK316" i="16"/>
  <c r="BK317" i="16"/>
  <c r="BK318" i="16"/>
  <c r="BK319" i="16"/>
  <c r="BK320" i="16"/>
  <c r="BK321" i="16"/>
  <c r="BK322" i="16"/>
  <c r="BK323" i="16"/>
  <c r="BK324" i="16"/>
  <c r="BK325" i="16"/>
  <c r="BK326" i="16"/>
  <c r="BK327" i="16"/>
  <c r="BK328" i="16"/>
  <c r="BK329" i="16"/>
  <c r="BL138" i="16"/>
  <c r="BL139" i="16"/>
  <c r="BL140" i="16"/>
  <c r="BL141" i="16"/>
  <c r="BL142" i="16"/>
  <c r="BL143" i="16"/>
  <c r="BL144" i="16"/>
  <c r="BL145" i="16"/>
  <c r="BL146" i="16"/>
  <c r="BL147" i="16"/>
  <c r="BL148" i="16"/>
  <c r="BL149" i="16"/>
  <c r="BL150" i="16"/>
  <c r="BL151" i="16"/>
  <c r="BL152" i="16"/>
  <c r="BL153" i="16"/>
  <c r="BL154" i="16"/>
  <c r="BL155" i="16"/>
  <c r="BL156" i="16"/>
  <c r="BL157" i="16"/>
  <c r="BL158" i="16"/>
  <c r="BL159" i="16"/>
  <c r="BL160" i="16"/>
  <c r="BL161" i="16"/>
  <c r="BL162" i="16"/>
  <c r="BL163" i="16"/>
  <c r="BL164" i="16"/>
  <c r="BL165" i="16"/>
  <c r="BL166" i="16"/>
  <c r="BL167" i="16"/>
  <c r="BL168" i="16"/>
  <c r="BL169" i="16"/>
  <c r="BL170" i="16"/>
  <c r="BL171" i="16"/>
  <c r="BL172" i="16"/>
  <c r="BL173" i="16"/>
  <c r="BL174" i="16"/>
  <c r="BL175" i="16"/>
  <c r="BL176" i="16"/>
  <c r="BL177" i="16"/>
  <c r="BL178" i="16"/>
  <c r="BL179" i="16"/>
  <c r="BL180" i="16"/>
  <c r="BL181" i="16"/>
  <c r="BL182" i="16"/>
  <c r="BL183" i="16"/>
  <c r="BL184" i="16"/>
  <c r="BL185" i="16"/>
  <c r="BL186" i="16"/>
  <c r="BL187" i="16"/>
  <c r="BL188" i="16"/>
  <c r="BL189" i="16"/>
  <c r="BL190" i="16"/>
  <c r="BL191" i="16"/>
  <c r="BL192" i="16"/>
  <c r="BL193" i="16"/>
  <c r="BL194" i="16"/>
  <c r="BL195" i="16"/>
  <c r="BL196" i="16"/>
  <c r="BL197" i="16"/>
  <c r="BL198" i="16"/>
  <c r="BL199" i="16"/>
  <c r="BL200" i="16"/>
  <c r="BL201" i="16"/>
  <c r="BL202" i="16"/>
  <c r="BL203" i="16"/>
  <c r="BL204" i="16"/>
  <c r="BL205" i="16"/>
  <c r="BL206" i="16"/>
  <c r="BL207" i="16"/>
  <c r="BL208" i="16"/>
  <c r="BL209" i="16"/>
  <c r="BL210" i="16"/>
  <c r="BL211" i="16"/>
  <c r="BL212" i="16"/>
  <c r="BL213" i="16"/>
  <c r="BL214" i="16"/>
  <c r="BL215" i="16"/>
  <c r="BL216" i="16"/>
  <c r="BL217" i="16"/>
  <c r="BL218" i="16"/>
  <c r="BL219" i="16"/>
  <c r="BL220" i="16"/>
  <c r="BL221" i="16"/>
  <c r="BL222" i="16"/>
  <c r="BL223" i="16"/>
  <c r="BL224" i="16"/>
  <c r="BL225" i="16"/>
  <c r="BL226" i="16"/>
  <c r="BL227" i="16"/>
  <c r="BL228" i="16"/>
  <c r="BL229" i="16"/>
  <c r="BL230" i="16"/>
  <c r="BL231" i="16"/>
  <c r="BL232" i="16"/>
  <c r="BL233" i="16"/>
  <c r="BL234" i="16"/>
  <c r="BL235" i="16"/>
  <c r="BL236" i="16"/>
  <c r="BL237" i="16"/>
  <c r="BL238" i="16"/>
  <c r="BL239" i="16"/>
  <c r="BL240" i="16"/>
  <c r="BL241" i="16"/>
  <c r="BL242" i="16"/>
  <c r="BL243" i="16"/>
  <c r="BL244" i="16"/>
  <c r="BL245" i="16"/>
  <c r="BL246" i="16"/>
  <c r="BL247" i="16"/>
  <c r="BL248" i="16"/>
  <c r="BL249" i="16"/>
  <c r="BL250" i="16"/>
  <c r="BL251" i="16"/>
  <c r="BL252" i="16"/>
  <c r="BL253" i="16"/>
  <c r="BL254" i="16"/>
  <c r="BL255" i="16"/>
  <c r="BL256" i="16"/>
  <c r="BL257" i="16"/>
  <c r="BL258" i="16"/>
  <c r="BL259" i="16"/>
  <c r="BL260" i="16"/>
  <c r="BL261" i="16"/>
  <c r="BL262" i="16"/>
  <c r="BL263" i="16"/>
  <c r="BL264" i="16"/>
  <c r="BL265" i="16"/>
  <c r="BL266" i="16"/>
  <c r="BL267" i="16"/>
  <c r="BL268" i="16"/>
  <c r="BL269" i="16"/>
  <c r="BL270" i="16"/>
  <c r="BL271" i="16"/>
  <c r="BL272" i="16"/>
  <c r="BL273" i="16"/>
  <c r="BL274" i="16"/>
  <c r="BL275" i="16"/>
  <c r="BL276" i="16"/>
  <c r="BL277" i="16"/>
  <c r="BL278" i="16"/>
  <c r="BL279" i="16"/>
  <c r="BL280" i="16"/>
  <c r="BL281" i="16"/>
  <c r="BL282" i="16"/>
  <c r="BL283" i="16"/>
  <c r="BL284" i="16"/>
  <c r="BL285" i="16"/>
  <c r="BL286" i="16"/>
  <c r="BL287" i="16"/>
  <c r="BL288" i="16"/>
  <c r="BL289" i="16"/>
  <c r="BL290" i="16"/>
  <c r="BL291" i="16"/>
  <c r="BL292" i="16"/>
  <c r="BL293" i="16"/>
  <c r="BL294" i="16"/>
  <c r="BL295" i="16"/>
  <c r="BL296" i="16"/>
  <c r="BL297" i="16"/>
  <c r="BL298" i="16"/>
  <c r="BL299" i="16"/>
  <c r="BL300" i="16"/>
  <c r="BL301" i="16"/>
  <c r="BL302" i="16"/>
  <c r="BL303" i="16"/>
  <c r="BL304" i="16"/>
  <c r="BL305" i="16"/>
  <c r="BL306" i="16"/>
  <c r="BL307" i="16"/>
  <c r="BL308" i="16"/>
  <c r="BL309" i="16"/>
  <c r="BL310" i="16"/>
  <c r="BL311" i="16"/>
  <c r="BL312" i="16"/>
  <c r="BL313" i="16"/>
  <c r="BL314" i="16"/>
  <c r="BL315" i="16"/>
  <c r="BL316" i="16"/>
  <c r="BL317" i="16"/>
  <c r="BL318" i="16"/>
  <c r="BL319" i="16"/>
  <c r="BL320" i="16"/>
  <c r="BL321" i="16"/>
  <c r="BL322" i="16"/>
  <c r="BL323" i="16"/>
  <c r="BL324" i="16"/>
  <c r="BL325" i="16"/>
  <c r="BL326" i="16"/>
  <c r="BL327" i="16"/>
  <c r="BL328" i="16"/>
  <c r="BL329" i="16"/>
  <c r="BM138" i="16"/>
  <c r="BM139" i="16"/>
  <c r="BM140" i="16"/>
  <c r="BM141" i="16"/>
  <c r="BM142" i="16"/>
  <c r="BM143" i="16"/>
  <c r="BM144" i="16"/>
  <c r="BM145" i="16"/>
  <c r="BM146" i="16"/>
  <c r="BM147" i="16"/>
  <c r="BM148" i="16"/>
  <c r="BM149" i="16"/>
  <c r="BM150" i="16"/>
  <c r="BM151" i="16"/>
  <c r="BM152" i="16"/>
  <c r="BM153" i="16"/>
  <c r="BM154" i="16"/>
  <c r="BM155" i="16"/>
  <c r="BM156" i="16"/>
  <c r="BM157" i="16"/>
  <c r="BM158" i="16"/>
  <c r="BM159" i="16"/>
  <c r="BM160" i="16"/>
  <c r="BM161" i="16"/>
  <c r="BM162" i="16"/>
  <c r="BM163" i="16"/>
  <c r="BM164" i="16"/>
  <c r="BM165" i="16"/>
  <c r="BM166" i="16"/>
  <c r="BM167" i="16"/>
  <c r="BM168" i="16"/>
  <c r="BM169" i="16"/>
  <c r="BM170" i="16"/>
  <c r="BM171" i="16"/>
  <c r="BM172" i="16"/>
  <c r="BM173" i="16"/>
  <c r="BM174" i="16"/>
  <c r="BM175" i="16"/>
  <c r="BM176" i="16"/>
  <c r="BM177" i="16"/>
  <c r="BM178" i="16"/>
  <c r="BM179" i="16"/>
  <c r="BM180" i="16"/>
  <c r="BM181" i="16"/>
  <c r="BM182" i="16"/>
  <c r="BM183" i="16"/>
  <c r="BM184" i="16"/>
  <c r="BM185" i="16"/>
  <c r="BM186" i="16"/>
  <c r="BM187" i="16"/>
  <c r="BM188" i="16"/>
  <c r="BM189" i="16"/>
  <c r="BM190" i="16"/>
  <c r="BM191" i="16"/>
  <c r="BM192" i="16"/>
  <c r="BM193" i="16"/>
  <c r="BM194" i="16"/>
  <c r="BM195" i="16"/>
  <c r="BM196" i="16"/>
  <c r="BM197" i="16"/>
  <c r="BM198" i="16"/>
  <c r="BM199" i="16"/>
  <c r="BM200" i="16"/>
  <c r="BM201" i="16"/>
  <c r="BM202" i="16"/>
  <c r="BM203" i="16"/>
  <c r="BM204" i="16"/>
  <c r="BM205" i="16"/>
  <c r="BM206" i="16"/>
  <c r="BM207" i="16"/>
  <c r="BM208" i="16"/>
  <c r="BM209" i="16"/>
  <c r="BM210" i="16"/>
  <c r="BM211" i="16"/>
  <c r="BM212" i="16"/>
  <c r="BM213" i="16"/>
  <c r="BM214" i="16"/>
  <c r="BM215" i="16"/>
  <c r="BM216" i="16"/>
  <c r="BM217" i="16"/>
  <c r="BM218" i="16"/>
  <c r="BM219" i="16"/>
  <c r="BM220" i="16"/>
  <c r="BM221" i="16"/>
  <c r="BM222" i="16"/>
  <c r="BM223" i="16"/>
  <c r="BM224" i="16"/>
  <c r="BM225" i="16"/>
  <c r="BM226" i="16"/>
  <c r="BM227" i="16"/>
  <c r="BM228" i="16"/>
  <c r="BM229" i="16"/>
  <c r="BM230" i="16"/>
  <c r="BM231" i="16"/>
  <c r="BM232" i="16"/>
  <c r="BM233" i="16"/>
  <c r="BM234" i="16"/>
  <c r="BM235" i="16"/>
  <c r="BM236" i="16"/>
  <c r="BM237" i="16"/>
  <c r="BM238" i="16"/>
  <c r="BM239" i="16"/>
  <c r="BM240" i="16"/>
  <c r="BM241" i="16"/>
  <c r="BM242" i="16"/>
  <c r="BM243" i="16"/>
  <c r="BM244" i="16"/>
  <c r="BM245" i="16"/>
  <c r="BM246" i="16"/>
  <c r="BM247" i="16"/>
  <c r="BM248" i="16"/>
  <c r="BM249" i="16"/>
  <c r="BM250" i="16"/>
  <c r="BM251" i="16"/>
  <c r="BM252" i="16"/>
  <c r="BM253" i="16"/>
  <c r="BM254" i="16"/>
  <c r="BM255" i="16"/>
  <c r="BM256" i="16"/>
  <c r="BM257" i="16"/>
  <c r="BM258" i="16"/>
  <c r="BM259" i="16"/>
  <c r="BM260" i="16"/>
  <c r="BM261" i="16"/>
  <c r="BM262" i="16"/>
  <c r="BM263" i="16"/>
  <c r="BM264" i="16"/>
  <c r="BM265" i="16"/>
  <c r="BM266" i="16"/>
  <c r="BM267" i="16"/>
  <c r="BM268" i="16"/>
  <c r="BM269" i="16"/>
  <c r="BM270" i="16"/>
  <c r="BM271" i="16"/>
  <c r="BM272" i="16"/>
  <c r="BM273" i="16"/>
  <c r="BM274" i="16"/>
  <c r="BM275" i="16"/>
  <c r="BM276" i="16"/>
  <c r="BM277" i="16"/>
  <c r="BM278" i="16"/>
  <c r="BM279" i="16"/>
  <c r="BM280" i="16"/>
  <c r="BM281" i="16"/>
  <c r="BM282" i="16"/>
  <c r="BM283" i="16"/>
  <c r="BM284" i="16"/>
  <c r="BM285" i="16"/>
  <c r="BM286" i="16"/>
  <c r="BM287" i="16"/>
  <c r="BM288" i="16"/>
  <c r="BM289" i="16"/>
  <c r="BM290" i="16"/>
  <c r="BM291" i="16"/>
  <c r="BM292" i="16"/>
  <c r="BM293" i="16"/>
  <c r="BM294" i="16"/>
  <c r="BM295" i="16"/>
  <c r="BM296" i="16"/>
  <c r="BM297" i="16"/>
  <c r="BM298" i="16"/>
  <c r="BM299" i="16"/>
  <c r="BM300" i="16"/>
  <c r="BM301" i="16"/>
  <c r="BM302" i="16"/>
  <c r="BM303" i="16"/>
  <c r="BM304" i="16"/>
  <c r="BM305" i="16"/>
  <c r="BM306" i="16"/>
  <c r="BM307" i="16"/>
  <c r="BM308" i="16"/>
  <c r="BM309" i="16"/>
  <c r="BM310" i="16"/>
  <c r="BM311" i="16"/>
  <c r="BM312" i="16"/>
  <c r="BM313" i="16"/>
  <c r="BM314" i="16"/>
  <c r="BM315" i="16"/>
  <c r="BM316" i="16"/>
  <c r="BM317" i="16"/>
  <c r="BM318" i="16"/>
  <c r="BM319" i="16"/>
  <c r="BM320" i="16"/>
  <c r="BM321" i="16"/>
  <c r="BM322" i="16"/>
  <c r="BM323" i="16"/>
  <c r="BM324" i="16"/>
  <c r="BM325" i="16"/>
  <c r="BM326" i="16"/>
  <c r="BM327" i="16"/>
  <c r="BM328" i="16"/>
  <c r="BM329" i="16"/>
  <c r="AY138" i="16"/>
  <c r="AY139" i="16"/>
  <c r="AY140" i="16"/>
  <c r="AY141" i="16"/>
  <c r="AY142" i="16"/>
  <c r="AY143" i="16"/>
  <c r="AY144" i="16"/>
  <c r="AY145" i="16"/>
  <c r="AY146" i="16"/>
  <c r="AY147" i="16"/>
  <c r="AY148" i="16"/>
  <c r="AY149" i="16"/>
  <c r="AY150" i="16"/>
  <c r="AY151" i="16"/>
  <c r="AY152" i="16"/>
  <c r="AY153" i="16"/>
  <c r="AY154" i="16"/>
  <c r="AY155" i="16"/>
  <c r="AY156" i="16"/>
  <c r="AY157" i="16"/>
  <c r="AY158" i="16"/>
  <c r="AY159" i="16"/>
  <c r="AY160" i="16"/>
  <c r="AY161" i="16"/>
  <c r="AY162" i="16"/>
  <c r="AY163" i="16"/>
  <c r="AY164" i="16"/>
  <c r="AY165" i="16"/>
  <c r="AY166" i="16"/>
  <c r="AY167" i="16"/>
  <c r="AY168" i="16"/>
  <c r="AY169" i="16"/>
  <c r="AY170" i="16"/>
  <c r="AY171" i="16"/>
  <c r="AY172" i="16"/>
  <c r="AY173" i="16"/>
  <c r="AY174" i="16"/>
  <c r="AY175" i="16"/>
  <c r="AY176" i="16"/>
  <c r="AY177" i="16"/>
  <c r="AY178" i="16"/>
  <c r="AY179" i="16"/>
  <c r="AY180" i="16"/>
  <c r="AY181" i="16"/>
  <c r="AY182" i="16"/>
  <c r="AY183" i="16"/>
  <c r="AY184" i="16"/>
  <c r="AY185" i="16"/>
  <c r="AY186" i="16"/>
  <c r="AY187" i="16"/>
  <c r="AY188" i="16"/>
  <c r="AY189" i="16"/>
  <c r="AY190" i="16"/>
  <c r="AY191" i="16"/>
  <c r="AY192" i="16"/>
  <c r="AY193" i="16"/>
  <c r="AY194" i="16"/>
  <c r="AY195" i="16"/>
  <c r="AY196" i="16"/>
  <c r="AY197" i="16"/>
  <c r="AY198" i="16"/>
  <c r="AY199" i="16"/>
  <c r="AY200" i="16"/>
  <c r="AY201" i="16"/>
  <c r="AY202" i="16"/>
  <c r="AY203" i="16"/>
  <c r="AY204" i="16"/>
  <c r="AY205" i="16"/>
  <c r="AY206" i="16"/>
  <c r="AY207" i="16"/>
  <c r="AY208" i="16"/>
  <c r="AY209" i="16"/>
  <c r="AY210" i="16"/>
  <c r="AY211" i="16"/>
  <c r="AY212" i="16"/>
  <c r="AY213" i="16"/>
  <c r="AY214" i="16"/>
  <c r="AY215" i="16"/>
  <c r="AY216" i="16"/>
  <c r="AY217" i="16"/>
  <c r="AY218" i="16"/>
  <c r="AY219" i="16"/>
  <c r="AY220" i="16"/>
  <c r="AY221" i="16"/>
  <c r="AY222" i="16"/>
  <c r="AY223" i="16"/>
  <c r="AY224" i="16"/>
  <c r="AY225" i="16"/>
  <c r="AY226" i="16"/>
  <c r="AY227" i="16"/>
  <c r="AY228" i="16"/>
  <c r="AY229" i="16"/>
  <c r="AY230" i="16"/>
  <c r="AY231" i="16"/>
  <c r="AY232" i="16"/>
  <c r="AY233" i="16"/>
  <c r="AY234" i="16"/>
  <c r="AY235" i="16"/>
  <c r="AY236" i="16"/>
  <c r="AY237" i="16"/>
  <c r="AY238" i="16"/>
  <c r="AY239" i="16"/>
  <c r="AY240" i="16"/>
  <c r="AY241" i="16"/>
  <c r="AY242" i="16"/>
  <c r="AY243" i="16"/>
  <c r="AY244" i="16"/>
  <c r="AY245" i="16"/>
  <c r="AY246" i="16"/>
  <c r="AY247" i="16"/>
  <c r="AY248" i="16"/>
  <c r="AY249" i="16"/>
  <c r="AY250" i="16"/>
  <c r="AY251" i="16"/>
  <c r="AY252" i="16"/>
  <c r="AY253" i="16"/>
  <c r="AY254" i="16"/>
  <c r="AY255" i="16"/>
  <c r="AY256" i="16"/>
  <c r="AY257" i="16"/>
  <c r="AY258" i="16"/>
  <c r="AY259" i="16"/>
  <c r="AY260" i="16"/>
  <c r="AY261" i="16"/>
  <c r="AY262" i="16"/>
  <c r="AY263" i="16"/>
  <c r="AY264" i="16"/>
  <c r="AY265" i="16"/>
  <c r="AY266" i="16"/>
  <c r="AY267" i="16"/>
  <c r="AY268" i="16"/>
  <c r="AY269" i="16"/>
  <c r="AY270" i="16"/>
  <c r="AY271" i="16"/>
  <c r="AY272" i="16"/>
  <c r="AY273" i="16"/>
  <c r="AY274" i="16"/>
  <c r="AY275" i="16"/>
  <c r="AY276" i="16"/>
  <c r="AY277" i="16"/>
  <c r="AY278" i="16"/>
  <c r="AY279" i="16"/>
  <c r="AY280" i="16"/>
  <c r="AY281" i="16"/>
  <c r="AY282" i="16"/>
  <c r="AY283" i="16"/>
  <c r="AY284" i="16"/>
  <c r="AY285" i="16"/>
  <c r="AY286" i="16"/>
  <c r="AY287" i="16"/>
  <c r="AY288" i="16"/>
  <c r="AY289" i="16"/>
  <c r="AY290" i="16"/>
  <c r="AY291" i="16"/>
  <c r="AY292" i="16"/>
  <c r="AY293" i="16"/>
  <c r="AY294" i="16"/>
  <c r="AY295" i="16"/>
  <c r="AY296" i="16"/>
  <c r="AY297" i="16"/>
  <c r="AY298" i="16"/>
  <c r="AY299" i="16"/>
  <c r="AY300" i="16"/>
  <c r="AY301" i="16"/>
  <c r="AY302" i="16"/>
  <c r="AY303" i="16"/>
  <c r="AY304" i="16"/>
  <c r="AY305" i="16"/>
  <c r="AY306" i="16"/>
  <c r="AY307" i="16"/>
  <c r="AY308" i="16"/>
  <c r="AY309" i="16"/>
  <c r="AY310" i="16"/>
  <c r="AY311" i="16"/>
  <c r="AY312" i="16"/>
  <c r="AY313" i="16"/>
  <c r="AY314" i="16"/>
  <c r="AY315" i="16"/>
  <c r="AY316" i="16"/>
  <c r="AY317" i="16"/>
  <c r="AY318" i="16"/>
  <c r="AY319" i="16"/>
  <c r="AY320" i="16"/>
  <c r="AY321" i="16"/>
  <c r="AY322" i="16"/>
  <c r="AY323" i="16"/>
  <c r="AY324" i="16"/>
  <c r="AY325" i="16"/>
  <c r="AY326" i="16"/>
  <c r="AY327" i="16"/>
  <c r="AY328" i="16"/>
  <c r="AY329" i="16"/>
  <c r="AY330" i="16"/>
  <c r="AZ138" i="16"/>
  <c r="AZ139" i="16"/>
  <c r="AZ140" i="16"/>
  <c r="AZ141" i="16"/>
  <c r="AZ142" i="16"/>
  <c r="AZ143" i="16"/>
  <c r="AZ144" i="16"/>
  <c r="AZ145" i="16"/>
  <c r="AZ146" i="16"/>
  <c r="AZ147" i="16"/>
  <c r="AZ148" i="16"/>
  <c r="AZ149" i="16"/>
  <c r="AZ150" i="16"/>
  <c r="AZ151" i="16"/>
  <c r="AZ152" i="16"/>
  <c r="AZ153" i="16"/>
  <c r="AZ154" i="16"/>
  <c r="AZ155" i="16"/>
  <c r="AZ156" i="16"/>
  <c r="AZ157" i="16"/>
  <c r="AZ158" i="16"/>
  <c r="AZ159" i="16"/>
  <c r="AZ160" i="16"/>
  <c r="AZ161" i="16"/>
  <c r="AZ162" i="16"/>
  <c r="AZ163" i="16"/>
  <c r="AZ164" i="16"/>
  <c r="AZ165" i="16"/>
  <c r="AZ166" i="16"/>
  <c r="AZ167" i="16"/>
  <c r="AZ168" i="16"/>
  <c r="AZ169" i="16"/>
  <c r="AZ170" i="16"/>
  <c r="AZ171" i="16"/>
  <c r="AZ172" i="16"/>
  <c r="AZ173" i="16"/>
  <c r="AZ174" i="16"/>
  <c r="AZ175" i="16"/>
  <c r="AZ176" i="16"/>
  <c r="AZ177" i="16"/>
  <c r="AZ178" i="16"/>
  <c r="AZ179" i="16"/>
  <c r="AZ180" i="16"/>
  <c r="AZ181" i="16"/>
  <c r="AZ182" i="16"/>
  <c r="AZ183" i="16"/>
  <c r="AZ184" i="16"/>
  <c r="AZ185" i="16"/>
  <c r="AZ186" i="16"/>
  <c r="AZ187" i="16"/>
  <c r="AZ188" i="16"/>
  <c r="AZ189" i="16"/>
  <c r="AZ190" i="16"/>
  <c r="AZ191" i="16"/>
  <c r="AZ192" i="16"/>
  <c r="AZ193" i="16"/>
  <c r="AZ194" i="16"/>
  <c r="AZ195" i="16"/>
  <c r="AZ196" i="16"/>
  <c r="AZ197" i="16"/>
  <c r="AZ198" i="16"/>
  <c r="AZ199" i="16"/>
  <c r="AZ200" i="16"/>
  <c r="AZ201" i="16"/>
  <c r="AZ202" i="16"/>
  <c r="AZ203" i="16"/>
  <c r="AZ204" i="16"/>
  <c r="AZ205" i="16"/>
  <c r="AZ206" i="16"/>
  <c r="AZ207" i="16"/>
  <c r="AZ208" i="16"/>
  <c r="AZ209" i="16"/>
  <c r="AZ210" i="16"/>
  <c r="AZ211" i="16"/>
  <c r="AZ212" i="16"/>
  <c r="AZ213" i="16"/>
  <c r="AZ214" i="16"/>
  <c r="AZ215" i="16"/>
  <c r="AZ216" i="16"/>
  <c r="AZ217" i="16"/>
  <c r="AZ218" i="16"/>
  <c r="AZ219" i="16"/>
  <c r="AZ220" i="16"/>
  <c r="AZ221" i="16"/>
  <c r="AZ222" i="16"/>
  <c r="AZ223" i="16"/>
  <c r="AZ224" i="16"/>
  <c r="AZ225" i="16"/>
  <c r="AZ226" i="16"/>
  <c r="AZ227" i="16"/>
  <c r="AZ228" i="16"/>
  <c r="AZ229" i="16"/>
  <c r="AZ230" i="16"/>
  <c r="AZ231" i="16"/>
  <c r="AZ232" i="16"/>
  <c r="AZ233" i="16"/>
  <c r="AZ234" i="16"/>
  <c r="AZ235" i="16"/>
  <c r="AZ236" i="16"/>
  <c r="AZ237" i="16"/>
  <c r="AZ238" i="16"/>
  <c r="AZ239" i="16"/>
  <c r="AZ240" i="16"/>
  <c r="AZ241" i="16"/>
  <c r="AZ242" i="16"/>
  <c r="AZ243" i="16"/>
  <c r="AZ244" i="16"/>
  <c r="AZ245" i="16"/>
  <c r="AZ246" i="16"/>
  <c r="AZ247" i="16"/>
  <c r="AZ248" i="16"/>
  <c r="AZ249" i="16"/>
  <c r="AZ250" i="16"/>
  <c r="AZ251" i="16"/>
  <c r="AZ252" i="16"/>
  <c r="AZ253" i="16"/>
  <c r="AZ254" i="16"/>
  <c r="AZ255" i="16"/>
  <c r="AZ256" i="16"/>
  <c r="AZ257" i="16"/>
  <c r="AZ258" i="16"/>
  <c r="AZ259" i="16"/>
  <c r="AZ260" i="16"/>
  <c r="AZ261" i="16"/>
  <c r="AZ262" i="16"/>
  <c r="AZ263" i="16"/>
  <c r="AZ264" i="16"/>
  <c r="AZ265" i="16"/>
  <c r="AZ266" i="16"/>
  <c r="AZ267" i="16"/>
  <c r="AZ268" i="16"/>
  <c r="AZ269" i="16"/>
  <c r="AZ270" i="16"/>
  <c r="AZ271" i="16"/>
  <c r="AZ272" i="16"/>
  <c r="AZ273" i="16"/>
  <c r="AZ274" i="16"/>
  <c r="AZ275" i="16"/>
  <c r="AZ276" i="16"/>
  <c r="AZ277" i="16"/>
  <c r="AZ278" i="16"/>
  <c r="AZ279" i="16"/>
  <c r="AZ280" i="16"/>
  <c r="AZ281" i="16"/>
  <c r="AZ282" i="16"/>
  <c r="AZ283" i="16"/>
  <c r="AZ284" i="16"/>
  <c r="AZ285" i="16"/>
  <c r="AZ286" i="16"/>
  <c r="AZ287" i="16"/>
  <c r="AZ288" i="16"/>
  <c r="AZ289" i="16"/>
  <c r="AZ290" i="16"/>
  <c r="AZ291" i="16"/>
  <c r="AZ292" i="16"/>
  <c r="AZ293" i="16"/>
  <c r="AZ294" i="16"/>
  <c r="AZ295" i="16"/>
  <c r="AZ296" i="16"/>
  <c r="AZ297" i="16"/>
  <c r="AZ298" i="16"/>
  <c r="AZ299" i="16"/>
  <c r="AZ300" i="16"/>
  <c r="AZ301" i="16"/>
  <c r="AZ302" i="16"/>
  <c r="AZ303" i="16"/>
  <c r="AZ304" i="16"/>
  <c r="AZ305" i="16"/>
  <c r="AZ306" i="16"/>
  <c r="AZ307" i="16"/>
  <c r="AZ308" i="16"/>
  <c r="AZ309" i="16"/>
  <c r="AZ310" i="16"/>
  <c r="AZ311" i="16"/>
  <c r="AZ312" i="16"/>
  <c r="AZ313" i="16"/>
  <c r="AZ314" i="16"/>
  <c r="AZ315" i="16"/>
  <c r="AZ316" i="16"/>
  <c r="AZ317" i="16"/>
  <c r="AZ318" i="16"/>
  <c r="AZ319" i="16"/>
  <c r="AZ320" i="16"/>
  <c r="AZ321" i="16"/>
  <c r="AZ322" i="16"/>
  <c r="AZ323" i="16"/>
  <c r="AZ324" i="16"/>
  <c r="AZ325" i="16"/>
  <c r="AZ326" i="16"/>
  <c r="AZ327" i="16"/>
  <c r="AZ328" i="16"/>
  <c r="AZ329" i="16"/>
  <c r="AZ330" i="16"/>
  <c r="BA138" i="16"/>
  <c r="BA139" i="16"/>
  <c r="BA140" i="16"/>
  <c r="BA141" i="16"/>
  <c r="BA142" i="16"/>
  <c r="BA143" i="16"/>
  <c r="BA144" i="16"/>
  <c r="BA145" i="16"/>
  <c r="BA146" i="16"/>
  <c r="BA147" i="16"/>
  <c r="BA148" i="16"/>
  <c r="BA149" i="16"/>
  <c r="BA150" i="16"/>
  <c r="BA151" i="16"/>
  <c r="BA152" i="16"/>
  <c r="BA153" i="16"/>
  <c r="BA154" i="16"/>
  <c r="BA155" i="16"/>
  <c r="BA156" i="16"/>
  <c r="BA157" i="16"/>
  <c r="BA158" i="16"/>
  <c r="BA159" i="16"/>
  <c r="BA160" i="16"/>
  <c r="BA161" i="16"/>
  <c r="BA162" i="16"/>
  <c r="BA163" i="16"/>
  <c r="BA164" i="16"/>
  <c r="BA165" i="16"/>
  <c r="BA166" i="16"/>
  <c r="BA167" i="16"/>
  <c r="BA168" i="16"/>
  <c r="BA169" i="16"/>
  <c r="BA170" i="16"/>
  <c r="BA171" i="16"/>
  <c r="BA172" i="16"/>
  <c r="BA173" i="16"/>
  <c r="BA174" i="16"/>
  <c r="BA175" i="16"/>
  <c r="BA176" i="16"/>
  <c r="BA177" i="16"/>
  <c r="BA178" i="16"/>
  <c r="BA179" i="16"/>
  <c r="BA180" i="16"/>
  <c r="BA181" i="16"/>
  <c r="BA182" i="16"/>
  <c r="BA183" i="16"/>
  <c r="BA184" i="16"/>
  <c r="BA185" i="16"/>
  <c r="BA186" i="16"/>
  <c r="BA187" i="16"/>
  <c r="BA188" i="16"/>
  <c r="BA189" i="16"/>
  <c r="BA190" i="16"/>
  <c r="BA191" i="16"/>
  <c r="BA192" i="16"/>
  <c r="BA193" i="16"/>
  <c r="BA194" i="16"/>
  <c r="BA195" i="16"/>
  <c r="BA196" i="16"/>
  <c r="BA197" i="16"/>
  <c r="BA198" i="16"/>
  <c r="BA199" i="16"/>
  <c r="BA200" i="16"/>
  <c r="BA201" i="16"/>
  <c r="BA202" i="16"/>
  <c r="BA203" i="16"/>
  <c r="BA204" i="16"/>
  <c r="BA205" i="16"/>
  <c r="BA206" i="16"/>
  <c r="BA207" i="16"/>
  <c r="BA208" i="16"/>
  <c r="BA209" i="16"/>
  <c r="BA210" i="16"/>
  <c r="BA211" i="16"/>
  <c r="BA212" i="16"/>
  <c r="BA213" i="16"/>
  <c r="BA214" i="16"/>
  <c r="BA215" i="16"/>
  <c r="BA216" i="16"/>
  <c r="BA217" i="16"/>
  <c r="BA218" i="16"/>
  <c r="BA219" i="16"/>
  <c r="BA220" i="16"/>
  <c r="BA221" i="16"/>
  <c r="BA222" i="16"/>
  <c r="BA223" i="16"/>
  <c r="BA224" i="16"/>
  <c r="BA225" i="16"/>
  <c r="BA226" i="16"/>
  <c r="BA227" i="16"/>
  <c r="BA228" i="16"/>
  <c r="BA229" i="16"/>
  <c r="BA230" i="16"/>
  <c r="BA231" i="16"/>
  <c r="BA232" i="16"/>
  <c r="BA233" i="16"/>
  <c r="BA234" i="16"/>
  <c r="BA235" i="16"/>
  <c r="BA236" i="16"/>
  <c r="BA237" i="16"/>
  <c r="BA238" i="16"/>
  <c r="BA239" i="16"/>
  <c r="BA240" i="16"/>
  <c r="BA241" i="16"/>
  <c r="BA242" i="16"/>
  <c r="BA243" i="16"/>
  <c r="BA244" i="16"/>
  <c r="BA245" i="16"/>
  <c r="BA246" i="16"/>
  <c r="BA247" i="16"/>
  <c r="BA248" i="16"/>
  <c r="BA249" i="16"/>
  <c r="BA250" i="16"/>
  <c r="BA251" i="16"/>
  <c r="BA252" i="16"/>
  <c r="BA253" i="16"/>
  <c r="BA254" i="16"/>
  <c r="BA255" i="16"/>
  <c r="BA256" i="16"/>
  <c r="BA257" i="16"/>
  <c r="BA258" i="16"/>
  <c r="BA259" i="16"/>
  <c r="BA260" i="16"/>
  <c r="BA261" i="16"/>
  <c r="BA262" i="16"/>
  <c r="BA263" i="16"/>
  <c r="BA264" i="16"/>
  <c r="BA265" i="16"/>
  <c r="BA266" i="16"/>
  <c r="BA267" i="16"/>
  <c r="BA268" i="16"/>
  <c r="BA269" i="16"/>
  <c r="BA270" i="16"/>
  <c r="BA271" i="16"/>
  <c r="BA272" i="16"/>
  <c r="BA273" i="16"/>
  <c r="BA274" i="16"/>
  <c r="BA275" i="16"/>
  <c r="BA276" i="16"/>
  <c r="BA277" i="16"/>
  <c r="BA278" i="16"/>
  <c r="BA279" i="16"/>
  <c r="BA280" i="16"/>
  <c r="BA281" i="16"/>
  <c r="BA282" i="16"/>
  <c r="BA283" i="16"/>
  <c r="BA284" i="16"/>
  <c r="BA285" i="16"/>
  <c r="BA286" i="16"/>
  <c r="BA287" i="16"/>
  <c r="BA288" i="16"/>
  <c r="BA289" i="16"/>
  <c r="BA290" i="16"/>
  <c r="BA291" i="16"/>
  <c r="BA292" i="16"/>
  <c r="BA293" i="16"/>
  <c r="BA294" i="16"/>
  <c r="BA295" i="16"/>
  <c r="BA296" i="16"/>
  <c r="BA297" i="16"/>
  <c r="BA298" i="16"/>
  <c r="BA299" i="16"/>
  <c r="BA300" i="16"/>
  <c r="BA301" i="16"/>
  <c r="BA302" i="16"/>
  <c r="BA303" i="16"/>
  <c r="BA304" i="16"/>
  <c r="BA305" i="16"/>
  <c r="BA306" i="16"/>
  <c r="BA307" i="16"/>
  <c r="BA308" i="16"/>
  <c r="BA309" i="16"/>
  <c r="BA310" i="16"/>
  <c r="BA311" i="16"/>
  <c r="BA312" i="16"/>
  <c r="BA313" i="16"/>
  <c r="BA314" i="16"/>
  <c r="BA315" i="16"/>
  <c r="BA316" i="16"/>
  <c r="BA317" i="16"/>
  <c r="BA318" i="16"/>
  <c r="BA319" i="16"/>
  <c r="BA320" i="16"/>
  <c r="BA321" i="16"/>
  <c r="BA322" i="16"/>
  <c r="BA323" i="16"/>
  <c r="BA324" i="16"/>
  <c r="BA325" i="16"/>
  <c r="BA326" i="16"/>
  <c r="BA327" i="16"/>
  <c r="BA328" i="16"/>
  <c r="BA329" i="16"/>
  <c r="BA330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66" i="16"/>
  <c r="AM167" i="16"/>
  <c r="AM168" i="16"/>
  <c r="AM169" i="16"/>
  <c r="AM170" i="16"/>
  <c r="AM171" i="16"/>
  <c r="AM172" i="16"/>
  <c r="AM173" i="16"/>
  <c r="AM174" i="16"/>
  <c r="AM175" i="16"/>
  <c r="AM176" i="16"/>
  <c r="AM177" i="16"/>
  <c r="AM178" i="16"/>
  <c r="AM179" i="16"/>
  <c r="AM180" i="16"/>
  <c r="AM181" i="16"/>
  <c r="AM182" i="16"/>
  <c r="AM183" i="16"/>
  <c r="AM184" i="16"/>
  <c r="AM185" i="16"/>
  <c r="AM186" i="16"/>
  <c r="AM187" i="16"/>
  <c r="AM188" i="16"/>
  <c r="AM189" i="16"/>
  <c r="AM190" i="16"/>
  <c r="AM191" i="16"/>
  <c r="AM192" i="16"/>
  <c r="AM193" i="16"/>
  <c r="AM194" i="16"/>
  <c r="AM195" i="16"/>
  <c r="AM196" i="16"/>
  <c r="AM197" i="16"/>
  <c r="AM198" i="16"/>
  <c r="AM199" i="16"/>
  <c r="AM200" i="16"/>
  <c r="AM201" i="16"/>
  <c r="AM202" i="16"/>
  <c r="AM203" i="16"/>
  <c r="AM204" i="16"/>
  <c r="AM205" i="16"/>
  <c r="AM206" i="16"/>
  <c r="AM207" i="16"/>
  <c r="AM208" i="16"/>
  <c r="AM209" i="16"/>
  <c r="AM210" i="16"/>
  <c r="AM211" i="16"/>
  <c r="AM212" i="16"/>
  <c r="AM213" i="16"/>
  <c r="AM214" i="16"/>
  <c r="AM215" i="16"/>
  <c r="AM216" i="16"/>
  <c r="AM217" i="16"/>
  <c r="AM218" i="16"/>
  <c r="AM219" i="16"/>
  <c r="AM220" i="16"/>
  <c r="AM221" i="16"/>
  <c r="AM222" i="16"/>
  <c r="AM223" i="16"/>
  <c r="AM224" i="16"/>
  <c r="AM225" i="16"/>
  <c r="AM226" i="16"/>
  <c r="AM227" i="16"/>
  <c r="AM228" i="16"/>
  <c r="AM229" i="16"/>
  <c r="AM230" i="16"/>
  <c r="AM231" i="16"/>
  <c r="AM232" i="16"/>
  <c r="AM233" i="16"/>
  <c r="AM234" i="16"/>
  <c r="AM235" i="16"/>
  <c r="AM236" i="16"/>
  <c r="AM237" i="16"/>
  <c r="AM238" i="16"/>
  <c r="AM239" i="16"/>
  <c r="AM240" i="16"/>
  <c r="AM241" i="16"/>
  <c r="AM242" i="16"/>
  <c r="AM243" i="16"/>
  <c r="AM244" i="16"/>
  <c r="AM245" i="16"/>
  <c r="AM246" i="16"/>
  <c r="AM247" i="16"/>
  <c r="AM248" i="16"/>
  <c r="AM249" i="16"/>
  <c r="AM250" i="16"/>
  <c r="AM251" i="16"/>
  <c r="AM252" i="16"/>
  <c r="AM253" i="16"/>
  <c r="AM254" i="16"/>
  <c r="AM255" i="16"/>
  <c r="AM256" i="16"/>
  <c r="AM257" i="16"/>
  <c r="AM258" i="16"/>
  <c r="AM259" i="16"/>
  <c r="AM260" i="16"/>
  <c r="AM261" i="16"/>
  <c r="AM262" i="16"/>
  <c r="AM263" i="16"/>
  <c r="AM264" i="16"/>
  <c r="AM265" i="16"/>
  <c r="AM266" i="16"/>
  <c r="AM267" i="16"/>
  <c r="AM268" i="16"/>
  <c r="AM269" i="16"/>
  <c r="AM270" i="16"/>
  <c r="AM271" i="16"/>
  <c r="AM272" i="16"/>
  <c r="AM273" i="16"/>
  <c r="AM274" i="16"/>
  <c r="AM275" i="16"/>
  <c r="AM276" i="16"/>
  <c r="AM277" i="16"/>
  <c r="AM278" i="16"/>
  <c r="AM279" i="16"/>
  <c r="AM280" i="16"/>
  <c r="AM281" i="16"/>
  <c r="AM282" i="16"/>
  <c r="AM283" i="16"/>
  <c r="AM284" i="16"/>
  <c r="AM285" i="16"/>
  <c r="AM286" i="16"/>
  <c r="AM287" i="16"/>
  <c r="AM288" i="16"/>
  <c r="AM289" i="16"/>
  <c r="AM290" i="16"/>
  <c r="AM291" i="16"/>
  <c r="AM292" i="16"/>
  <c r="AM293" i="16"/>
  <c r="AM294" i="16"/>
  <c r="AM295" i="16"/>
  <c r="AM296" i="16"/>
  <c r="AM297" i="16"/>
  <c r="AM298" i="16"/>
  <c r="AM299" i="16"/>
  <c r="AM300" i="16"/>
  <c r="AM301" i="16"/>
  <c r="AM302" i="16"/>
  <c r="AM303" i="16"/>
  <c r="AM304" i="16"/>
  <c r="AM305" i="16"/>
  <c r="AM306" i="16"/>
  <c r="AM307" i="16"/>
  <c r="AM308" i="16"/>
  <c r="AM309" i="16"/>
  <c r="AM310" i="16"/>
  <c r="AM311" i="16"/>
  <c r="AM312" i="16"/>
  <c r="AM313" i="16"/>
  <c r="AM314" i="16"/>
  <c r="AM315" i="16"/>
  <c r="AM316" i="16"/>
  <c r="AM317" i="16"/>
  <c r="AM318" i="16"/>
  <c r="AM319" i="16"/>
  <c r="AM320" i="16"/>
  <c r="AM321" i="16"/>
  <c r="AM322" i="16"/>
  <c r="AM323" i="16"/>
  <c r="AM324" i="16"/>
  <c r="AM325" i="16"/>
  <c r="AM326" i="16"/>
  <c r="AM327" i="16"/>
  <c r="AM328" i="16"/>
  <c r="AM329" i="16"/>
  <c r="AN138" i="16"/>
  <c r="AN139" i="16"/>
  <c r="AN140" i="16"/>
  <c r="AN141" i="16"/>
  <c r="AN142" i="16"/>
  <c r="AN143" i="16"/>
  <c r="AN144" i="16"/>
  <c r="AN145" i="16"/>
  <c r="AN146" i="16"/>
  <c r="AN147" i="16"/>
  <c r="AN148" i="16"/>
  <c r="AN149" i="16"/>
  <c r="AN150" i="16"/>
  <c r="AN151" i="16"/>
  <c r="AN152" i="16"/>
  <c r="AN153" i="16"/>
  <c r="AN154" i="16"/>
  <c r="AN155" i="16"/>
  <c r="AN156" i="16"/>
  <c r="AN157" i="16"/>
  <c r="AN158" i="16"/>
  <c r="AN159" i="16"/>
  <c r="AN160" i="16"/>
  <c r="AN161" i="16"/>
  <c r="AN162" i="16"/>
  <c r="AN163" i="16"/>
  <c r="AN164" i="16"/>
  <c r="AN165" i="16"/>
  <c r="AN166" i="16"/>
  <c r="AN167" i="16"/>
  <c r="AN168" i="16"/>
  <c r="AN169" i="16"/>
  <c r="AN170" i="16"/>
  <c r="AN171" i="16"/>
  <c r="AN172" i="16"/>
  <c r="AN173" i="16"/>
  <c r="AN174" i="16"/>
  <c r="AN175" i="16"/>
  <c r="AN176" i="16"/>
  <c r="AN177" i="16"/>
  <c r="AN178" i="16"/>
  <c r="AN179" i="16"/>
  <c r="AN180" i="16"/>
  <c r="AN181" i="16"/>
  <c r="AN182" i="16"/>
  <c r="AN183" i="16"/>
  <c r="AN184" i="16"/>
  <c r="AN185" i="16"/>
  <c r="AN186" i="16"/>
  <c r="AN187" i="16"/>
  <c r="AN188" i="16"/>
  <c r="AN189" i="16"/>
  <c r="AN190" i="16"/>
  <c r="AN191" i="16"/>
  <c r="AN192" i="16"/>
  <c r="AN193" i="16"/>
  <c r="AN194" i="16"/>
  <c r="AN195" i="16"/>
  <c r="AN196" i="16"/>
  <c r="AN197" i="16"/>
  <c r="AN198" i="16"/>
  <c r="AN199" i="16"/>
  <c r="AN200" i="16"/>
  <c r="AN201" i="16"/>
  <c r="AN202" i="16"/>
  <c r="AN203" i="16"/>
  <c r="AN204" i="16"/>
  <c r="AN205" i="16"/>
  <c r="AN206" i="16"/>
  <c r="AN207" i="16"/>
  <c r="AN208" i="16"/>
  <c r="AN209" i="16"/>
  <c r="AN210" i="16"/>
  <c r="AN211" i="16"/>
  <c r="AN212" i="16"/>
  <c r="AN213" i="16"/>
  <c r="AN214" i="16"/>
  <c r="AN215" i="16"/>
  <c r="AN216" i="16"/>
  <c r="AN217" i="16"/>
  <c r="AN218" i="16"/>
  <c r="AN219" i="16"/>
  <c r="AN220" i="16"/>
  <c r="AN221" i="16"/>
  <c r="AN222" i="16"/>
  <c r="AN223" i="16"/>
  <c r="AN224" i="16"/>
  <c r="AN225" i="16"/>
  <c r="AN226" i="16"/>
  <c r="AN227" i="16"/>
  <c r="AN228" i="16"/>
  <c r="AN229" i="16"/>
  <c r="AN230" i="16"/>
  <c r="AN231" i="16"/>
  <c r="AN232" i="16"/>
  <c r="AN233" i="16"/>
  <c r="AN234" i="16"/>
  <c r="AN235" i="16"/>
  <c r="AN236" i="16"/>
  <c r="AN237" i="16"/>
  <c r="AN238" i="16"/>
  <c r="AN239" i="16"/>
  <c r="AN240" i="16"/>
  <c r="AN241" i="16"/>
  <c r="AN242" i="16"/>
  <c r="AN243" i="16"/>
  <c r="AN244" i="16"/>
  <c r="AN245" i="16"/>
  <c r="AN246" i="16"/>
  <c r="AN247" i="16"/>
  <c r="AN248" i="16"/>
  <c r="AN249" i="16"/>
  <c r="AN250" i="16"/>
  <c r="AN251" i="16"/>
  <c r="AN252" i="16"/>
  <c r="AN253" i="16"/>
  <c r="AN254" i="16"/>
  <c r="AN255" i="16"/>
  <c r="AN256" i="16"/>
  <c r="AN257" i="16"/>
  <c r="AN258" i="16"/>
  <c r="AN259" i="16"/>
  <c r="AN260" i="16"/>
  <c r="AN261" i="16"/>
  <c r="AN262" i="16"/>
  <c r="AN263" i="16"/>
  <c r="AN264" i="16"/>
  <c r="AN265" i="16"/>
  <c r="AN266" i="16"/>
  <c r="AN267" i="16"/>
  <c r="AN268" i="16"/>
  <c r="AN269" i="16"/>
  <c r="AN270" i="16"/>
  <c r="AN271" i="16"/>
  <c r="AN272" i="16"/>
  <c r="AN273" i="16"/>
  <c r="AN274" i="16"/>
  <c r="AN275" i="16"/>
  <c r="AN276" i="16"/>
  <c r="AN277" i="16"/>
  <c r="AN278" i="16"/>
  <c r="AN279" i="16"/>
  <c r="AN280" i="16"/>
  <c r="AN281" i="16"/>
  <c r="AN282" i="16"/>
  <c r="AN283" i="16"/>
  <c r="AN284" i="16"/>
  <c r="AN285" i="16"/>
  <c r="AN286" i="16"/>
  <c r="AN287" i="16"/>
  <c r="AN288" i="16"/>
  <c r="AN289" i="16"/>
  <c r="AN290" i="16"/>
  <c r="AN291" i="16"/>
  <c r="AN292" i="16"/>
  <c r="AN293" i="16"/>
  <c r="AN294" i="16"/>
  <c r="AN295" i="16"/>
  <c r="AN296" i="16"/>
  <c r="AN297" i="16"/>
  <c r="AN298" i="16"/>
  <c r="AN299" i="16"/>
  <c r="AN300" i="16"/>
  <c r="AN301" i="16"/>
  <c r="AN302" i="16"/>
  <c r="AN303" i="16"/>
  <c r="AN304" i="16"/>
  <c r="AN305" i="16"/>
  <c r="AN306" i="16"/>
  <c r="AN307" i="16"/>
  <c r="AN308" i="16"/>
  <c r="AN309" i="16"/>
  <c r="AN310" i="16"/>
  <c r="AN311" i="16"/>
  <c r="AN312" i="16"/>
  <c r="AN313" i="16"/>
  <c r="AN314" i="16"/>
  <c r="AN315" i="16"/>
  <c r="AN316" i="16"/>
  <c r="AN317" i="16"/>
  <c r="AN318" i="16"/>
  <c r="AN319" i="16"/>
  <c r="AN320" i="16"/>
  <c r="AN321" i="16"/>
  <c r="AN322" i="16"/>
  <c r="AN323" i="16"/>
  <c r="AN324" i="16"/>
  <c r="AN325" i="16"/>
  <c r="AN326" i="16"/>
  <c r="AN327" i="16"/>
  <c r="AN328" i="16"/>
  <c r="AN329" i="16"/>
  <c r="AO138" i="16"/>
  <c r="AO139" i="16"/>
  <c r="AO140" i="16"/>
  <c r="AO141" i="16"/>
  <c r="AO142" i="16"/>
  <c r="AO143" i="16"/>
  <c r="AO144" i="16"/>
  <c r="AO145" i="16"/>
  <c r="AO146" i="16"/>
  <c r="AO147" i="16"/>
  <c r="AO148" i="16"/>
  <c r="AO149" i="16"/>
  <c r="AO150" i="16"/>
  <c r="AO151" i="16"/>
  <c r="AO152" i="16"/>
  <c r="AO153" i="16"/>
  <c r="AO154" i="16"/>
  <c r="AO155" i="16"/>
  <c r="AO156" i="16"/>
  <c r="AO157" i="16"/>
  <c r="AO158" i="16"/>
  <c r="AO159" i="16"/>
  <c r="AO160" i="16"/>
  <c r="AO161" i="16"/>
  <c r="AO162" i="16"/>
  <c r="AO163" i="16"/>
  <c r="AO164" i="16"/>
  <c r="AO165" i="16"/>
  <c r="AO166" i="16"/>
  <c r="AO167" i="16"/>
  <c r="AO168" i="16"/>
  <c r="AO169" i="16"/>
  <c r="AO170" i="16"/>
  <c r="AO171" i="16"/>
  <c r="AO172" i="16"/>
  <c r="AO173" i="16"/>
  <c r="AO174" i="16"/>
  <c r="AO175" i="16"/>
  <c r="AO176" i="16"/>
  <c r="AO177" i="16"/>
  <c r="AO178" i="16"/>
  <c r="AO179" i="16"/>
  <c r="AO180" i="16"/>
  <c r="AO181" i="16"/>
  <c r="AO182" i="16"/>
  <c r="AO183" i="16"/>
  <c r="AO184" i="16"/>
  <c r="AO185" i="16"/>
  <c r="AO186" i="16"/>
  <c r="AO187" i="16"/>
  <c r="AO188" i="16"/>
  <c r="AO189" i="16"/>
  <c r="AO190" i="16"/>
  <c r="AO191" i="16"/>
  <c r="AO192" i="16"/>
  <c r="AO193" i="16"/>
  <c r="AO194" i="16"/>
  <c r="AO195" i="16"/>
  <c r="AO196" i="16"/>
  <c r="AO197" i="16"/>
  <c r="AO198" i="16"/>
  <c r="AO199" i="16"/>
  <c r="AO200" i="16"/>
  <c r="AO201" i="16"/>
  <c r="AO202" i="16"/>
  <c r="AO203" i="16"/>
  <c r="AO204" i="16"/>
  <c r="AO205" i="16"/>
  <c r="AO206" i="16"/>
  <c r="AO207" i="16"/>
  <c r="AO208" i="16"/>
  <c r="AO209" i="16"/>
  <c r="AO210" i="16"/>
  <c r="AO211" i="16"/>
  <c r="AO212" i="16"/>
  <c r="AO213" i="16"/>
  <c r="AO214" i="16"/>
  <c r="AO215" i="16"/>
  <c r="AO216" i="16"/>
  <c r="AO217" i="16"/>
  <c r="AO218" i="16"/>
  <c r="AO219" i="16"/>
  <c r="AO220" i="16"/>
  <c r="AO221" i="16"/>
  <c r="AO222" i="16"/>
  <c r="AO223" i="16"/>
  <c r="AO224" i="16"/>
  <c r="AO225" i="16"/>
  <c r="AO226" i="16"/>
  <c r="AO227" i="16"/>
  <c r="AO228" i="16"/>
  <c r="AO229" i="16"/>
  <c r="AO230" i="16"/>
  <c r="AO231" i="16"/>
  <c r="AO232" i="16"/>
  <c r="AO233" i="16"/>
  <c r="AO234" i="16"/>
  <c r="AO235" i="16"/>
  <c r="AO236" i="16"/>
  <c r="AO237" i="16"/>
  <c r="AO238" i="16"/>
  <c r="AO239" i="16"/>
  <c r="AO240" i="16"/>
  <c r="AO241" i="16"/>
  <c r="AO242" i="16"/>
  <c r="AO243" i="16"/>
  <c r="AO244" i="16"/>
  <c r="AO245" i="16"/>
  <c r="AO246" i="16"/>
  <c r="AO247" i="16"/>
  <c r="AO248" i="16"/>
  <c r="AO249" i="16"/>
  <c r="AO250" i="16"/>
  <c r="AO251" i="16"/>
  <c r="AO252" i="16"/>
  <c r="AO253" i="16"/>
  <c r="AO254" i="16"/>
  <c r="AO255" i="16"/>
  <c r="AO256" i="16"/>
  <c r="AO257" i="16"/>
  <c r="AO258" i="16"/>
  <c r="AO259" i="16"/>
  <c r="AO260" i="16"/>
  <c r="AO261" i="16"/>
  <c r="AO262" i="16"/>
  <c r="AO263" i="16"/>
  <c r="AO264" i="16"/>
  <c r="AO265" i="16"/>
  <c r="AO266" i="16"/>
  <c r="AO267" i="16"/>
  <c r="AO268" i="16"/>
  <c r="AO269" i="16"/>
  <c r="AO270" i="16"/>
  <c r="AO271" i="16"/>
  <c r="AO272" i="16"/>
  <c r="AO273" i="16"/>
  <c r="AO274" i="16"/>
  <c r="AO275" i="16"/>
  <c r="AO276" i="16"/>
  <c r="AO277" i="16"/>
  <c r="AO278" i="16"/>
  <c r="AO279" i="16"/>
  <c r="AO280" i="16"/>
  <c r="AO281" i="16"/>
  <c r="AO282" i="16"/>
  <c r="AO283" i="16"/>
  <c r="AO284" i="16"/>
  <c r="AO285" i="16"/>
  <c r="AO286" i="16"/>
  <c r="AO287" i="16"/>
  <c r="AO288" i="16"/>
  <c r="AO289" i="16"/>
  <c r="AO290" i="16"/>
  <c r="AO291" i="16"/>
  <c r="AO292" i="16"/>
  <c r="AO293" i="16"/>
  <c r="AO294" i="16"/>
  <c r="AO295" i="16"/>
  <c r="AO296" i="16"/>
  <c r="AO297" i="16"/>
  <c r="AO298" i="16"/>
  <c r="AO299" i="16"/>
  <c r="AO300" i="16"/>
  <c r="AO301" i="16"/>
  <c r="AO302" i="16"/>
  <c r="AO303" i="16"/>
  <c r="AO304" i="16"/>
  <c r="AO305" i="16"/>
  <c r="AO306" i="16"/>
  <c r="AO307" i="16"/>
  <c r="AO308" i="16"/>
  <c r="AO309" i="16"/>
  <c r="AO310" i="16"/>
  <c r="AO311" i="16"/>
  <c r="AO312" i="16"/>
  <c r="AO313" i="16"/>
  <c r="AO314" i="16"/>
  <c r="AO315" i="16"/>
  <c r="AO316" i="16"/>
  <c r="AO317" i="16"/>
  <c r="AO318" i="16"/>
  <c r="AO319" i="16"/>
  <c r="AO320" i="16"/>
  <c r="AO321" i="16"/>
  <c r="AO322" i="16"/>
  <c r="AO323" i="16"/>
  <c r="AO324" i="16"/>
  <c r="AO325" i="16"/>
  <c r="AO326" i="16"/>
  <c r="AO327" i="16"/>
  <c r="AO328" i="16"/>
  <c r="AO329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304" i="16"/>
  <c r="AA305" i="16"/>
  <c r="AA306" i="16"/>
  <c r="AA307" i="16"/>
  <c r="AA308" i="16"/>
  <c r="AA309" i="16"/>
  <c r="AA310" i="16"/>
  <c r="AA311" i="16"/>
  <c r="AA312" i="16"/>
  <c r="AA313" i="16"/>
  <c r="AA314" i="16"/>
  <c r="AA315" i="16"/>
  <c r="AA316" i="16"/>
  <c r="AA317" i="16"/>
  <c r="AA318" i="16"/>
  <c r="AA319" i="16"/>
  <c r="AA320" i="16"/>
  <c r="AA321" i="16"/>
  <c r="AA322" i="16"/>
  <c r="AA323" i="16"/>
  <c r="AA324" i="16"/>
  <c r="AA325" i="16"/>
  <c r="AA326" i="16"/>
  <c r="AA327" i="16"/>
  <c r="AA328" i="16"/>
  <c r="AA329" i="16"/>
  <c r="AB138" i="16"/>
  <c r="AB139" i="16"/>
  <c r="AB140" i="16"/>
  <c r="AB141" i="16"/>
  <c r="AB142" i="16"/>
  <c r="AB143" i="16"/>
  <c r="AB144" i="16"/>
  <c r="AB145" i="16"/>
  <c r="AB146" i="16"/>
  <c r="AB147" i="16"/>
  <c r="AB148" i="16"/>
  <c r="AB149" i="16"/>
  <c r="AB150" i="16"/>
  <c r="AB151" i="16"/>
  <c r="AB152" i="16"/>
  <c r="AB153" i="16"/>
  <c r="AB154" i="16"/>
  <c r="AB155" i="16"/>
  <c r="AB156" i="16"/>
  <c r="AB157" i="16"/>
  <c r="AB158" i="16"/>
  <c r="AB159" i="16"/>
  <c r="AB160" i="16"/>
  <c r="AB161" i="16"/>
  <c r="AB162" i="16"/>
  <c r="AB163" i="16"/>
  <c r="AB164" i="16"/>
  <c r="AB165" i="16"/>
  <c r="AB166" i="16"/>
  <c r="AB167" i="16"/>
  <c r="AB168" i="16"/>
  <c r="AB169" i="16"/>
  <c r="AB170" i="16"/>
  <c r="AB171" i="16"/>
  <c r="AB172" i="16"/>
  <c r="AB173" i="16"/>
  <c r="AB174" i="16"/>
  <c r="AB175" i="16"/>
  <c r="AB176" i="16"/>
  <c r="AB177" i="16"/>
  <c r="AB178" i="16"/>
  <c r="AB179" i="16"/>
  <c r="AB180" i="16"/>
  <c r="AB181" i="16"/>
  <c r="AB182" i="16"/>
  <c r="AB183" i="16"/>
  <c r="AB184" i="16"/>
  <c r="AB185" i="16"/>
  <c r="AB186" i="16"/>
  <c r="AB187" i="16"/>
  <c r="AB188" i="16"/>
  <c r="AB189" i="16"/>
  <c r="AB190" i="16"/>
  <c r="AB191" i="16"/>
  <c r="AB192" i="16"/>
  <c r="AB193" i="16"/>
  <c r="AB194" i="16"/>
  <c r="AB195" i="16"/>
  <c r="AB196" i="16"/>
  <c r="AB197" i="16"/>
  <c r="AB198" i="16"/>
  <c r="AB199" i="16"/>
  <c r="AB200" i="16"/>
  <c r="AB201" i="16"/>
  <c r="AB202" i="16"/>
  <c r="AB203" i="16"/>
  <c r="AB204" i="16"/>
  <c r="AB205" i="16"/>
  <c r="AB206" i="16"/>
  <c r="AB207" i="16"/>
  <c r="AB208" i="16"/>
  <c r="AB209" i="16"/>
  <c r="AB210" i="16"/>
  <c r="AB211" i="16"/>
  <c r="AB212" i="16"/>
  <c r="AB213" i="16"/>
  <c r="AB214" i="16"/>
  <c r="AB215" i="16"/>
  <c r="AB216" i="16"/>
  <c r="AB217" i="16"/>
  <c r="AB218" i="16"/>
  <c r="AB219" i="16"/>
  <c r="AB220" i="16"/>
  <c r="AB221" i="16"/>
  <c r="AB222" i="16"/>
  <c r="AB223" i="16"/>
  <c r="AB224" i="16"/>
  <c r="AB225" i="16"/>
  <c r="AB226" i="16"/>
  <c r="AB227" i="16"/>
  <c r="AB228" i="16"/>
  <c r="AB229" i="16"/>
  <c r="AB230" i="16"/>
  <c r="AB231" i="16"/>
  <c r="AB232" i="16"/>
  <c r="AB233" i="16"/>
  <c r="AB234" i="16"/>
  <c r="AB235" i="16"/>
  <c r="AB236" i="16"/>
  <c r="AB237" i="16"/>
  <c r="AB238" i="16"/>
  <c r="AB239" i="16"/>
  <c r="AB240" i="16"/>
  <c r="AB241" i="16"/>
  <c r="AB242" i="16"/>
  <c r="AB243" i="16"/>
  <c r="AB244" i="16"/>
  <c r="AB245" i="16"/>
  <c r="AB246" i="16"/>
  <c r="AB247" i="16"/>
  <c r="AB248" i="16"/>
  <c r="AB249" i="16"/>
  <c r="AB250" i="16"/>
  <c r="AB251" i="16"/>
  <c r="AB252" i="16"/>
  <c r="AB253" i="16"/>
  <c r="AB254" i="16"/>
  <c r="AB255" i="16"/>
  <c r="AB256" i="16"/>
  <c r="AB257" i="16"/>
  <c r="AB258" i="16"/>
  <c r="AB259" i="16"/>
  <c r="AB260" i="16"/>
  <c r="AB261" i="16"/>
  <c r="AB262" i="16"/>
  <c r="AB263" i="16"/>
  <c r="AB264" i="16"/>
  <c r="AB265" i="16"/>
  <c r="AB266" i="16"/>
  <c r="AB267" i="16"/>
  <c r="AB268" i="16"/>
  <c r="AB269" i="16"/>
  <c r="AB270" i="16"/>
  <c r="AB271" i="16"/>
  <c r="AB272" i="16"/>
  <c r="AB273" i="16"/>
  <c r="AB274" i="16"/>
  <c r="AB275" i="16"/>
  <c r="AB276" i="16"/>
  <c r="AB277" i="16"/>
  <c r="AB278" i="16"/>
  <c r="AB279" i="16"/>
  <c r="AB280" i="16"/>
  <c r="AB281" i="16"/>
  <c r="AB282" i="16"/>
  <c r="AB283" i="16"/>
  <c r="AB284" i="16"/>
  <c r="AB285" i="16"/>
  <c r="AB286" i="16"/>
  <c r="AB287" i="16"/>
  <c r="AB288" i="16"/>
  <c r="AB289" i="16"/>
  <c r="AB290" i="16"/>
  <c r="AB291" i="16"/>
  <c r="AB292" i="16"/>
  <c r="AB293" i="16"/>
  <c r="AB294" i="16"/>
  <c r="AB295" i="16"/>
  <c r="AB296" i="16"/>
  <c r="AB297" i="16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B310" i="16"/>
  <c r="AB311" i="16"/>
  <c r="AB312" i="16"/>
  <c r="AB313" i="16"/>
  <c r="AB314" i="16"/>
  <c r="AB315" i="16"/>
  <c r="AB316" i="16"/>
  <c r="AB317" i="16"/>
  <c r="AB318" i="16"/>
  <c r="AB319" i="16"/>
  <c r="AB320" i="16"/>
  <c r="AB321" i="16"/>
  <c r="AB322" i="16"/>
  <c r="AB323" i="16"/>
  <c r="AB324" i="16"/>
  <c r="AB325" i="16"/>
  <c r="AB326" i="16"/>
  <c r="AB327" i="16"/>
  <c r="AB328" i="16"/>
  <c r="AB329" i="16"/>
  <c r="AC138" i="16"/>
  <c r="AC139" i="16"/>
  <c r="AC140" i="16"/>
  <c r="AC141" i="16"/>
  <c r="AC142" i="16"/>
  <c r="AC143" i="16"/>
  <c r="AC144" i="16"/>
  <c r="AC145" i="16"/>
  <c r="AC146" i="16"/>
  <c r="AC147" i="16"/>
  <c r="AC148" i="16"/>
  <c r="AC149" i="16"/>
  <c r="AC150" i="16"/>
  <c r="AC151" i="16"/>
  <c r="AC152" i="16"/>
  <c r="AC153" i="16"/>
  <c r="AC154" i="16"/>
  <c r="AC155" i="16"/>
  <c r="AC156" i="16"/>
  <c r="AC157" i="16"/>
  <c r="AC158" i="16"/>
  <c r="AC159" i="16"/>
  <c r="AC160" i="16"/>
  <c r="AC161" i="16"/>
  <c r="AC162" i="16"/>
  <c r="AC163" i="16"/>
  <c r="AC164" i="16"/>
  <c r="AC165" i="16"/>
  <c r="AC166" i="16"/>
  <c r="AC167" i="16"/>
  <c r="AC168" i="16"/>
  <c r="AC169" i="16"/>
  <c r="AC170" i="16"/>
  <c r="AC171" i="16"/>
  <c r="AC172" i="16"/>
  <c r="AC173" i="16"/>
  <c r="AC174" i="16"/>
  <c r="AC175" i="16"/>
  <c r="AC176" i="16"/>
  <c r="AC177" i="16"/>
  <c r="AC178" i="16"/>
  <c r="AC179" i="16"/>
  <c r="AC180" i="16"/>
  <c r="AC181" i="16"/>
  <c r="AC182" i="16"/>
  <c r="AC183" i="16"/>
  <c r="AC184" i="16"/>
  <c r="AC185" i="16"/>
  <c r="AC186" i="16"/>
  <c r="AC187" i="16"/>
  <c r="AC188" i="16"/>
  <c r="AC189" i="16"/>
  <c r="AC190" i="16"/>
  <c r="AC191" i="16"/>
  <c r="AC192" i="16"/>
  <c r="AC193" i="16"/>
  <c r="AC194" i="16"/>
  <c r="AC195" i="16"/>
  <c r="AC196" i="16"/>
  <c r="AC197" i="16"/>
  <c r="AC198" i="16"/>
  <c r="AC199" i="16"/>
  <c r="AC200" i="16"/>
  <c r="AC201" i="16"/>
  <c r="AC202" i="16"/>
  <c r="AC203" i="16"/>
  <c r="AC204" i="16"/>
  <c r="AC205" i="16"/>
  <c r="AC206" i="16"/>
  <c r="AC207" i="16"/>
  <c r="AC208" i="16"/>
  <c r="AC209" i="16"/>
  <c r="AC210" i="16"/>
  <c r="AC211" i="16"/>
  <c r="AC212" i="16"/>
  <c r="AC213" i="16"/>
  <c r="AC214" i="16"/>
  <c r="AC215" i="16"/>
  <c r="AC216" i="16"/>
  <c r="AC217" i="16"/>
  <c r="AC218" i="16"/>
  <c r="AC219" i="16"/>
  <c r="AC220" i="16"/>
  <c r="AC221" i="16"/>
  <c r="AC222" i="16"/>
  <c r="AC223" i="16"/>
  <c r="AC224" i="16"/>
  <c r="AC225" i="16"/>
  <c r="AC226" i="16"/>
  <c r="AC227" i="16"/>
  <c r="AC228" i="16"/>
  <c r="AC229" i="16"/>
  <c r="AC230" i="16"/>
  <c r="AC231" i="16"/>
  <c r="AC232" i="16"/>
  <c r="AC233" i="16"/>
  <c r="AC234" i="16"/>
  <c r="AC235" i="16"/>
  <c r="AC236" i="16"/>
  <c r="AC237" i="16"/>
  <c r="AC238" i="16"/>
  <c r="AC239" i="16"/>
  <c r="AC240" i="16"/>
  <c r="AC241" i="16"/>
  <c r="AC242" i="16"/>
  <c r="AC243" i="16"/>
  <c r="AC244" i="16"/>
  <c r="AC245" i="16"/>
  <c r="AC246" i="16"/>
  <c r="AC247" i="16"/>
  <c r="AC248" i="16"/>
  <c r="AC249" i="16"/>
  <c r="AC250" i="16"/>
  <c r="AC251" i="16"/>
  <c r="AC252" i="16"/>
  <c r="AC253" i="16"/>
  <c r="AC254" i="16"/>
  <c r="AC255" i="16"/>
  <c r="AC256" i="16"/>
  <c r="AC257" i="16"/>
  <c r="AC258" i="16"/>
  <c r="AC259" i="16"/>
  <c r="AC260" i="16"/>
  <c r="AC261" i="16"/>
  <c r="AC262" i="16"/>
  <c r="AC263" i="16"/>
  <c r="AC264" i="16"/>
  <c r="AC265" i="16"/>
  <c r="AC266" i="16"/>
  <c r="AC267" i="16"/>
  <c r="AC268" i="16"/>
  <c r="AC269" i="16"/>
  <c r="AC270" i="16"/>
  <c r="AC271" i="16"/>
  <c r="AC272" i="16"/>
  <c r="AC273" i="16"/>
  <c r="AC274" i="16"/>
  <c r="AC275" i="16"/>
  <c r="AC276" i="16"/>
  <c r="AC277" i="16"/>
  <c r="AC278" i="16"/>
  <c r="AC279" i="16"/>
  <c r="AC280" i="16"/>
  <c r="AC281" i="16"/>
  <c r="AC282" i="16"/>
  <c r="AC283" i="16"/>
  <c r="AC284" i="16"/>
  <c r="AC285" i="16"/>
  <c r="AC286" i="16"/>
  <c r="AC287" i="16"/>
  <c r="AC288" i="16"/>
  <c r="AC289" i="16"/>
  <c r="AC290" i="16"/>
  <c r="AC291" i="16"/>
  <c r="AC292" i="16"/>
  <c r="AC293" i="16"/>
  <c r="AC294" i="16"/>
  <c r="AC295" i="16"/>
  <c r="AC296" i="16"/>
  <c r="AC297" i="16"/>
  <c r="AC298" i="16"/>
  <c r="AC299" i="16"/>
  <c r="AC300" i="16"/>
  <c r="AC301" i="16"/>
  <c r="AC302" i="16"/>
  <c r="AC303" i="16"/>
  <c r="AC304" i="16"/>
  <c r="AC305" i="16"/>
  <c r="AC306" i="16"/>
  <c r="AC307" i="16"/>
  <c r="AC308" i="16"/>
  <c r="AC309" i="16"/>
  <c r="AC310" i="16"/>
  <c r="AC311" i="16"/>
  <c r="AC312" i="16"/>
  <c r="AC313" i="16"/>
  <c r="AC314" i="16"/>
  <c r="AC315" i="16"/>
  <c r="AC316" i="16"/>
  <c r="AC317" i="16"/>
  <c r="AC318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O138" i="16"/>
  <c r="O139" i="16"/>
  <c r="O140" i="16"/>
  <c r="O141" i="16"/>
  <c r="O142" i="16"/>
  <c r="O143" i="16"/>
  <c r="O144" i="16"/>
  <c r="O145" i="16"/>
  <c r="O146" i="16"/>
  <c r="O147" i="16"/>
  <c r="O148" i="16"/>
  <c r="O149" i="16"/>
  <c r="O150" i="16"/>
  <c r="O151" i="16"/>
  <c r="O152" i="16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O200" i="16"/>
  <c r="O201" i="16"/>
  <c r="O202" i="16"/>
  <c r="O203" i="16"/>
  <c r="O204" i="16"/>
  <c r="O205" i="16"/>
  <c r="O206" i="16"/>
  <c r="O207" i="16"/>
  <c r="O208" i="16"/>
  <c r="O209" i="16"/>
  <c r="O210" i="16"/>
  <c r="O211" i="16"/>
  <c r="O212" i="16"/>
  <c r="O213" i="16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O276" i="16"/>
  <c r="O277" i="16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O298" i="16"/>
  <c r="O299" i="16"/>
  <c r="O300" i="16"/>
  <c r="O301" i="16"/>
  <c r="O302" i="16"/>
  <c r="O303" i="16"/>
  <c r="O304" i="16"/>
  <c r="O305" i="16"/>
  <c r="O306" i="16"/>
  <c r="O307" i="16"/>
  <c r="O308" i="16"/>
  <c r="O309" i="16"/>
  <c r="O310" i="16"/>
  <c r="O311" i="16"/>
  <c r="O312" i="16"/>
  <c r="O313" i="16"/>
  <c r="O314" i="16"/>
  <c r="O315" i="16"/>
  <c r="O316" i="16"/>
  <c r="O317" i="16"/>
  <c r="O318" i="16"/>
  <c r="O319" i="16"/>
  <c r="O320" i="16"/>
  <c r="O321" i="16"/>
  <c r="O322" i="16"/>
  <c r="O323" i="16"/>
  <c r="O324" i="16"/>
  <c r="O325" i="16"/>
  <c r="O326" i="16"/>
  <c r="O327" i="16"/>
  <c r="O328" i="16"/>
  <c r="O329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3" i="16"/>
  <c r="D133" i="16"/>
  <c r="C133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2" i="16"/>
  <c r="D122" i="16"/>
  <c r="C122" i="16"/>
  <c r="E121" i="16"/>
  <c r="D121" i="16"/>
  <c r="C121" i="16"/>
  <c r="E120" i="16"/>
  <c r="D120" i="16"/>
  <c r="C120" i="16"/>
  <c r="E119" i="16"/>
  <c r="D119" i="16"/>
  <c r="C119" i="16"/>
  <c r="E118" i="16"/>
  <c r="D118" i="16"/>
  <c r="C118" i="16"/>
  <c r="E117" i="16"/>
  <c r="D117" i="16"/>
  <c r="C117" i="16"/>
  <c r="E116" i="16"/>
  <c r="D116" i="16"/>
  <c r="C116" i="16"/>
  <c r="E115" i="16"/>
  <c r="D115" i="16"/>
  <c r="C115" i="16"/>
  <c r="E114" i="16"/>
  <c r="D114" i="16"/>
  <c r="C114" i="16"/>
  <c r="E113" i="16"/>
  <c r="D113" i="16"/>
  <c r="C113" i="16"/>
  <c r="E112" i="16"/>
  <c r="D112" i="16"/>
  <c r="C112" i="16"/>
  <c r="E111" i="16"/>
  <c r="D111" i="16"/>
  <c r="C111" i="16"/>
  <c r="E110" i="16"/>
  <c r="D110" i="16"/>
  <c r="C110" i="16"/>
  <c r="E109" i="16"/>
  <c r="D109" i="16"/>
  <c r="C109" i="16"/>
  <c r="E108" i="16"/>
  <c r="D108" i="16"/>
  <c r="C108" i="16"/>
  <c r="E107" i="16"/>
  <c r="D107" i="16"/>
  <c r="C107" i="16"/>
  <c r="E106" i="16"/>
  <c r="D106" i="16"/>
  <c r="C106" i="16"/>
  <c r="E105" i="16"/>
  <c r="D105" i="16"/>
  <c r="C105" i="16"/>
  <c r="E104" i="16"/>
  <c r="D104" i="16"/>
  <c r="C104" i="16"/>
  <c r="E103" i="16"/>
  <c r="D103" i="16"/>
  <c r="C103" i="16"/>
  <c r="E102" i="16"/>
  <c r="D102" i="16"/>
  <c r="C102" i="16"/>
  <c r="E101" i="16"/>
  <c r="D101" i="16"/>
  <c r="C101" i="16"/>
  <c r="E100" i="16"/>
  <c r="D100" i="16"/>
  <c r="C100" i="16"/>
  <c r="E99" i="16"/>
  <c r="D99" i="16"/>
  <c r="C99" i="16"/>
  <c r="E98" i="16"/>
  <c r="D98" i="16"/>
  <c r="C98" i="16"/>
  <c r="E97" i="16"/>
  <c r="D97" i="16"/>
  <c r="C97" i="16"/>
  <c r="E96" i="16"/>
  <c r="D96" i="16"/>
  <c r="C96" i="16"/>
  <c r="E95" i="16"/>
  <c r="D95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90" i="16"/>
  <c r="D90" i="16"/>
  <c r="C90" i="16"/>
  <c r="E89" i="16"/>
  <c r="D89" i="16"/>
  <c r="C89" i="16"/>
  <c r="E88" i="16"/>
  <c r="D88" i="16"/>
  <c r="C88" i="16"/>
  <c r="E87" i="16"/>
  <c r="D87" i="16"/>
  <c r="C87" i="16"/>
  <c r="E86" i="16"/>
  <c r="D86" i="16"/>
  <c r="C86" i="16"/>
  <c r="E85" i="16"/>
  <c r="D85" i="16"/>
  <c r="C85" i="16"/>
  <c r="E84" i="16"/>
  <c r="D84" i="16"/>
  <c r="C84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9" i="16"/>
  <c r="D79" i="16"/>
  <c r="C79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7" i="16"/>
  <c r="D37" i="16"/>
  <c r="C37" i="16"/>
  <c r="E36" i="16"/>
  <c r="D36" i="16"/>
  <c r="C36" i="16"/>
  <c r="E35" i="16"/>
  <c r="D35" i="16"/>
  <c r="C35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G294" i="16" l="1"/>
  <c r="J299" i="16"/>
  <c r="G181" i="16"/>
  <c r="G201" i="16"/>
  <c r="J202" i="16"/>
  <c r="J210" i="16"/>
  <c r="G213" i="16"/>
  <c r="G233" i="16"/>
  <c r="G269" i="16"/>
  <c r="G222" i="16"/>
  <c r="J223" i="16"/>
  <c r="G250" i="16"/>
  <c r="G262" i="16"/>
  <c r="J267" i="16"/>
  <c r="J303" i="16"/>
  <c r="G310" i="16"/>
  <c r="J315" i="16"/>
  <c r="J334" i="87"/>
  <c r="J229" i="16"/>
  <c r="J325" i="16"/>
  <c r="E334" i="87"/>
  <c r="G158" i="16"/>
  <c r="G302" i="16"/>
  <c r="J146" i="16"/>
  <c r="J162" i="16"/>
  <c r="J177" i="16"/>
  <c r="J193" i="16"/>
  <c r="J201" i="16"/>
  <c r="J205" i="16"/>
  <c r="J209" i="16"/>
  <c r="J230" i="16"/>
  <c r="G253" i="16"/>
  <c r="J257" i="16"/>
  <c r="J265" i="16"/>
  <c r="J270" i="16"/>
  <c r="G273" i="16"/>
  <c r="G285" i="16"/>
  <c r="J314" i="16"/>
  <c r="G317" i="16"/>
  <c r="G325" i="16"/>
  <c r="G329" i="16"/>
  <c r="J184" i="16"/>
  <c r="J305" i="16"/>
  <c r="J313" i="16"/>
  <c r="G156" i="16"/>
  <c r="G245" i="16"/>
  <c r="J147" i="16"/>
  <c r="J150" i="16"/>
  <c r="J154" i="16"/>
  <c r="J163" i="16"/>
  <c r="G170" i="16"/>
  <c r="G202" i="16"/>
  <c r="G239" i="16"/>
  <c r="G247" i="16"/>
  <c r="G251" i="16"/>
  <c r="J273" i="16"/>
  <c r="J278" i="16"/>
  <c r="J286" i="16"/>
  <c r="C333" i="87"/>
  <c r="G331" i="87"/>
  <c r="D332" i="87"/>
  <c r="J332" i="87"/>
  <c r="C332" i="87"/>
  <c r="J333" i="87"/>
  <c r="J331" i="87"/>
  <c r="G150" i="16"/>
  <c r="J169" i="16"/>
  <c r="J203" i="16"/>
  <c r="G238" i="16"/>
  <c r="J239" i="16"/>
  <c r="G246" i="16"/>
  <c r="J249" i="16"/>
  <c r="J250" i="16"/>
  <c r="G261" i="16"/>
  <c r="G265" i="16"/>
  <c r="G266" i="16"/>
  <c r="G267" i="16"/>
  <c r="G303" i="16"/>
  <c r="G326" i="16"/>
  <c r="J165" i="16"/>
  <c r="J166" i="16"/>
  <c r="J167" i="16"/>
  <c r="G153" i="16"/>
  <c r="J158" i="16"/>
  <c r="G165" i="16"/>
  <c r="G186" i="16"/>
  <c r="G205" i="16"/>
  <c r="J206" i="16"/>
  <c r="G209" i="16"/>
  <c r="G221" i="16"/>
  <c r="G225" i="16"/>
  <c r="G230" i="16"/>
  <c r="J251" i="16"/>
  <c r="G255" i="16"/>
  <c r="G263" i="16"/>
  <c r="J274" i="16"/>
  <c r="G277" i="16"/>
  <c r="G281" i="16"/>
  <c r="J287" i="16"/>
  <c r="J293" i="16"/>
  <c r="J294" i="16"/>
  <c r="G297" i="16"/>
  <c r="G314" i="16"/>
  <c r="J317" i="16"/>
  <c r="J266" i="16"/>
  <c r="J297" i="16"/>
  <c r="J330" i="87"/>
  <c r="E332" i="87"/>
  <c r="D330" i="87"/>
  <c r="G332" i="87"/>
  <c r="G330" i="87"/>
  <c r="D333" i="87"/>
  <c r="G146" i="16"/>
  <c r="J180" i="16"/>
  <c r="J181" i="16"/>
  <c r="G206" i="16"/>
  <c r="J207" i="16"/>
  <c r="J218" i="16"/>
  <c r="J242" i="16"/>
  <c r="G249" i="16"/>
  <c r="G278" i="16"/>
  <c r="J283" i="16"/>
  <c r="G287" i="16"/>
  <c r="J289" i="16"/>
  <c r="G298" i="16"/>
  <c r="J318" i="16"/>
  <c r="G321" i="16"/>
  <c r="J143" i="16"/>
  <c r="G177" i="16"/>
  <c r="J217" i="16"/>
  <c r="G229" i="16"/>
  <c r="J237" i="16"/>
  <c r="G237" i="16"/>
  <c r="J241" i="16"/>
  <c r="J246" i="16"/>
  <c r="G270" i="16"/>
  <c r="J271" i="16"/>
  <c r="J282" i="16"/>
  <c r="J306" i="16"/>
  <c r="G313" i="16"/>
  <c r="J142" i="16"/>
  <c r="J173" i="16"/>
  <c r="G193" i="16"/>
  <c r="G215" i="16"/>
  <c r="J226" i="16"/>
  <c r="G235" i="16"/>
  <c r="J245" i="16"/>
  <c r="J281" i="16"/>
  <c r="G293" i="16"/>
  <c r="J301" i="16"/>
  <c r="G301" i="16"/>
  <c r="J310" i="16"/>
  <c r="G140" i="16"/>
  <c r="J151" i="16"/>
  <c r="G154" i="16"/>
  <c r="J182" i="16"/>
  <c r="J185" i="16"/>
  <c r="J186" i="16"/>
  <c r="J189" i="16"/>
  <c r="G214" i="16"/>
  <c r="J219" i="16"/>
  <c r="G223" i="16"/>
  <c r="J225" i="16"/>
  <c r="G234" i="16"/>
  <c r="J254" i="16"/>
  <c r="G257" i="16"/>
  <c r="G279" i="16"/>
  <c r="J290" i="16"/>
  <c r="G299" i="16"/>
  <c r="J309" i="16"/>
  <c r="G147" i="16"/>
  <c r="G149" i="16"/>
  <c r="J172" i="16"/>
  <c r="J174" i="16"/>
  <c r="G178" i="16"/>
  <c r="G231" i="16"/>
  <c r="J235" i="16"/>
  <c r="J253" i="16"/>
  <c r="G286" i="16"/>
  <c r="G295" i="16"/>
  <c r="G315" i="16"/>
  <c r="G333" i="87"/>
  <c r="G142" i="16"/>
  <c r="G143" i="16"/>
  <c r="G145" i="16"/>
  <c r="G148" i="16"/>
  <c r="J159" i="16"/>
  <c r="G162" i="16"/>
  <c r="G164" i="16"/>
  <c r="G166" i="16"/>
  <c r="G169" i="16"/>
  <c r="J176" i="16"/>
  <c r="J192" i="16"/>
  <c r="J197" i="16"/>
  <c r="J198" i="16"/>
  <c r="G203" i="16"/>
  <c r="J222" i="16"/>
  <c r="J261" i="16"/>
  <c r="J262" i="16"/>
  <c r="J269" i="16"/>
  <c r="G289" i="16"/>
  <c r="G309" i="16"/>
  <c r="G311" i="16"/>
  <c r="G319" i="16"/>
  <c r="J326" i="16"/>
  <c r="G151" i="16"/>
  <c r="G152" i="16"/>
  <c r="J155" i="16"/>
  <c r="G159" i="16"/>
  <c r="G161" i="16"/>
  <c r="G168" i="16"/>
  <c r="G173" i="16"/>
  <c r="G185" i="16"/>
  <c r="G189" i="16"/>
  <c r="G190" i="16"/>
  <c r="J194" i="16"/>
  <c r="G197" i="16"/>
  <c r="G198" i="16"/>
  <c r="G199" i="16"/>
  <c r="G207" i="16"/>
  <c r="J213" i="16"/>
  <c r="J214" i="16"/>
  <c r="G217" i="16"/>
  <c r="G218" i="16"/>
  <c r="G219" i="16"/>
  <c r="J221" i="16"/>
  <c r="J233" i="16"/>
  <c r="J234" i="16"/>
  <c r="J238" i="16"/>
  <c r="G241" i="16"/>
  <c r="G254" i="16"/>
  <c r="J255" i="16"/>
  <c r="J258" i="16"/>
  <c r="G271" i="16"/>
  <c r="J277" i="16"/>
  <c r="G282" i="16"/>
  <c r="G283" i="16"/>
  <c r="J285" i="16"/>
  <c r="J298" i="16"/>
  <c r="J302" i="16"/>
  <c r="G305" i="16"/>
  <c r="G318" i="16"/>
  <c r="J319" i="16"/>
  <c r="J321" i="16"/>
  <c r="J322" i="16"/>
  <c r="G327" i="16"/>
  <c r="J329" i="16"/>
  <c r="E333" i="87"/>
  <c r="D331" i="87"/>
  <c r="G141" i="16"/>
  <c r="G144" i="16"/>
  <c r="G155" i="16"/>
  <c r="G157" i="16"/>
  <c r="G160" i="16"/>
  <c r="J170" i="16"/>
  <c r="G174" i="16"/>
  <c r="J178" i="16"/>
  <c r="G182" i="16"/>
  <c r="J188" i="16"/>
  <c r="J190" i="16"/>
  <c r="G194" i="16"/>
  <c r="G195" i="16"/>
  <c r="G210" i="16"/>
  <c r="G211" i="16"/>
  <c r="G226" i="16"/>
  <c r="G227" i="16"/>
  <c r="G242" i="16"/>
  <c r="G243" i="16"/>
  <c r="G258" i="16"/>
  <c r="G259" i="16"/>
  <c r="G274" i="16"/>
  <c r="G275" i="16"/>
  <c r="G290" i="16"/>
  <c r="G291" i="16"/>
  <c r="G306" i="16"/>
  <c r="G307" i="16"/>
  <c r="G322" i="16"/>
  <c r="G323" i="16"/>
  <c r="G334" i="87"/>
  <c r="E330" i="87"/>
  <c r="C330" i="87"/>
  <c r="C331" i="87"/>
  <c r="E331" i="87"/>
  <c r="D334" i="87"/>
  <c r="C334" i="87"/>
  <c r="G204" i="16"/>
  <c r="J204" i="16"/>
  <c r="G236" i="16"/>
  <c r="J236" i="16"/>
  <c r="G268" i="16"/>
  <c r="J268" i="16"/>
  <c r="G284" i="16"/>
  <c r="J284" i="16"/>
  <c r="G300" i="16"/>
  <c r="J300" i="16"/>
  <c r="G316" i="16"/>
  <c r="J316" i="16"/>
  <c r="J140" i="16"/>
  <c r="J144" i="16"/>
  <c r="J148" i="16"/>
  <c r="J152" i="16"/>
  <c r="J156" i="16"/>
  <c r="J161" i="16"/>
  <c r="J164" i="16"/>
  <c r="G167" i="16"/>
  <c r="G200" i="16"/>
  <c r="J200" i="16"/>
  <c r="G216" i="16"/>
  <c r="J216" i="16"/>
  <c r="G232" i="16"/>
  <c r="J232" i="16"/>
  <c r="G248" i="16"/>
  <c r="J248" i="16"/>
  <c r="G264" i="16"/>
  <c r="J264" i="16"/>
  <c r="G280" i="16"/>
  <c r="J280" i="16"/>
  <c r="G296" i="16"/>
  <c r="J296" i="16"/>
  <c r="G312" i="16"/>
  <c r="J312" i="16"/>
  <c r="G328" i="16"/>
  <c r="J328" i="16"/>
  <c r="G252" i="16"/>
  <c r="J252" i="16"/>
  <c r="J141" i="16"/>
  <c r="J145" i="16"/>
  <c r="J149" i="16"/>
  <c r="J153" i="16"/>
  <c r="J157" i="16"/>
  <c r="G171" i="16"/>
  <c r="G172" i="16"/>
  <c r="G175" i="16"/>
  <c r="G176" i="16"/>
  <c r="G179" i="16"/>
  <c r="G180" i="16"/>
  <c r="G183" i="16"/>
  <c r="G184" i="16"/>
  <c r="G187" i="16"/>
  <c r="G188" i="16"/>
  <c r="G191" i="16"/>
  <c r="G192" i="16"/>
  <c r="G196" i="16"/>
  <c r="J196" i="16"/>
  <c r="J199" i="16"/>
  <c r="G212" i="16"/>
  <c r="J212" i="16"/>
  <c r="J215" i="16"/>
  <c r="G228" i="16"/>
  <c r="J228" i="16"/>
  <c r="J231" i="16"/>
  <c r="G244" i="16"/>
  <c r="J244" i="16"/>
  <c r="J247" i="16"/>
  <c r="G260" i="16"/>
  <c r="J260" i="16"/>
  <c r="J263" i="16"/>
  <c r="G276" i="16"/>
  <c r="J276" i="16"/>
  <c r="J279" i="16"/>
  <c r="G292" i="16"/>
  <c r="J292" i="16"/>
  <c r="J295" i="16"/>
  <c r="G308" i="16"/>
  <c r="J308" i="16"/>
  <c r="J311" i="16"/>
  <c r="G324" i="16"/>
  <c r="J324" i="16"/>
  <c r="J327" i="16"/>
  <c r="G220" i="16"/>
  <c r="J220" i="16"/>
  <c r="J160" i="16"/>
  <c r="G163" i="16"/>
  <c r="J168" i="16"/>
  <c r="J171" i="16"/>
  <c r="J175" i="16"/>
  <c r="J179" i="16"/>
  <c r="J183" i="16"/>
  <c r="J187" i="16"/>
  <c r="J191" i="16"/>
  <c r="J195" i="16"/>
  <c r="G208" i="16"/>
  <c r="J208" i="16"/>
  <c r="J211" i="16"/>
  <c r="G224" i="16"/>
  <c r="J224" i="16"/>
  <c r="J227" i="16"/>
  <c r="G240" i="16"/>
  <c r="J240" i="16"/>
  <c r="J243" i="16"/>
  <c r="G256" i="16"/>
  <c r="J256" i="16"/>
  <c r="J259" i="16"/>
  <c r="G272" i="16"/>
  <c r="J272" i="16"/>
  <c r="J275" i="16"/>
  <c r="G288" i="16"/>
  <c r="J288" i="16"/>
  <c r="J291" i="16"/>
  <c r="G304" i="16"/>
  <c r="J304" i="16"/>
  <c r="J307" i="16"/>
  <c r="G320" i="16"/>
  <c r="J320" i="16"/>
  <c r="J323" i="16"/>
  <c r="J329" i="96"/>
  <c r="J328" i="96"/>
  <c r="G329" i="96"/>
  <c r="G328" i="96"/>
  <c r="BF329" i="14"/>
  <c r="BF328" i="14"/>
  <c r="BC329" i="14"/>
  <c r="BC328" i="14"/>
  <c r="AH329" i="14"/>
  <c r="AH328" i="14"/>
  <c r="AE329" i="14"/>
  <c r="AE328" i="14"/>
  <c r="V329" i="14"/>
  <c r="V328" i="14"/>
  <c r="S329" i="14"/>
  <c r="S328" i="14"/>
  <c r="J329" i="13"/>
  <c r="J328" i="13"/>
  <c r="G329" i="13"/>
  <c r="G328" i="13"/>
  <c r="J329" i="12"/>
  <c r="J328" i="12"/>
  <c r="G329" i="12"/>
  <c r="G328" i="12"/>
  <c r="DZ329" i="15"/>
  <c r="DZ328" i="15"/>
  <c r="DW329" i="15"/>
  <c r="DW328" i="15"/>
  <c r="CP329" i="15"/>
  <c r="CP328" i="15"/>
  <c r="CM329" i="15"/>
  <c r="CM328" i="15"/>
  <c r="CD329" i="15"/>
  <c r="CD328" i="15"/>
  <c r="CA329" i="15"/>
  <c r="CA328" i="15"/>
  <c r="BR329" i="15"/>
  <c r="BR328" i="15"/>
  <c r="BO329" i="15"/>
  <c r="BO328" i="15"/>
  <c r="BF329" i="15"/>
  <c r="BF328" i="15"/>
  <c r="BC329" i="15"/>
  <c r="BC328" i="15"/>
  <c r="AT329" i="15"/>
  <c r="AT328" i="15"/>
  <c r="AQ329" i="15"/>
  <c r="AQ328" i="15"/>
  <c r="V329" i="15"/>
  <c r="V328" i="15"/>
  <c r="S329" i="15"/>
  <c r="S328" i="15"/>
  <c r="DM329" i="15"/>
  <c r="I329" i="15" s="1"/>
  <c r="DL329" i="15"/>
  <c r="H329" i="15" s="1"/>
  <c r="DJ329" i="15"/>
  <c r="F329" i="15" s="1"/>
  <c r="J329" i="1"/>
  <c r="J328" i="1"/>
  <c r="G329" i="1"/>
  <c r="G328" i="1"/>
  <c r="AT329" i="17"/>
  <c r="AT328" i="17"/>
  <c r="AQ329" i="17"/>
  <c r="AQ328" i="17"/>
  <c r="AH329" i="17"/>
  <c r="AH328" i="17"/>
  <c r="AE329" i="17"/>
  <c r="V329" i="17"/>
  <c r="V328" i="17"/>
  <c r="S329" i="17"/>
  <c r="S328" i="17"/>
  <c r="BR329" i="16"/>
  <c r="BR328" i="16"/>
  <c r="BO329" i="16"/>
  <c r="BO328" i="16"/>
  <c r="AT329" i="16"/>
  <c r="AT328" i="16"/>
  <c r="AQ329" i="16"/>
  <c r="AQ328" i="16"/>
  <c r="AH329" i="16"/>
  <c r="AH328" i="16"/>
  <c r="AE329" i="16"/>
  <c r="AE328" i="16"/>
  <c r="V329" i="16"/>
  <c r="V328" i="16"/>
  <c r="S329" i="16"/>
  <c r="S328" i="16"/>
  <c r="DM328" i="15"/>
  <c r="I328" i="15" s="1"/>
  <c r="DL328" i="15"/>
  <c r="H328" i="15" s="1"/>
  <c r="DJ328" i="15"/>
  <c r="F328" i="15" s="1"/>
  <c r="G329" i="15" l="1"/>
  <c r="G328" i="15"/>
  <c r="J329" i="15"/>
  <c r="E329" i="15"/>
  <c r="C328" i="15"/>
  <c r="D328" i="15"/>
  <c r="C329" i="15"/>
  <c r="D329" i="15"/>
  <c r="J328" i="15"/>
  <c r="E328" i="15"/>
  <c r="DI328" i="15"/>
  <c r="DI329" i="15"/>
  <c r="DG328" i="15"/>
  <c r="DH328" i="15"/>
  <c r="DG329" i="15"/>
  <c r="DH329" i="15"/>
  <c r="DN329" i="15"/>
  <c r="DK328" i="15"/>
  <c r="DN328" i="15"/>
  <c r="DK329" i="15"/>
  <c r="J327" i="96"/>
  <c r="J326" i="96"/>
  <c r="J325" i="96"/>
  <c r="J324" i="96"/>
  <c r="G327" i="96"/>
  <c r="G326" i="96"/>
  <c r="G325" i="96"/>
  <c r="G324" i="96"/>
  <c r="AE327" i="14"/>
  <c r="AE326" i="14"/>
  <c r="AE325" i="14"/>
  <c r="AE324" i="14"/>
  <c r="AE323" i="14"/>
  <c r="BC327" i="14"/>
  <c r="BC326" i="14"/>
  <c r="BC325" i="14"/>
  <c r="BC324" i="14"/>
  <c r="BF327" i="14"/>
  <c r="BF326" i="14"/>
  <c r="BF325" i="14"/>
  <c r="BF324" i="14"/>
  <c r="BF323" i="14"/>
  <c r="AH327" i="14"/>
  <c r="AH326" i="14"/>
  <c r="AH325" i="14"/>
  <c r="AH324" i="14"/>
  <c r="AH323" i="14"/>
  <c r="V327" i="14"/>
  <c r="V326" i="14"/>
  <c r="V325" i="14"/>
  <c r="V324" i="14"/>
  <c r="S327" i="14"/>
  <c r="S326" i="14"/>
  <c r="S325" i="14"/>
  <c r="S324" i="14"/>
  <c r="J327" i="13"/>
  <c r="J326" i="13"/>
  <c r="J325" i="13"/>
  <c r="J324" i="13"/>
  <c r="G327" i="13"/>
  <c r="G326" i="13"/>
  <c r="G325" i="13"/>
  <c r="G324" i="13"/>
  <c r="J327" i="12"/>
  <c r="J326" i="12"/>
  <c r="J325" i="12"/>
  <c r="J324" i="12"/>
  <c r="G327" i="12"/>
  <c r="G326" i="12"/>
  <c r="G325" i="12"/>
  <c r="G324" i="12"/>
  <c r="DZ327" i="15"/>
  <c r="DZ326" i="15"/>
  <c r="DZ325" i="15"/>
  <c r="DZ324" i="15"/>
  <c r="DZ323" i="15"/>
  <c r="DB326" i="15"/>
  <c r="DB325" i="15"/>
  <c r="DB324" i="15"/>
  <c r="DB323" i="15"/>
  <c r="CP327" i="15"/>
  <c r="CP326" i="15"/>
  <c r="CP325" i="15"/>
  <c r="CP324" i="15"/>
  <c r="CP323" i="15"/>
  <c r="CD327" i="15"/>
  <c r="CD326" i="15"/>
  <c r="CD325" i="15"/>
  <c r="CD324" i="15"/>
  <c r="CD323" i="15"/>
  <c r="BR327" i="15"/>
  <c r="BR326" i="15"/>
  <c r="BR325" i="15"/>
  <c r="BR324" i="15"/>
  <c r="BR323" i="15"/>
  <c r="BF327" i="15"/>
  <c r="BF326" i="15"/>
  <c r="BF325" i="15"/>
  <c r="BF324" i="15"/>
  <c r="BF323" i="15"/>
  <c r="AT327" i="15"/>
  <c r="AT326" i="15"/>
  <c r="AT325" i="15"/>
  <c r="AT324" i="15"/>
  <c r="AT323" i="15"/>
  <c r="V327" i="15"/>
  <c r="V326" i="15"/>
  <c r="V325" i="15"/>
  <c r="V324" i="15"/>
  <c r="DW327" i="15"/>
  <c r="DW326" i="15"/>
  <c r="DW325" i="15"/>
  <c r="DW324" i="15"/>
  <c r="DW323" i="15"/>
  <c r="CY326" i="15"/>
  <c r="CY325" i="15"/>
  <c r="CY324" i="15"/>
  <c r="CY323" i="15"/>
  <c r="CM327" i="15"/>
  <c r="CM326" i="15"/>
  <c r="CM325" i="15"/>
  <c r="CM324" i="15"/>
  <c r="CM323" i="15"/>
  <c r="CA327" i="15"/>
  <c r="CA326" i="15"/>
  <c r="CA325" i="15"/>
  <c r="CA324" i="15"/>
  <c r="CA323" i="15"/>
  <c r="BO327" i="15"/>
  <c r="BO326" i="15"/>
  <c r="BO325" i="15"/>
  <c r="BO324" i="15"/>
  <c r="BO323" i="15"/>
  <c r="BC327" i="15"/>
  <c r="BC326" i="15"/>
  <c r="BC325" i="15"/>
  <c r="BC324" i="15"/>
  <c r="BC323" i="15"/>
  <c r="AQ327" i="15"/>
  <c r="AQ326" i="15"/>
  <c r="AQ325" i="15"/>
  <c r="AQ324" i="15"/>
  <c r="AQ323" i="15"/>
  <c r="S327" i="15"/>
  <c r="S326" i="15"/>
  <c r="S325" i="15"/>
  <c r="S324" i="15"/>
  <c r="J327" i="1"/>
  <c r="J326" i="1"/>
  <c r="J325" i="1"/>
  <c r="J324" i="1"/>
  <c r="G327" i="1"/>
  <c r="G326" i="1"/>
  <c r="G325" i="1"/>
  <c r="G324" i="1"/>
  <c r="AT327" i="17"/>
  <c r="AT326" i="17"/>
  <c r="AT325" i="17"/>
  <c r="AT324" i="17"/>
  <c r="AT323" i="17"/>
  <c r="AH327" i="17"/>
  <c r="AH326" i="17"/>
  <c r="AH325" i="17"/>
  <c r="AH324" i="17"/>
  <c r="AH323" i="17"/>
  <c r="V327" i="17"/>
  <c r="V326" i="17"/>
  <c r="V325" i="17"/>
  <c r="V324" i="17"/>
  <c r="S327" i="17"/>
  <c r="S326" i="17"/>
  <c r="S325" i="17"/>
  <c r="S324" i="17"/>
  <c r="S323" i="17"/>
  <c r="AQ327" i="17"/>
  <c r="AQ326" i="17"/>
  <c r="AQ325" i="17"/>
  <c r="AQ324" i="17"/>
  <c r="AQ323" i="17"/>
  <c r="AE327" i="17"/>
  <c r="AE326" i="17"/>
  <c r="AE325" i="17"/>
  <c r="AE324" i="17"/>
  <c r="AE323" i="17"/>
  <c r="BR327" i="16"/>
  <c r="BR326" i="16"/>
  <c r="BR325" i="16"/>
  <c r="BR324" i="16"/>
  <c r="BR323" i="16"/>
  <c r="BF327" i="16"/>
  <c r="BF326" i="16"/>
  <c r="BF325" i="16"/>
  <c r="BF324" i="16"/>
  <c r="BF323" i="16"/>
  <c r="AT327" i="16"/>
  <c r="AT326" i="16"/>
  <c r="AT325" i="16"/>
  <c r="AT324" i="16"/>
  <c r="AT323" i="16"/>
  <c r="AH327" i="16"/>
  <c r="AH326" i="16"/>
  <c r="AH325" i="16"/>
  <c r="AH324" i="16"/>
  <c r="AH323" i="16"/>
  <c r="BO327" i="16"/>
  <c r="BO326" i="16"/>
  <c r="BO325" i="16"/>
  <c r="BO324" i="16"/>
  <c r="BO323" i="16"/>
  <c r="BC327" i="16"/>
  <c r="BC326" i="16"/>
  <c r="BC325" i="16"/>
  <c r="BC324" i="16"/>
  <c r="BC323" i="16"/>
  <c r="AQ327" i="16"/>
  <c r="AQ326" i="16"/>
  <c r="AQ325" i="16"/>
  <c r="AQ324" i="16"/>
  <c r="AQ323" i="16"/>
  <c r="AE327" i="16"/>
  <c r="AE326" i="16"/>
  <c r="AE325" i="16"/>
  <c r="AE324" i="16"/>
  <c r="AE323" i="16"/>
  <c r="V327" i="16"/>
  <c r="V326" i="16"/>
  <c r="V325" i="16"/>
  <c r="V324" i="16"/>
  <c r="S327" i="16"/>
  <c r="S326" i="16"/>
  <c r="S325" i="16"/>
  <c r="S324" i="16"/>
  <c r="DM327" i="15"/>
  <c r="I327" i="15" s="1"/>
  <c r="DL327" i="15"/>
  <c r="H327" i="15" s="1"/>
  <c r="DJ327" i="15"/>
  <c r="F327" i="15" s="1"/>
  <c r="DM326" i="15"/>
  <c r="I326" i="15" s="1"/>
  <c r="DL326" i="15"/>
  <c r="H326" i="15" s="1"/>
  <c r="DJ326" i="15"/>
  <c r="F326" i="15" s="1"/>
  <c r="DM325" i="15"/>
  <c r="I325" i="15" s="1"/>
  <c r="DL325" i="15"/>
  <c r="H325" i="15" s="1"/>
  <c r="DJ325" i="15"/>
  <c r="F325" i="15" s="1"/>
  <c r="DM324" i="15"/>
  <c r="I324" i="15" s="1"/>
  <c r="DL324" i="15"/>
  <c r="H324" i="15" s="1"/>
  <c r="DJ324" i="15"/>
  <c r="F324" i="15" s="1"/>
  <c r="G325" i="15" l="1"/>
  <c r="G326" i="15"/>
  <c r="G324" i="15"/>
  <c r="C324" i="15"/>
  <c r="D324" i="15"/>
  <c r="J327" i="15"/>
  <c r="E327" i="15"/>
  <c r="J326" i="15"/>
  <c r="E326" i="15"/>
  <c r="C327" i="15"/>
  <c r="D327" i="15"/>
  <c r="J325" i="15"/>
  <c r="E325" i="15"/>
  <c r="D326" i="15"/>
  <c r="C326" i="15"/>
  <c r="J324" i="15"/>
  <c r="E324" i="15"/>
  <c r="C325" i="15"/>
  <c r="D325" i="15"/>
  <c r="G327" i="15"/>
  <c r="DI326" i="15"/>
  <c r="DG327" i="15"/>
  <c r="DH327" i="15"/>
  <c r="DI325" i="15"/>
  <c r="DH326" i="15"/>
  <c r="DG326" i="15"/>
  <c r="DG325" i="15"/>
  <c r="DH325" i="15"/>
  <c r="DI324" i="15"/>
  <c r="DG324" i="15"/>
  <c r="DH324" i="15"/>
  <c r="DI327" i="15"/>
  <c r="DN324" i="15"/>
  <c r="DK326" i="15"/>
  <c r="DK325" i="15"/>
  <c r="DN327" i="15"/>
  <c r="DN326" i="15"/>
  <c r="DK324" i="15"/>
  <c r="DN325" i="15"/>
  <c r="DK327" i="15"/>
  <c r="DK321" i="15"/>
  <c r="DK320" i="15"/>
  <c r="DK319" i="15"/>
  <c r="DK318" i="15"/>
  <c r="DM323" i="15"/>
  <c r="I323" i="15" s="1"/>
  <c r="DM322" i="15"/>
  <c r="I322" i="15" s="1"/>
  <c r="DL323" i="15"/>
  <c r="H323" i="15" s="1"/>
  <c r="DL322" i="15"/>
  <c r="H322" i="15" s="1"/>
  <c r="DJ323" i="15"/>
  <c r="F323" i="15" s="1"/>
  <c r="DJ322" i="15"/>
  <c r="F322" i="15" s="1"/>
  <c r="J323" i="96"/>
  <c r="J322" i="96"/>
  <c r="G323" i="96"/>
  <c r="G322" i="96"/>
  <c r="S323" i="14"/>
  <c r="S322" i="14"/>
  <c r="V323" i="14"/>
  <c r="V322" i="14"/>
  <c r="AH322" i="14"/>
  <c r="AE322" i="14"/>
  <c r="BF322" i="14"/>
  <c r="BC323" i="14"/>
  <c r="BC322" i="14"/>
  <c r="J323" i="13"/>
  <c r="J322" i="13"/>
  <c r="G323" i="13"/>
  <c r="G322" i="13"/>
  <c r="J323" i="12"/>
  <c r="J322" i="12"/>
  <c r="G323" i="12"/>
  <c r="G322" i="12"/>
  <c r="CY322" i="15"/>
  <c r="CM322" i="15"/>
  <c r="CA322" i="15"/>
  <c r="BO322" i="15"/>
  <c r="BC322" i="15"/>
  <c r="AQ322" i="15"/>
  <c r="S323" i="15"/>
  <c r="S322" i="15"/>
  <c r="V323" i="15"/>
  <c r="V322" i="15"/>
  <c r="AT322" i="15"/>
  <c r="BF322" i="15"/>
  <c r="BR322" i="15"/>
  <c r="CD322" i="15"/>
  <c r="CP322" i="15"/>
  <c r="DB322" i="15"/>
  <c r="DW322" i="15"/>
  <c r="DZ322" i="15"/>
  <c r="J323" i="1"/>
  <c r="J322" i="1"/>
  <c r="G323" i="1"/>
  <c r="G322" i="1"/>
  <c r="AQ322" i="17"/>
  <c r="AE322" i="17"/>
  <c r="S322" i="17"/>
  <c r="V323" i="17"/>
  <c r="V322" i="17"/>
  <c r="AH322" i="17"/>
  <c r="AT322" i="17"/>
  <c r="BR322" i="16"/>
  <c r="BF322" i="16"/>
  <c r="AT322" i="16"/>
  <c r="AH322" i="16"/>
  <c r="V323" i="16"/>
  <c r="V322" i="16"/>
  <c r="S323" i="16"/>
  <c r="S322" i="16"/>
  <c r="AE322" i="16"/>
  <c r="AQ322" i="16"/>
  <c r="BC322" i="16"/>
  <c r="BO322" i="16"/>
  <c r="G322" i="15" l="1"/>
  <c r="G323" i="15"/>
  <c r="J323" i="15"/>
  <c r="E323" i="15"/>
  <c r="D322" i="15"/>
  <c r="C322" i="15"/>
  <c r="C323" i="15"/>
  <c r="D323" i="15"/>
  <c r="J322" i="15"/>
  <c r="E322" i="15"/>
  <c r="DI323" i="15"/>
  <c r="DH322" i="15"/>
  <c r="DG322" i="15"/>
  <c r="DG323" i="15"/>
  <c r="DH323" i="15"/>
  <c r="DI322" i="15"/>
  <c r="DN323" i="15"/>
  <c r="DN322" i="15"/>
  <c r="DK323" i="15"/>
  <c r="DK322" i="15"/>
  <c r="J321" i="96" l="1"/>
  <c r="J320" i="96"/>
  <c r="G321" i="96"/>
  <c r="G320" i="96"/>
  <c r="H320" i="14" l="1"/>
  <c r="F321" i="14"/>
  <c r="E321" i="14" s="1"/>
  <c r="F320" i="14"/>
  <c r="E320" i="14" l="1"/>
  <c r="D320" i="14"/>
  <c r="C320" i="14"/>
  <c r="C321" i="14"/>
  <c r="D321" i="14"/>
  <c r="BC321" i="14"/>
  <c r="BC320" i="14"/>
  <c r="BF321" i="14"/>
  <c r="BF320" i="14"/>
  <c r="V321" i="14"/>
  <c r="V320" i="14"/>
  <c r="S321" i="14"/>
  <c r="S320" i="14"/>
  <c r="AH321" i="14"/>
  <c r="AH320" i="14"/>
  <c r="AE321" i="14"/>
  <c r="AE320" i="14"/>
  <c r="J321" i="13"/>
  <c r="J320" i="13"/>
  <c r="G321" i="13"/>
  <c r="G320" i="13"/>
  <c r="J321" i="12"/>
  <c r="J320" i="12"/>
  <c r="G321" i="12"/>
  <c r="G320" i="12"/>
  <c r="V321" i="15"/>
  <c r="V320" i="15"/>
  <c r="S321" i="15"/>
  <c r="S320" i="15"/>
  <c r="AQ321" i="15"/>
  <c r="AQ320" i="15"/>
  <c r="AT321" i="15"/>
  <c r="AT320" i="15"/>
  <c r="BC321" i="15"/>
  <c r="BC320" i="15"/>
  <c r="BF321" i="15"/>
  <c r="BF320" i="15"/>
  <c r="BO321" i="15"/>
  <c r="BO320" i="15"/>
  <c r="BR321" i="15"/>
  <c r="BR320" i="15"/>
  <c r="CA321" i="15"/>
  <c r="CA320" i="15"/>
  <c r="CD321" i="15"/>
  <c r="CD320" i="15"/>
  <c r="CM321" i="15"/>
  <c r="CM320" i="15"/>
  <c r="CP321" i="15"/>
  <c r="CP320" i="15"/>
  <c r="CY321" i="15"/>
  <c r="CY320" i="15"/>
  <c r="DB321" i="15"/>
  <c r="DB320" i="15"/>
  <c r="DN321" i="15"/>
  <c r="DN320" i="15"/>
  <c r="DW321" i="15"/>
  <c r="DW320" i="15"/>
  <c r="DZ321" i="15"/>
  <c r="DZ320" i="15"/>
  <c r="J321" i="1"/>
  <c r="J320" i="1"/>
  <c r="G321" i="1"/>
  <c r="G320" i="1"/>
  <c r="AT321" i="17"/>
  <c r="AT320" i="17"/>
  <c r="AH321" i="17"/>
  <c r="AH320" i="17"/>
  <c r="V321" i="17"/>
  <c r="V320" i="17"/>
  <c r="S321" i="17"/>
  <c r="S320" i="17"/>
  <c r="AQ321" i="17"/>
  <c r="AQ320" i="17"/>
  <c r="AE321" i="17"/>
  <c r="AE320" i="17"/>
  <c r="BF321" i="16"/>
  <c r="BF320" i="16"/>
  <c r="BF319" i="16"/>
  <c r="AT321" i="16"/>
  <c r="AT320" i="16"/>
  <c r="AT319" i="16"/>
  <c r="AH321" i="16"/>
  <c r="AH320" i="16"/>
  <c r="AH319" i="16"/>
  <c r="V321" i="16"/>
  <c r="V320" i="16"/>
  <c r="S321" i="16"/>
  <c r="S320" i="16"/>
  <c r="AE321" i="16"/>
  <c r="AE320" i="16"/>
  <c r="AQ321" i="16"/>
  <c r="AQ320" i="16"/>
  <c r="BC321" i="16"/>
  <c r="BC320" i="16"/>
  <c r="BO321" i="16"/>
  <c r="BO320" i="16"/>
  <c r="BR321" i="16"/>
  <c r="BR320" i="16"/>
  <c r="S319" i="15"/>
  <c r="AQ319" i="15"/>
  <c r="BC319" i="15"/>
  <c r="BO319" i="15"/>
  <c r="CA319" i="15"/>
  <c r="CY319" i="15"/>
  <c r="G319" i="96" l="1"/>
  <c r="G318" i="96"/>
  <c r="J319" i="96"/>
  <c r="J318" i="96"/>
  <c r="AE319" i="14"/>
  <c r="AE318" i="14"/>
  <c r="S319" i="14"/>
  <c r="S318" i="14"/>
  <c r="AH319" i="14"/>
  <c r="AH318" i="14"/>
  <c r="V319" i="14"/>
  <c r="V318" i="14"/>
  <c r="E326" i="14"/>
  <c r="G319" i="13"/>
  <c r="G318" i="13"/>
  <c r="J319" i="13"/>
  <c r="J318" i="13"/>
  <c r="G319" i="12"/>
  <c r="G318" i="12"/>
  <c r="J319" i="12"/>
  <c r="J318" i="12"/>
  <c r="DW319" i="15"/>
  <c r="DW318" i="15"/>
  <c r="CY318" i="15"/>
  <c r="CM319" i="15"/>
  <c r="CM318" i="15"/>
  <c r="CA318" i="15"/>
  <c r="BO318" i="15"/>
  <c r="BC318" i="15"/>
  <c r="AQ318" i="15"/>
  <c r="S318" i="15"/>
  <c r="V319" i="15"/>
  <c r="V318" i="15"/>
  <c r="AT319" i="15"/>
  <c r="AT318" i="15"/>
  <c r="BF319" i="15"/>
  <c r="BF318" i="15"/>
  <c r="BR319" i="15"/>
  <c r="BR318" i="15"/>
  <c r="CD319" i="15"/>
  <c r="CD318" i="15"/>
  <c r="CP319" i="15"/>
  <c r="CP318" i="15"/>
  <c r="DB319" i="15"/>
  <c r="DB318" i="15"/>
  <c r="DN319" i="15"/>
  <c r="DN318" i="15"/>
  <c r="DZ319" i="15"/>
  <c r="DZ318" i="15"/>
  <c r="G319" i="1"/>
  <c r="G318" i="1"/>
  <c r="J319" i="1"/>
  <c r="J318" i="1"/>
  <c r="AH319" i="17"/>
  <c r="AH318" i="17"/>
  <c r="V319" i="17"/>
  <c r="V318" i="17"/>
  <c r="S319" i="17"/>
  <c r="S318" i="17"/>
  <c r="AE319" i="17"/>
  <c r="AE318" i="17"/>
  <c r="AQ319" i="17"/>
  <c r="AQ318" i="17"/>
  <c r="AT319" i="17"/>
  <c r="AT318" i="17"/>
  <c r="I329" i="17"/>
  <c r="H329" i="17"/>
  <c r="F329" i="17"/>
  <c r="I328" i="17"/>
  <c r="F328" i="17"/>
  <c r="I327" i="17"/>
  <c r="H327" i="17"/>
  <c r="F327" i="17"/>
  <c r="I326" i="17"/>
  <c r="H326" i="17"/>
  <c r="F326" i="17"/>
  <c r="I325" i="17"/>
  <c r="H325" i="17"/>
  <c r="F325" i="17"/>
  <c r="I324" i="17"/>
  <c r="H324" i="17"/>
  <c r="F324" i="17"/>
  <c r="I323" i="17"/>
  <c r="H323" i="17"/>
  <c r="F323" i="17"/>
  <c r="I322" i="17"/>
  <c r="H322" i="17"/>
  <c r="F322" i="17"/>
  <c r="I321" i="17"/>
  <c r="H321" i="17"/>
  <c r="F321" i="17"/>
  <c r="I320" i="17"/>
  <c r="H320" i="17"/>
  <c r="F320" i="17"/>
  <c r="I319" i="17"/>
  <c r="H319" i="17"/>
  <c r="F319" i="17"/>
  <c r="I318" i="17"/>
  <c r="H318" i="17"/>
  <c r="F318" i="17"/>
  <c r="V319" i="16"/>
  <c r="V318" i="16"/>
  <c r="AH318" i="16"/>
  <c r="AT318" i="16"/>
  <c r="BF318" i="16"/>
  <c r="S319" i="16"/>
  <c r="S318" i="16"/>
  <c r="AE319" i="16"/>
  <c r="AE318" i="16"/>
  <c r="AQ319" i="16"/>
  <c r="AQ318" i="16"/>
  <c r="BC319" i="16"/>
  <c r="BC318" i="16"/>
  <c r="BR319" i="16"/>
  <c r="BO319" i="16"/>
  <c r="BR318" i="16"/>
  <c r="BO318" i="16"/>
  <c r="G318" i="17" l="1"/>
  <c r="F318" i="87"/>
  <c r="J319" i="17"/>
  <c r="E319" i="17"/>
  <c r="H319" i="87"/>
  <c r="C320" i="17"/>
  <c r="D320" i="17"/>
  <c r="I320" i="87"/>
  <c r="G322" i="17"/>
  <c r="F322" i="87"/>
  <c r="J323" i="17"/>
  <c r="E323" i="17"/>
  <c r="H323" i="87"/>
  <c r="C324" i="17"/>
  <c r="D324" i="17"/>
  <c r="I324" i="87"/>
  <c r="G326" i="17"/>
  <c r="F326" i="87"/>
  <c r="J327" i="17"/>
  <c r="E327" i="17"/>
  <c r="H327" i="87"/>
  <c r="G329" i="17"/>
  <c r="F329" i="87"/>
  <c r="J318" i="17"/>
  <c r="E318" i="17"/>
  <c r="H318" i="87"/>
  <c r="D319" i="17"/>
  <c r="C319" i="17"/>
  <c r="I319" i="87"/>
  <c r="G321" i="17"/>
  <c r="F321" i="87"/>
  <c r="J322" i="17"/>
  <c r="E322" i="17"/>
  <c r="H322" i="87"/>
  <c r="D323" i="17"/>
  <c r="C323" i="17"/>
  <c r="I323" i="87"/>
  <c r="G325" i="17"/>
  <c r="F325" i="87"/>
  <c r="J326" i="17"/>
  <c r="E326" i="17"/>
  <c r="H326" i="87"/>
  <c r="D327" i="17"/>
  <c r="C327" i="17"/>
  <c r="I327" i="87"/>
  <c r="J329" i="17"/>
  <c r="E329" i="17"/>
  <c r="H329" i="87"/>
  <c r="D318" i="17"/>
  <c r="C318" i="17"/>
  <c r="I318" i="87"/>
  <c r="G320" i="17"/>
  <c r="F320" i="87"/>
  <c r="J321" i="17"/>
  <c r="E321" i="17"/>
  <c r="H321" i="87"/>
  <c r="D322" i="17"/>
  <c r="C322" i="17"/>
  <c r="I322" i="87"/>
  <c r="G324" i="17"/>
  <c r="F324" i="87"/>
  <c r="J325" i="17"/>
  <c r="E325" i="17"/>
  <c r="H325" i="87"/>
  <c r="D326" i="17"/>
  <c r="C326" i="17"/>
  <c r="I326" i="87"/>
  <c r="F328" i="87"/>
  <c r="D329" i="17"/>
  <c r="C329" i="17"/>
  <c r="I329" i="87"/>
  <c r="G319" i="17"/>
  <c r="F319" i="87"/>
  <c r="J320" i="17"/>
  <c r="E320" i="17"/>
  <c r="H320" i="87"/>
  <c r="D321" i="17"/>
  <c r="C321" i="17"/>
  <c r="I321" i="87"/>
  <c r="G323" i="17"/>
  <c r="F323" i="87"/>
  <c r="J324" i="17"/>
  <c r="E324" i="17"/>
  <c r="H324" i="87"/>
  <c r="J324" i="87" s="1"/>
  <c r="D325" i="17"/>
  <c r="C325" i="17"/>
  <c r="I325" i="87"/>
  <c r="G327" i="17"/>
  <c r="F327" i="87"/>
  <c r="G327" i="87" s="1"/>
  <c r="C328" i="17"/>
  <c r="I328" i="87"/>
  <c r="E322" i="14"/>
  <c r="E319" i="14"/>
  <c r="D322" i="14"/>
  <c r="C322" i="14"/>
  <c r="E325" i="14"/>
  <c r="D326" i="14"/>
  <c r="C326" i="14"/>
  <c r="E329" i="14"/>
  <c r="C323" i="14"/>
  <c r="D323" i="14"/>
  <c r="E318" i="14"/>
  <c r="D319" i="14"/>
  <c r="C319" i="14"/>
  <c r="E324" i="14"/>
  <c r="C325" i="14"/>
  <c r="D325" i="14"/>
  <c r="E328" i="14"/>
  <c r="C329" i="14"/>
  <c r="D329" i="14"/>
  <c r="D327" i="14"/>
  <c r="C327" i="14"/>
  <c r="D318" i="14"/>
  <c r="C318" i="14"/>
  <c r="E323" i="14"/>
  <c r="D324" i="14"/>
  <c r="C324" i="14"/>
  <c r="E327" i="14"/>
  <c r="D328" i="14"/>
  <c r="C328" i="14"/>
  <c r="J323" i="14"/>
  <c r="G322" i="14"/>
  <c r="G320" i="14"/>
  <c r="G324" i="14"/>
  <c r="J319" i="14"/>
  <c r="G323" i="14"/>
  <c r="J324" i="14"/>
  <c r="G329" i="14"/>
  <c r="G319" i="14"/>
  <c r="G325" i="14"/>
  <c r="J328" i="14"/>
  <c r="J322" i="14"/>
  <c r="J320" i="14"/>
  <c r="G321" i="14"/>
  <c r="G326" i="14"/>
  <c r="J327" i="14"/>
  <c r="G327" i="14"/>
  <c r="G328" i="14"/>
  <c r="J326" i="14"/>
  <c r="G318" i="14"/>
  <c r="J321" i="14"/>
  <c r="J325" i="14"/>
  <c r="J329" i="14"/>
  <c r="J318" i="14"/>
  <c r="G323" i="87" l="1"/>
  <c r="D318" i="87"/>
  <c r="G319" i="87"/>
  <c r="D325" i="87"/>
  <c r="C325" i="87"/>
  <c r="D321" i="87"/>
  <c r="C321" i="87"/>
  <c r="D329" i="87"/>
  <c r="C329" i="87"/>
  <c r="J325" i="87"/>
  <c r="E325" i="87"/>
  <c r="J321" i="87"/>
  <c r="E321" i="87"/>
  <c r="E329" i="87"/>
  <c r="J329" i="87"/>
  <c r="D324" i="87"/>
  <c r="C324" i="87"/>
  <c r="C320" i="87"/>
  <c r="D320" i="87"/>
  <c r="D326" i="87"/>
  <c r="C326" i="87"/>
  <c r="D322" i="87"/>
  <c r="C322" i="87"/>
  <c r="G325" i="87"/>
  <c r="G321" i="87"/>
  <c r="G329" i="87"/>
  <c r="J326" i="87"/>
  <c r="E326" i="87"/>
  <c r="J322" i="87"/>
  <c r="E322" i="87"/>
  <c r="J318" i="87"/>
  <c r="E318" i="87"/>
  <c r="G326" i="87"/>
  <c r="G322" i="87"/>
  <c r="C318" i="87"/>
  <c r="G318" i="87"/>
  <c r="C328" i="87"/>
  <c r="J320" i="87"/>
  <c r="E320" i="87"/>
  <c r="E324" i="87"/>
  <c r="G324" i="87"/>
  <c r="G320" i="87"/>
  <c r="D327" i="87"/>
  <c r="C327" i="87"/>
  <c r="D323" i="87"/>
  <c r="C323" i="87"/>
  <c r="D319" i="87"/>
  <c r="C319" i="87"/>
  <c r="J327" i="87"/>
  <c r="E327" i="87"/>
  <c r="J323" i="87"/>
  <c r="E323" i="87"/>
  <c r="J319" i="87"/>
  <c r="E319" i="87"/>
  <c r="E319" i="16"/>
  <c r="E321" i="16"/>
  <c r="E325" i="16"/>
  <c r="E327" i="16"/>
  <c r="C329" i="16"/>
  <c r="D329" i="16"/>
  <c r="D319" i="16"/>
  <c r="C319" i="16"/>
  <c r="D327" i="16"/>
  <c r="C327" i="16"/>
  <c r="E328" i="16"/>
  <c r="E318" i="16"/>
  <c r="E320" i="16"/>
  <c r="E322" i="16"/>
  <c r="E324" i="16"/>
  <c r="E326" i="16"/>
  <c r="D328" i="16"/>
  <c r="C328" i="16"/>
  <c r="E323" i="16"/>
  <c r="D321" i="16"/>
  <c r="C321" i="16"/>
  <c r="D323" i="16"/>
  <c r="C323" i="16"/>
  <c r="D325" i="16"/>
  <c r="C325" i="16"/>
  <c r="C318" i="16"/>
  <c r="D318" i="16"/>
  <c r="D320" i="16"/>
  <c r="C320" i="16"/>
  <c r="C322" i="16"/>
  <c r="D322" i="16"/>
  <c r="D324" i="16"/>
  <c r="C324" i="16"/>
  <c r="C326" i="16"/>
  <c r="D326" i="16"/>
  <c r="E329" i="16"/>
  <c r="G317" i="96"/>
  <c r="G316" i="96"/>
  <c r="G315" i="96"/>
  <c r="S317" i="14"/>
  <c r="S316" i="14"/>
  <c r="S315" i="14"/>
  <c r="AE317" i="14"/>
  <c r="AE316" i="14"/>
  <c r="AE315" i="14"/>
  <c r="G317" i="13"/>
  <c r="G316" i="13"/>
  <c r="G315" i="13"/>
  <c r="G317" i="12"/>
  <c r="G316" i="12"/>
  <c r="G315" i="12"/>
  <c r="DW317" i="15"/>
  <c r="DW316" i="15"/>
  <c r="DW315" i="15"/>
  <c r="DK317" i="15"/>
  <c r="DK316" i="15"/>
  <c r="DK315" i="15"/>
  <c r="CY317" i="15"/>
  <c r="CY316" i="15"/>
  <c r="CY315" i="15"/>
  <c r="CM317" i="15"/>
  <c r="CM316" i="15"/>
  <c r="CM315" i="15"/>
  <c r="CA317" i="15"/>
  <c r="CA316" i="15"/>
  <c r="CA315" i="15"/>
  <c r="BO317" i="15"/>
  <c r="BO316" i="15"/>
  <c r="BO315" i="15"/>
  <c r="BC317" i="15"/>
  <c r="BC316" i="15"/>
  <c r="BC315" i="15"/>
  <c r="AQ317" i="15"/>
  <c r="AQ316" i="15"/>
  <c r="AQ315" i="15"/>
  <c r="S317" i="15"/>
  <c r="S316" i="15"/>
  <c r="S315" i="15"/>
  <c r="G317" i="1"/>
  <c r="G316" i="1"/>
  <c r="G315" i="1"/>
  <c r="AQ317" i="17"/>
  <c r="AQ316" i="17"/>
  <c r="AQ315" i="17"/>
  <c r="AE317" i="17"/>
  <c r="AE316" i="17"/>
  <c r="AE315" i="17"/>
  <c r="S317" i="17"/>
  <c r="S316" i="17"/>
  <c r="S315" i="17"/>
  <c r="BO317" i="16"/>
  <c r="BO316" i="16"/>
  <c r="BO315" i="16"/>
  <c r="BC317" i="16"/>
  <c r="BC316" i="16"/>
  <c r="BC315" i="16"/>
  <c r="AQ317" i="16"/>
  <c r="AQ316" i="16"/>
  <c r="AQ315" i="16"/>
  <c r="AE317" i="16"/>
  <c r="AE316" i="16"/>
  <c r="AE315" i="16"/>
  <c r="S317" i="16"/>
  <c r="S316" i="16"/>
  <c r="S315" i="16"/>
  <c r="CD317" i="15"/>
  <c r="CD316" i="15"/>
  <c r="CD315" i="15"/>
  <c r="G314" i="96" l="1"/>
  <c r="S314" i="14"/>
  <c r="AE314" i="14"/>
  <c r="G314" i="13"/>
  <c r="G314" i="12"/>
  <c r="S314" i="15"/>
  <c r="AQ314" i="15"/>
  <c r="BC314" i="15"/>
  <c r="BO314" i="15"/>
  <c r="CM314" i="15"/>
  <c r="CY314" i="15"/>
  <c r="DK314" i="15"/>
  <c r="DW314" i="15"/>
  <c r="G314" i="1"/>
  <c r="BO314" i="16"/>
  <c r="BC314" i="16"/>
  <c r="AQ314" i="16"/>
  <c r="AE314" i="16"/>
  <c r="S314" i="16"/>
  <c r="S314" i="17"/>
  <c r="AE314" i="17"/>
  <c r="AQ314" i="17"/>
  <c r="G313" i="96" l="1"/>
  <c r="G312" i="96"/>
  <c r="S313" i="14"/>
  <c r="S312" i="14"/>
  <c r="AE313" i="14"/>
  <c r="AE312" i="14"/>
  <c r="G313" i="13"/>
  <c r="G312" i="13"/>
  <c r="G313" i="12"/>
  <c r="G312" i="12"/>
  <c r="DW313" i="15"/>
  <c r="DW312" i="15"/>
  <c r="DK313" i="15"/>
  <c r="DK312" i="15"/>
  <c r="CY313" i="15"/>
  <c r="CY312" i="15"/>
  <c r="CM313" i="15"/>
  <c r="CM312" i="15"/>
  <c r="BO313" i="15"/>
  <c r="BO312" i="15"/>
  <c r="BC313" i="15"/>
  <c r="BC312" i="15"/>
  <c r="AQ313" i="15"/>
  <c r="AQ312" i="15"/>
  <c r="S313" i="15"/>
  <c r="S312" i="15"/>
  <c r="G313" i="1"/>
  <c r="G312" i="1"/>
  <c r="S313" i="17"/>
  <c r="S312" i="17"/>
  <c r="AE313" i="17"/>
  <c r="AE312" i="17"/>
  <c r="AQ313" i="17"/>
  <c r="AQ312" i="17"/>
  <c r="BO313" i="16"/>
  <c r="BO312" i="16"/>
  <c r="BC313" i="16"/>
  <c r="BC312" i="16"/>
  <c r="AQ313" i="16"/>
  <c r="AQ312" i="16"/>
  <c r="AE313" i="16"/>
  <c r="AE312" i="16"/>
  <c r="S313" i="16"/>
  <c r="S312" i="16"/>
  <c r="DW311" i="15" l="1"/>
  <c r="AQ311" i="15"/>
  <c r="S311" i="15"/>
  <c r="AE311" i="16"/>
  <c r="S311" i="16"/>
  <c r="G299" i="13" l="1"/>
  <c r="J299" i="13"/>
  <c r="G300" i="13"/>
  <c r="J300" i="13"/>
  <c r="G301" i="13"/>
  <c r="J301" i="13"/>
  <c r="G302" i="13"/>
  <c r="J302" i="13"/>
  <c r="G303" i="13"/>
  <c r="J303" i="13"/>
  <c r="G304" i="13"/>
  <c r="J304" i="13"/>
  <c r="G305" i="13"/>
  <c r="J305" i="13"/>
  <c r="G310" i="13" l="1"/>
  <c r="G311" i="96"/>
  <c r="G310" i="96"/>
  <c r="S311" i="14"/>
  <c r="S310" i="14"/>
  <c r="AE311" i="14"/>
  <c r="AE310" i="14"/>
  <c r="G311" i="12"/>
  <c r="G310" i="12"/>
  <c r="S310" i="15"/>
  <c r="AQ310" i="15"/>
  <c r="BC311" i="15"/>
  <c r="BC310" i="15"/>
  <c r="BO311" i="15"/>
  <c r="BO310" i="15"/>
  <c r="CM311" i="15"/>
  <c r="CM310" i="15"/>
  <c r="CY311" i="15"/>
  <c r="CY310" i="15"/>
  <c r="DK311" i="15"/>
  <c r="DK310" i="15"/>
  <c r="DW310" i="15"/>
  <c r="G311" i="1"/>
  <c r="G310" i="1"/>
  <c r="S311" i="17"/>
  <c r="S310" i="17"/>
  <c r="AE311" i="17"/>
  <c r="AE310" i="17"/>
  <c r="AQ311" i="17"/>
  <c r="AQ310" i="17"/>
  <c r="S310" i="16"/>
  <c r="AE310" i="16"/>
  <c r="AQ311" i="16"/>
  <c r="AQ310" i="16"/>
  <c r="BC311" i="16"/>
  <c r="BC310" i="16"/>
  <c r="BO311" i="16"/>
  <c r="BO310" i="16"/>
  <c r="AQ309" i="17" l="1"/>
  <c r="AE309" i="17"/>
  <c r="G309" i="96"/>
  <c r="BC309" i="16" l="1"/>
  <c r="S309" i="14"/>
  <c r="AE309" i="14"/>
  <c r="G309" i="13"/>
  <c r="G309" i="12"/>
  <c r="G309" i="1"/>
  <c r="S309" i="17"/>
  <c r="AQ309" i="16"/>
  <c r="AE309" i="16"/>
  <c r="S309" i="16"/>
  <c r="BO309" i="16"/>
  <c r="S309" i="15" l="1"/>
  <c r="AQ309" i="15"/>
  <c r="BC309" i="15"/>
  <c r="BO309" i="15"/>
  <c r="CM309" i="15"/>
  <c r="CY309" i="15"/>
  <c r="DK309" i="15"/>
  <c r="DW309" i="15"/>
  <c r="G308" i="96" l="1"/>
  <c r="S308" i="14"/>
  <c r="AE308" i="14"/>
  <c r="G308" i="13"/>
  <c r="G308" i="12"/>
  <c r="S308" i="15"/>
  <c r="AQ308" i="15"/>
  <c r="BC308" i="15"/>
  <c r="BO308" i="15"/>
  <c r="CM308" i="15"/>
  <c r="CY308" i="15"/>
  <c r="DK308" i="15"/>
  <c r="DW308" i="15"/>
  <c r="G308" i="1"/>
  <c r="AQ308" i="17"/>
  <c r="AE308" i="17"/>
  <c r="S308" i="17"/>
  <c r="S308" i="16"/>
  <c r="AE308" i="16"/>
  <c r="AQ308" i="16"/>
  <c r="BC308" i="16"/>
  <c r="BO308" i="16"/>
  <c r="G307" i="96" l="1"/>
  <c r="AE307" i="14"/>
  <c r="S307" i="14"/>
  <c r="G307" i="13"/>
  <c r="G307" i="12"/>
  <c r="DW307" i="15"/>
  <c r="DK307" i="15"/>
  <c r="CY307" i="15"/>
  <c r="CM307" i="15"/>
  <c r="BO307" i="15"/>
  <c r="BC307" i="15"/>
  <c r="AQ307" i="15"/>
  <c r="S307" i="15"/>
  <c r="G307" i="1"/>
  <c r="AQ307" i="17"/>
  <c r="AE307" i="17"/>
  <c r="S307" i="17"/>
  <c r="BO307" i="16"/>
  <c r="BC307" i="16"/>
  <c r="AQ307" i="16"/>
  <c r="AE307" i="16"/>
  <c r="S307" i="16"/>
  <c r="G306" i="96" l="1"/>
  <c r="AE306" i="14"/>
  <c r="S306" i="14"/>
  <c r="G306" i="13"/>
  <c r="G306" i="12"/>
  <c r="DW306" i="15"/>
  <c r="DK306" i="15"/>
  <c r="CY306" i="15"/>
  <c r="CM306" i="15"/>
  <c r="BO306" i="15"/>
  <c r="BC306" i="15"/>
  <c r="AQ306" i="15"/>
  <c r="S306" i="15"/>
  <c r="G306" i="1"/>
  <c r="AQ306" i="17"/>
  <c r="AE306" i="17"/>
  <c r="S306" i="17"/>
  <c r="BO306" i="16"/>
  <c r="BC306" i="16"/>
  <c r="AQ306" i="16"/>
  <c r="AE306" i="16"/>
  <c r="S306" i="16"/>
  <c r="G305" i="96" l="1"/>
  <c r="AE305" i="14"/>
  <c r="S305" i="14"/>
  <c r="G305" i="12"/>
  <c r="S305" i="15"/>
  <c r="AQ305" i="15"/>
  <c r="BC305" i="15"/>
  <c r="BO305" i="15"/>
  <c r="CM305" i="15"/>
  <c r="CY305" i="15"/>
  <c r="DK305" i="15"/>
  <c r="DZ317" i="15"/>
  <c r="DZ316" i="15"/>
  <c r="DZ315" i="15"/>
  <c r="DZ314" i="15"/>
  <c r="DZ313" i="15"/>
  <c r="DZ312" i="15"/>
  <c r="DZ311" i="15"/>
  <c r="DZ310" i="15"/>
  <c r="DZ309" i="15"/>
  <c r="DZ308" i="15"/>
  <c r="DZ307" i="15"/>
  <c r="DZ306" i="15"/>
  <c r="DZ305" i="15"/>
  <c r="DW305" i="15"/>
  <c r="G305" i="1"/>
  <c r="AQ305" i="17"/>
  <c r="AE305" i="17"/>
  <c r="S305" i="17"/>
  <c r="S305" i="16"/>
  <c r="AE305" i="16"/>
  <c r="AQ305" i="16"/>
  <c r="BC305" i="16"/>
  <c r="BO305" i="16"/>
  <c r="G304" i="96" l="1"/>
  <c r="G303" i="96"/>
  <c r="S304" i="14"/>
  <c r="S303" i="14"/>
  <c r="AE304" i="14"/>
  <c r="AE303" i="14"/>
  <c r="G304" i="12"/>
  <c r="G303" i="12"/>
  <c r="S304" i="15"/>
  <c r="S303" i="15"/>
  <c r="AQ304" i="15"/>
  <c r="AQ303" i="15"/>
  <c r="BC304" i="15"/>
  <c r="BC303" i="15"/>
  <c r="BO304" i="15"/>
  <c r="BO303" i="15"/>
  <c r="CM303" i="15"/>
  <c r="CM304" i="15"/>
  <c r="CY304" i="15"/>
  <c r="CY303" i="15"/>
  <c r="DK304" i="15"/>
  <c r="DK303" i="15"/>
  <c r="G304" i="1"/>
  <c r="S304" i="17"/>
  <c r="AE304" i="17"/>
  <c r="AQ304" i="17"/>
  <c r="S304" i="16"/>
  <c r="AE304" i="16"/>
  <c r="AQ304" i="16"/>
  <c r="BC304" i="16"/>
  <c r="BO304" i="16"/>
  <c r="G303" i="1"/>
  <c r="S303" i="17"/>
  <c r="AE303" i="17"/>
  <c r="AQ303" i="17"/>
  <c r="S303" i="16"/>
  <c r="AE303" i="16"/>
  <c r="AQ303" i="16"/>
  <c r="BC303" i="16"/>
  <c r="BO303" i="16"/>
  <c r="G302" i="96" l="1"/>
  <c r="S302" i="14"/>
  <c r="AE302" i="14"/>
  <c r="G302" i="12"/>
  <c r="S302" i="15"/>
  <c r="AQ302" i="15"/>
  <c r="BC302" i="15"/>
  <c r="BO302" i="15"/>
  <c r="CM302" i="15"/>
  <c r="CY302" i="15"/>
  <c r="DK302" i="15"/>
  <c r="G302" i="1"/>
  <c r="S302" i="17"/>
  <c r="AE302" i="17"/>
  <c r="AQ302" i="17"/>
  <c r="S302" i="16"/>
  <c r="AE302" i="16"/>
  <c r="AQ302" i="16"/>
  <c r="BC302" i="16"/>
  <c r="BO302" i="16"/>
  <c r="G301" i="96" l="1"/>
  <c r="AQ301" i="14"/>
  <c r="AE301" i="14"/>
  <c r="S301" i="14"/>
  <c r="G301" i="12"/>
  <c r="DK301" i="15"/>
  <c r="CY301" i="15"/>
  <c r="CM301" i="15"/>
  <c r="BO301" i="15"/>
  <c r="BC301" i="15"/>
  <c r="AQ301" i="15"/>
  <c r="S301" i="15"/>
  <c r="G301" i="1"/>
  <c r="AE301" i="17"/>
  <c r="AQ301" i="17"/>
  <c r="S301" i="17"/>
  <c r="BO301" i="16"/>
  <c r="BC301" i="16"/>
  <c r="AQ301" i="16"/>
  <c r="AE301" i="16"/>
  <c r="S301" i="16"/>
  <c r="J317" i="96" l="1"/>
  <c r="J316" i="96"/>
  <c r="J315" i="96"/>
  <c r="J314" i="96"/>
  <c r="J313" i="96"/>
  <c r="J312" i="96"/>
  <c r="J311" i="96"/>
  <c r="J310" i="96"/>
  <c r="J309" i="96"/>
  <c r="J308" i="96"/>
  <c r="J307" i="96"/>
  <c r="J306" i="96"/>
  <c r="AH317" i="14"/>
  <c r="V317" i="14"/>
  <c r="AH316" i="14"/>
  <c r="V316" i="14"/>
  <c r="AH315" i="14"/>
  <c r="V315" i="14"/>
  <c r="AH314" i="14"/>
  <c r="V314" i="14"/>
  <c r="AH313" i="14"/>
  <c r="V313" i="14"/>
  <c r="AH312" i="14"/>
  <c r="V312" i="14"/>
  <c r="AH311" i="14"/>
  <c r="V311" i="14"/>
  <c r="AH310" i="14"/>
  <c r="V310" i="14"/>
  <c r="AH309" i="14"/>
  <c r="V309" i="14"/>
  <c r="AH308" i="14"/>
  <c r="V308" i="14"/>
  <c r="AH307" i="14"/>
  <c r="V307" i="14"/>
  <c r="AH306" i="14"/>
  <c r="V306" i="14"/>
  <c r="J317" i="13"/>
  <c r="J316" i="13"/>
  <c r="J315" i="13"/>
  <c r="J314" i="13"/>
  <c r="J313" i="13"/>
  <c r="J312" i="13"/>
  <c r="J310" i="13"/>
  <c r="J309" i="13"/>
  <c r="J308" i="13"/>
  <c r="J307" i="13"/>
  <c r="J306" i="13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DN317" i="15"/>
  <c r="DB317" i="15"/>
  <c r="CP317" i="15"/>
  <c r="BR317" i="15"/>
  <c r="BF317" i="15"/>
  <c r="AT317" i="15"/>
  <c r="V317" i="15"/>
  <c r="DN316" i="15"/>
  <c r="DB316" i="15"/>
  <c r="CP316" i="15"/>
  <c r="BR316" i="15"/>
  <c r="BF316" i="15"/>
  <c r="AT316" i="15"/>
  <c r="V316" i="15"/>
  <c r="DN315" i="15"/>
  <c r="DB315" i="15"/>
  <c r="CP315" i="15"/>
  <c r="BR315" i="15"/>
  <c r="BF315" i="15"/>
  <c r="AT315" i="15"/>
  <c r="V315" i="15"/>
  <c r="DN314" i="15"/>
  <c r="DB314" i="15"/>
  <c r="CP314" i="15"/>
  <c r="BR314" i="15"/>
  <c r="BF314" i="15"/>
  <c r="AT314" i="15"/>
  <c r="V314" i="15"/>
  <c r="DN313" i="15"/>
  <c r="DB313" i="15"/>
  <c r="CP313" i="15"/>
  <c r="BR313" i="15"/>
  <c r="BF313" i="15"/>
  <c r="AT313" i="15"/>
  <c r="V313" i="15"/>
  <c r="DN312" i="15"/>
  <c r="DB312" i="15"/>
  <c r="CP312" i="15"/>
  <c r="BR312" i="15"/>
  <c r="BF312" i="15"/>
  <c r="AT312" i="15"/>
  <c r="V312" i="15"/>
  <c r="DN311" i="15"/>
  <c r="DB311" i="15"/>
  <c r="CP311" i="15"/>
  <c r="BR311" i="15"/>
  <c r="BF311" i="15"/>
  <c r="AT311" i="15"/>
  <c r="V311" i="15"/>
  <c r="DN310" i="15"/>
  <c r="DB310" i="15"/>
  <c r="CP310" i="15"/>
  <c r="BR310" i="15"/>
  <c r="BF310" i="15"/>
  <c r="AT310" i="15"/>
  <c r="V310" i="15"/>
  <c r="DN309" i="15"/>
  <c r="DB309" i="15"/>
  <c r="CP309" i="15"/>
  <c r="BR309" i="15"/>
  <c r="BF309" i="15"/>
  <c r="AT309" i="15"/>
  <c r="V309" i="15"/>
  <c r="DN308" i="15"/>
  <c r="DB308" i="15"/>
  <c r="CP308" i="15"/>
  <c r="BR308" i="15"/>
  <c r="BF308" i="15"/>
  <c r="AT308" i="15"/>
  <c r="V308" i="15"/>
  <c r="DN307" i="15"/>
  <c r="DB307" i="15"/>
  <c r="CP307" i="15"/>
  <c r="BR307" i="15"/>
  <c r="BF307" i="15"/>
  <c r="AT307" i="15"/>
  <c r="V307" i="15"/>
  <c r="DN306" i="15"/>
  <c r="DB306" i="15"/>
  <c r="CP306" i="15"/>
  <c r="BR306" i="15"/>
  <c r="BF306" i="15"/>
  <c r="AT306" i="15"/>
  <c r="V306" i="15"/>
  <c r="J317" i="1"/>
  <c r="J316" i="1"/>
  <c r="J315" i="1"/>
  <c r="J314" i="1"/>
  <c r="J313" i="1"/>
  <c r="J312" i="1"/>
  <c r="J311" i="1"/>
  <c r="J310" i="1"/>
  <c r="J309" i="1"/>
  <c r="J308" i="1"/>
  <c r="J307" i="1"/>
  <c r="J306" i="1"/>
  <c r="AT317" i="17"/>
  <c r="AH317" i="17"/>
  <c r="V317" i="17"/>
  <c r="I317" i="17"/>
  <c r="H317" i="17"/>
  <c r="F317" i="17"/>
  <c r="AT316" i="17"/>
  <c r="AH316" i="17"/>
  <c r="V316" i="17"/>
  <c r="I316" i="17"/>
  <c r="H316" i="17"/>
  <c r="F316" i="17"/>
  <c r="AT315" i="17"/>
  <c r="AH315" i="17"/>
  <c r="V315" i="17"/>
  <c r="I315" i="17"/>
  <c r="H315" i="17"/>
  <c r="F315" i="17"/>
  <c r="AT314" i="17"/>
  <c r="AH314" i="17"/>
  <c r="V314" i="17"/>
  <c r="I314" i="17"/>
  <c r="H314" i="17"/>
  <c r="F314" i="17"/>
  <c r="AT313" i="17"/>
  <c r="AH313" i="17"/>
  <c r="V313" i="17"/>
  <c r="I313" i="17"/>
  <c r="H313" i="17"/>
  <c r="F313" i="17"/>
  <c r="AT312" i="17"/>
  <c r="AH312" i="17"/>
  <c r="V312" i="17"/>
  <c r="I312" i="17"/>
  <c r="H312" i="17"/>
  <c r="F312" i="17"/>
  <c r="AT311" i="17"/>
  <c r="AH311" i="17"/>
  <c r="V311" i="17"/>
  <c r="I311" i="17"/>
  <c r="H311" i="17"/>
  <c r="F311" i="17"/>
  <c r="AT310" i="17"/>
  <c r="AH310" i="17"/>
  <c r="V310" i="17"/>
  <c r="I310" i="17"/>
  <c r="H310" i="17"/>
  <c r="F310" i="17"/>
  <c r="AT309" i="17"/>
  <c r="AH309" i="17"/>
  <c r="V309" i="17"/>
  <c r="I309" i="17"/>
  <c r="H309" i="17"/>
  <c r="F309" i="17"/>
  <c r="AT308" i="17"/>
  <c r="AH308" i="17"/>
  <c r="V308" i="17"/>
  <c r="I308" i="17"/>
  <c r="H308" i="17"/>
  <c r="F308" i="17"/>
  <c r="AT307" i="17"/>
  <c r="AH307" i="17"/>
  <c r="V307" i="17"/>
  <c r="I307" i="17"/>
  <c r="H307" i="17"/>
  <c r="F307" i="17"/>
  <c r="AT306" i="17"/>
  <c r="AH306" i="17"/>
  <c r="V306" i="17"/>
  <c r="I306" i="17"/>
  <c r="H306" i="17"/>
  <c r="F306" i="17"/>
  <c r="BR317" i="16"/>
  <c r="BF317" i="16"/>
  <c r="AT317" i="16"/>
  <c r="AH317" i="16"/>
  <c r="V317" i="16"/>
  <c r="BR316" i="16"/>
  <c r="BF316" i="16"/>
  <c r="AT316" i="16"/>
  <c r="AH316" i="16"/>
  <c r="V316" i="16"/>
  <c r="E316" i="16"/>
  <c r="BR315" i="16"/>
  <c r="BF315" i="16"/>
  <c r="AT315" i="16"/>
  <c r="AH315" i="16"/>
  <c r="V315" i="16"/>
  <c r="E315" i="16"/>
  <c r="BR314" i="16"/>
  <c r="BF314" i="16"/>
  <c r="AT314" i="16"/>
  <c r="AH314" i="16"/>
  <c r="V314" i="16"/>
  <c r="BR313" i="16"/>
  <c r="BF313" i="16"/>
  <c r="AT313" i="16"/>
  <c r="AH313" i="16"/>
  <c r="V313" i="16"/>
  <c r="BR312" i="16"/>
  <c r="BF312" i="16"/>
  <c r="AT312" i="16"/>
  <c r="AH312" i="16"/>
  <c r="V312" i="16"/>
  <c r="BR311" i="16"/>
  <c r="BF311" i="16"/>
  <c r="AT311" i="16"/>
  <c r="AH311" i="16"/>
  <c r="V311" i="16"/>
  <c r="E311" i="16"/>
  <c r="BR310" i="16"/>
  <c r="BF310" i="16"/>
  <c r="AT310" i="16"/>
  <c r="AH310" i="16"/>
  <c r="V310" i="16"/>
  <c r="BR309" i="16"/>
  <c r="BF309" i="16"/>
  <c r="AT309" i="16"/>
  <c r="AH309" i="16"/>
  <c r="V309" i="16"/>
  <c r="BR308" i="16"/>
  <c r="BF308" i="16"/>
  <c r="AT308" i="16"/>
  <c r="AH308" i="16"/>
  <c r="V308" i="16"/>
  <c r="BR307" i="16"/>
  <c r="BF307" i="16"/>
  <c r="AT307" i="16"/>
  <c r="AH307" i="16"/>
  <c r="V307" i="16"/>
  <c r="BR306" i="16"/>
  <c r="BF306" i="16"/>
  <c r="AT306" i="16"/>
  <c r="AH306" i="16"/>
  <c r="V306" i="16"/>
  <c r="G306" i="17" l="1"/>
  <c r="F306" i="87"/>
  <c r="D307" i="17"/>
  <c r="C307" i="17"/>
  <c r="I307" i="87"/>
  <c r="G308" i="17"/>
  <c r="F308" i="87"/>
  <c r="D309" i="17"/>
  <c r="C309" i="17"/>
  <c r="I309" i="87"/>
  <c r="G310" i="17"/>
  <c r="F310" i="87"/>
  <c r="D311" i="17"/>
  <c r="C311" i="17"/>
  <c r="I311" i="87"/>
  <c r="G312" i="17"/>
  <c r="F312" i="87"/>
  <c r="D313" i="17"/>
  <c r="C313" i="17"/>
  <c r="I313" i="87"/>
  <c r="G314" i="17"/>
  <c r="F314" i="87"/>
  <c r="D315" i="17"/>
  <c r="C315" i="17"/>
  <c r="I315" i="87"/>
  <c r="G316" i="17"/>
  <c r="F316" i="87"/>
  <c r="D317" i="17"/>
  <c r="C317" i="17"/>
  <c r="I317" i="87"/>
  <c r="J306" i="17"/>
  <c r="E306" i="17"/>
  <c r="H306" i="87"/>
  <c r="J308" i="17"/>
  <c r="E308" i="17"/>
  <c r="H308" i="87"/>
  <c r="J310" i="17"/>
  <c r="E310" i="17"/>
  <c r="H310" i="87"/>
  <c r="J312" i="17"/>
  <c r="E312" i="17"/>
  <c r="H312" i="87"/>
  <c r="J314" i="17"/>
  <c r="E314" i="17"/>
  <c r="H314" i="87"/>
  <c r="J316" i="17"/>
  <c r="E316" i="17"/>
  <c r="H316" i="87"/>
  <c r="D306" i="17"/>
  <c r="C306" i="17"/>
  <c r="I306" i="87"/>
  <c r="G307" i="17"/>
  <c r="F307" i="87"/>
  <c r="C308" i="17"/>
  <c r="D308" i="17"/>
  <c r="I308" i="87"/>
  <c r="G309" i="17"/>
  <c r="F309" i="87"/>
  <c r="D310" i="17"/>
  <c r="C310" i="17"/>
  <c r="I310" i="87"/>
  <c r="G311" i="17"/>
  <c r="F311" i="87"/>
  <c r="C312" i="17"/>
  <c r="D312" i="17"/>
  <c r="I312" i="87"/>
  <c r="G313" i="17"/>
  <c r="F313" i="87"/>
  <c r="D314" i="17"/>
  <c r="C314" i="17"/>
  <c r="I314" i="87"/>
  <c r="G315" i="17"/>
  <c r="F315" i="87"/>
  <c r="C316" i="17"/>
  <c r="D316" i="17"/>
  <c r="I316" i="87"/>
  <c r="G317" i="17"/>
  <c r="F317" i="87"/>
  <c r="J307" i="17"/>
  <c r="E307" i="17"/>
  <c r="H307" i="87"/>
  <c r="J309" i="17"/>
  <c r="E309" i="17"/>
  <c r="H309" i="87"/>
  <c r="J311" i="17"/>
  <c r="E311" i="17"/>
  <c r="H311" i="87"/>
  <c r="J313" i="17"/>
  <c r="E313" i="17"/>
  <c r="H313" i="87"/>
  <c r="J315" i="17"/>
  <c r="E315" i="17"/>
  <c r="H315" i="87"/>
  <c r="J317" i="17"/>
  <c r="E317" i="17"/>
  <c r="H317" i="87"/>
  <c r="C313" i="14"/>
  <c r="D313" i="14"/>
  <c r="E306" i="14"/>
  <c r="E308" i="14"/>
  <c r="E310" i="14"/>
  <c r="E312" i="14"/>
  <c r="E314" i="14"/>
  <c r="E316" i="14"/>
  <c r="C309" i="14"/>
  <c r="D309" i="14"/>
  <c r="D311" i="14"/>
  <c r="C311" i="14"/>
  <c r="D315" i="14"/>
  <c r="C315" i="14"/>
  <c r="D306" i="14"/>
  <c r="C306" i="14"/>
  <c r="D308" i="14"/>
  <c r="C308" i="14"/>
  <c r="D310" i="14"/>
  <c r="C310" i="14"/>
  <c r="D312" i="14"/>
  <c r="C312" i="14"/>
  <c r="D314" i="14"/>
  <c r="C314" i="14"/>
  <c r="C316" i="14"/>
  <c r="D316" i="14"/>
  <c r="C307" i="14"/>
  <c r="D307" i="14"/>
  <c r="E307" i="14"/>
  <c r="E309" i="14"/>
  <c r="E311" i="14"/>
  <c r="E313" i="14"/>
  <c r="J315" i="14"/>
  <c r="E315" i="14"/>
  <c r="E317" i="14"/>
  <c r="C317" i="14"/>
  <c r="D317" i="14"/>
  <c r="J313" i="14"/>
  <c r="J316" i="14"/>
  <c r="D315" i="16"/>
  <c r="C315" i="16"/>
  <c r="E317" i="16"/>
  <c r="E306" i="16"/>
  <c r="D307" i="16"/>
  <c r="C307" i="16"/>
  <c r="E310" i="16"/>
  <c r="D311" i="16"/>
  <c r="C311" i="16"/>
  <c r="E314" i="16"/>
  <c r="C306" i="16"/>
  <c r="D306" i="16"/>
  <c r="E309" i="16"/>
  <c r="C310" i="16"/>
  <c r="D310" i="16"/>
  <c r="E313" i="16"/>
  <c r="C314" i="16"/>
  <c r="D314" i="16"/>
  <c r="D317" i="16"/>
  <c r="C317" i="16"/>
  <c r="E307" i="16"/>
  <c r="D308" i="16"/>
  <c r="C308" i="16"/>
  <c r="D312" i="16"/>
  <c r="C312" i="16"/>
  <c r="E308" i="16"/>
  <c r="D309" i="16"/>
  <c r="C309" i="16"/>
  <c r="E312" i="16"/>
  <c r="D313" i="16"/>
  <c r="C313" i="16"/>
  <c r="D316" i="16"/>
  <c r="C316" i="16"/>
  <c r="J314" i="14"/>
  <c r="J317" i="14"/>
  <c r="J311" i="14"/>
  <c r="G307" i="14"/>
  <c r="J309" i="14"/>
  <c r="G310" i="14"/>
  <c r="G308" i="14"/>
  <c r="G311" i="14"/>
  <c r="J307" i="14"/>
  <c r="G312" i="14"/>
  <c r="J308" i="14"/>
  <c r="G309" i="14"/>
  <c r="J312" i="14"/>
  <c r="G313" i="14"/>
  <c r="G314" i="14"/>
  <c r="G315" i="14"/>
  <c r="G316" i="14"/>
  <c r="G317" i="14"/>
  <c r="J306" i="14"/>
  <c r="J310" i="14"/>
  <c r="G306" i="14"/>
  <c r="C306" i="87" l="1"/>
  <c r="J317" i="87"/>
  <c r="E317" i="87"/>
  <c r="E309" i="87"/>
  <c r="J309" i="87"/>
  <c r="D316" i="87"/>
  <c r="C316" i="87"/>
  <c r="G313" i="87"/>
  <c r="C308" i="87"/>
  <c r="D308" i="87"/>
  <c r="E316" i="87"/>
  <c r="J316" i="87"/>
  <c r="J308" i="87"/>
  <c r="D313" i="87"/>
  <c r="C313" i="87"/>
  <c r="G310" i="87"/>
  <c r="J311" i="87"/>
  <c r="E311" i="87"/>
  <c r="D314" i="87"/>
  <c r="C314" i="87"/>
  <c r="G311" i="87"/>
  <c r="E310" i="87"/>
  <c r="J310" i="87"/>
  <c r="G316" i="87"/>
  <c r="D311" i="87"/>
  <c r="C311" i="87"/>
  <c r="E308" i="87"/>
  <c r="G308" i="87"/>
  <c r="J313" i="87"/>
  <c r="E313" i="87"/>
  <c r="G317" i="87"/>
  <c r="D312" i="87"/>
  <c r="C312" i="87"/>
  <c r="G309" i="87"/>
  <c r="J312" i="87"/>
  <c r="E312" i="87"/>
  <c r="D317" i="87"/>
  <c r="C317" i="87"/>
  <c r="G314" i="87"/>
  <c r="C309" i="87"/>
  <c r="D309" i="87"/>
  <c r="G306" i="87"/>
  <c r="J315" i="87"/>
  <c r="E315" i="87"/>
  <c r="J307" i="87"/>
  <c r="E307" i="87"/>
  <c r="G315" i="87"/>
  <c r="C310" i="87"/>
  <c r="D310" i="87"/>
  <c r="G307" i="87"/>
  <c r="J314" i="87"/>
  <c r="E314" i="87"/>
  <c r="D306" i="87"/>
  <c r="J306" i="87"/>
  <c r="E306" i="87"/>
  <c r="D315" i="87"/>
  <c r="C315" i="87"/>
  <c r="G312" i="87"/>
  <c r="D307" i="87"/>
  <c r="C307" i="87"/>
  <c r="S300" i="16"/>
  <c r="S300" i="17"/>
  <c r="G300" i="96" l="1"/>
  <c r="S300" i="14"/>
  <c r="AE300" i="14"/>
  <c r="AQ300" i="14"/>
  <c r="G300" i="12"/>
  <c r="S300" i="15"/>
  <c r="AQ300" i="15"/>
  <c r="BC300" i="15"/>
  <c r="BO300" i="15"/>
  <c r="CM300" i="15"/>
  <c r="CY300" i="15"/>
  <c r="DK300" i="15"/>
  <c r="G300" i="1"/>
  <c r="AE300" i="17"/>
  <c r="AQ300" i="17"/>
  <c r="AE300" i="16"/>
  <c r="AQ300" i="16"/>
  <c r="BC300" i="16"/>
  <c r="BO300" i="16"/>
  <c r="G299" i="96" l="1"/>
  <c r="G298" i="96"/>
  <c r="S299" i="14"/>
  <c r="S298" i="14"/>
  <c r="AE299" i="14"/>
  <c r="AE298" i="14"/>
  <c r="AQ299" i="14"/>
  <c r="AQ298" i="14"/>
  <c r="G298" i="13"/>
  <c r="G299" i="12"/>
  <c r="G298" i="12"/>
  <c r="S299" i="15"/>
  <c r="S298" i="15"/>
  <c r="AQ299" i="15"/>
  <c r="AQ298" i="15"/>
  <c r="BC299" i="15"/>
  <c r="BC298" i="15"/>
  <c r="BO299" i="15"/>
  <c r="BO298" i="15"/>
  <c r="CM299" i="15"/>
  <c r="CM298" i="15"/>
  <c r="CY299" i="15"/>
  <c r="CY298" i="15"/>
  <c r="DK299" i="15"/>
  <c r="DK298" i="15"/>
  <c r="G299" i="1"/>
  <c r="G298" i="1"/>
  <c r="S299" i="17"/>
  <c r="S298" i="17"/>
  <c r="AE299" i="17"/>
  <c r="AE298" i="17"/>
  <c r="AQ299" i="17"/>
  <c r="AQ298" i="17"/>
  <c r="S299" i="16"/>
  <c r="S298" i="16"/>
  <c r="AE299" i="16"/>
  <c r="AE298" i="16"/>
  <c r="AQ297" i="16"/>
  <c r="AQ299" i="16"/>
  <c r="AQ298" i="16"/>
  <c r="BC299" i="16"/>
  <c r="BC298" i="16"/>
  <c r="BO299" i="16"/>
  <c r="BO298" i="16"/>
  <c r="G297" i="96" l="1"/>
  <c r="AQ297" i="14"/>
  <c r="AE297" i="14"/>
  <c r="S297" i="14"/>
  <c r="G297" i="13"/>
  <c r="G297" i="12"/>
  <c r="DK297" i="15"/>
  <c r="CY297" i="15"/>
  <c r="CM297" i="15"/>
  <c r="BO297" i="15"/>
  <c r="BC297" i="15"/>
  <c r="AQ297" i="15"/>
  <c r="S297" i="15"/>
  <c r="G297" i="1"/>
  <c r="AQ297" i="17"/>
  <c r="AE297" i="17"/>
  <c r="S297" i="17"/>
  <c r="BO297" i="16"/>
  <c r="BC297" i="16"/>
  <c r="AE297" i="16"/>
  <c r="S297" i="16"/>
  <c r="G296" i="96" l="1"/>
  <c r="S296" i="14"/>
  <c r="AE296" i="14"/>
  <c r="AQ296" i="14"/>
  <c r="G296" i="13"/>
  <c r="G296" i="12"/>
  <c r="DK296" i="15"/>
  <c r="CY296" i="15"/>
  <c r="CM296" i="15"/>
  <c r="BO296" i="15"/>
  <c r="BC296" i="15"/>
  <c r="AQ296" i="15"/>
  <c r="S296" i="15"/>
  <c r="G296" i="1"/>
  <c r="S296" i="17"/>
  <c r="AE296" i="17"/>
  <c r="AQ296" i="17"/>
  <c r="BO296" i="16"/>
  <c r="BC296" i="16"/>
  <c r="AQ296" i="16"/>
  <c r="AE296" i="16"/>
  <c r="S296" i="16"/>
  <c r="G295" i="96" l="1"/>
  <c r="S295" i="14"/>
  <c r="AE295" i="14"/>
  <c r="AQ295" i="14"/>
  <c r="G295" i="13"/>
  <c r="G295" i="12"/>
  <c r="S295" i="15"/>
  <c r="AQ295" i="15"/>
  <c r="BO295" i="15"/>
  <c r="BC295" i="15"/>
  <c r="CM295" i="15"/>
  <c r="CY295" i="15"/>
  <c r="DK295" i="15"/>
  <c r="G295" i="1"/>
  <c r="S295" i="16"/>
  <c r="AE295" i="16"/>
  <c r="AQ295" i="16"/>
  <c r="BC295" i="16"/>
  <c r="BO295" i="16"/>
  <c r="AQ295" i="17"/>
  <c r="AE295" i="17"/>
  <c r="S295" i="17"/>
  <c r="G294" i="96" l="1"/>
  <c r="J305" i="96"/>
  <c r="J304" i="96"/>
  <c r="J303" i="96"/>
  <c r="J302" i="96"/>
  <c r="J301" i="96"/>
  <c r="J300" i="96"/>
  <c r="J299" i="96"/>
  <c r="J298" i="96"/>
  <c r="J297" i="96"/>
  <c r="J296" i="96"/>
  <c r="J295" i="96"/>
  <c r="J294" i="96"/>
  <c r="AQ294" i="14"/>
  <c r="AE294" i="14"/>
  <c r="S294" i="14"/>
  <c r="AH305" i="14"/>
  <c r="V305" i="14"/>
  <c r="I305" i="14"/>
  <c r="H305" i="14"/>
  <c r="F305" i="14"/>
  <c r="AH304" i="14"/>
  <c r="V304" i="14"/>
  <c r="I304" i="14"/>
  <c r="H304" i="14"/>
  <c r="F304" i="14"/>
  <c r="AH303" i="14"/>
  <c r="V303" i="14"/>
  <c r="I303" i="14"/>
  <c r="H303" i="14"/>
  <c r="F303" i="14"/>
  <c r="AH302" i="14"/>
  <c r="V302" i="14"/>
  <c r="I302" i="14"/>
  <c r="H302" i="14"/>
  <c r="F302" i="14"/>
  <c r="AT301" i="14"/>
  <c r="AH301" i="14"/>
  <c r="V301" i="14"/>
  <c r="I301" i="14"/>
  <c r="H301" i="14"/>
  <c r="F301" i="14"/>
  <c r="AT300" i="14"/>
  <c r="AH300" i="14"/>
  <c r="V300" i="14"/>
  <c r="I300" i="14"/>
  <c r="H300" i="14"/>
  <c r="F300" i="14"/>
  <c r="AT299" i="14"/>
  <c r="AH299" i="14"/>
  <c r="V299" i="14"/>
  <c r="I299" i="14"/>
  <c r="H299" i="14"/>
  <c r="F299" i="14"/>
  <c r="AT298" i="14"/>
  <c r="AH298" i="14"/>
  <c r="V298" i="14"/>
  <c r="I298" i="14"/>
  <c r="H298" i="14"/>
  <c r="F298" i="14"/>
  <c r="AT297" i="14"/>
  <c r="AH297" i="14"/>
  <c r="V297" i="14"/>
  <c r="I297" i="14"/>
  <c r="H297" i="14"/>
  <c r="F297" i="14"/>
  <c r="AT296" i="14"/>
  <c r="AH296" i="14"/>
  <c r="V296" i="14"/>
  <c r="I296" i="14"/>
  <c r="H296" i="14"/>
  <c r="F296" i="14"/>
  <c r="AT295" i="14"/>
  <c r="AH295" i="14"/>
  <c r="V295" i="14"/>
  <c r="I295" i="14"/>
  <c r="H295" i="14"/>
  <c r="F295" i="14"/>
  <c r="AT294" i="14"/>
  <c r="AH294" i="14"/>
  <c r="V294" i="14"/>
  <c r="I294" i="14"/>
  <c r="H294" i="14"/>
  <c r="F294" i="14"/>
  <c r="G294" i="13"/>
  <c r="J298" i="13"/>
  <c r="J297" i="13"/>
  <c r="J296" i="13"/>
  <c r="J295" i="13"/>
  <c r="J294" i="13"/>
  <c r="G294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DK294" i="15"/>
  <c r="CY294" i="15"/>
  <c r="CM294" i="15"/>
  <c r="BO294" i="15"/>
  <c r="BR294" i="15"/>
  <c r="BR295" i="15"/>
  <c r="BC294" i="15"/>
  <c r="AQ294" i="15"/>
  <c r="S294" i="15"/>
  <c r="DN305" i="15"/>
  <c r="DB305" i="15"/>
  <c r="CP305" i="15"/>
  <c r="BR305" i="15"/>
  <c r="BF305" i="15"/>
  <c r="AT305" i="15"/>
  <c r="V305" i="15"/>
  <c r="DN304" i="15"/>
  <c r="DB304" i="15"/>
  <c r="CP304" i="15"/>
  <c r="BR304" i="15"/>
  <c r="BF304" i="15"/>
  <c r="AT304" i="15"/>
  <c r="V304" i="15"/>
  <c r="DN303" i="15"/>
  <c r="DB303" i="15"/>
  <c r="CP303" i="15"/>
  <c r="BR303" i="15"/>
  <c r="BF303" i="15"/>
  <c r="AT303" i="15"/>
  <c r="V303" i="15"/>
  <c r="DN302" i="15"/>
  <c r="DB302" i="15"/>
  <c r="CP302" i="15"/>
  <c r="BR302" i="15"/>
  <c r="BF302" i="15"/>
  <c r="AT302" i="15"/>
  <c r="V302" i="15"/>
  <c r="DN301" i="15"/>
  <c r="DB301" i="15"/>
  <c r="CP301" i="15"/>
  <c r="BR301" i="15"/>
  <c r="BF301" i="15"/>
  <c r="AT301" i="15"/>
  <c r="V301" i="15"/>
  <c r="DN300" i="15"/>
  <c r="DB300" i="15"/>
  <c r="CP300" i="15"/>
  <c r="BR300" i="15"/>
  <c r="BF300" i="15"/>
  <c r="AT300" i="15"/>
  <c r="V300" i="15"/>
  <c r="DN299" i="15"/>
  <c r="DB299" i="15"/>
  <c r="CP299" i="15"/>
  <c r="BR299" i="15"/>
  <c r="BF299" i="15"/>
  <c r="AT299" i="15"/>
  <c r="V299" i="15"/>
  <c r="DN298" i="15"/>
  <c r="DB298" i="15"/>
  <c r="CP298" i="15"/>
  <c r="BR298" i="15"/>
  <c r="BF298" i="15"/>
  <c r="AT298" i="15"/>
  <c r="V298" i="15"/>
  <c r="DN297" i="15"/>
  <c r="DB297" i="15"/>
  <c r="CP297" i="15"/>
  <c r="BR297" i="15"/>
  <c r="BF297" i="15"/>
  <c r="AT297" i="15"/>
  <c r="V297" i="15"/>
  <c r="DN296" i="15"/>
  <c r="DB296" i="15"/>
  <c r="CP296" i="15"/>
  <c r="BR296" i="15"/>
  <c r="BF296" i="15"/>
  <c r="AT296" i="15"/>
  <c r="V296" i="15"/>
  <c r="DN295" i="15"/>
  <c r="DB295" i="15"/>
  <c r="CP295" i="15"/>
  <c r="BF295" i="15"/>
  <c r="AT295" i="15"/>
  <c r="V295" i="15"/>
  <c r="DN294" i="15"/>
  <c r="DB294" i="15"/>
  <c r="CP294" i="15"/>
  <c r="BF294" i="15"/>
  <c r="AT294" i="15"/>
  <c r="V294" i="15"/>
  <c r="G294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AE294" i="17"/>
  <c r="AQ294" i="17"/>
  <c r="S294" i="17"/>
  <c r="AT305" i="17"/>
  <c r="AH305" i="17"/>
  <c r="V305" i="17"/>
  <c r="I305" i="17"/>
  <c r="H305" i="17"/>
  <c r="F305" i="17"/>
  <c r="AT304" i="17"/>
  <c r="AH304" i="17"/>
  <c r="V304" i="17"/>
  <c r="I304" i="17"/>
  <c r="H304" i="17"/>
  <c r="F304" i="17"/>
  <c r="AT303" i="17"/>
  <c r="AH303" i="17"/>
  <c r="V303" i="17"/>
  <c r="I303" i="17"/>
  <c r="H303" i="17"/>
  <c r="F303" i="17"/>
  <c r="AT302" i="17"/>
  <c r="AH302" i="17"/>
  <c r="V302" i="17"/>
  <c r="I302" i="17"/>
  <c r="H302" i="17"/>
  <c r="F302" i="17"/>
  <c r="AT301" i="17"/>
  <c r="AH301" i="17"/>
  <c r="V301" i="17"/>
  <c r="I301" i="17"/>
  <c r="H301" i="17"/>
  <c r="F301" i="17"/>
  <c r="AT300" i="17"/>
  <c r="AH300" i="17"/>
  <c r="V300" i="17"/>
  <c r="I300" i="17"/>
  <c r="H300" i="17"/>
  <c r="F300" i="17"/>
  <c r="AT299" i="17"/>
  <c r="AH299" i="17"/>
  <c r="V299" i="17"/>
  <c r="I299" i="17"/>
  <c r="H299" i="17"/>
  <c r="F299" i="17"/>
  <c r="AT298" i="17"/>
  <c r="AH298" i="17"/>
  <c r="V298" i="17"/>
  <c r="I298" i="17"/>
  <c r="H298" i="17"/>
  <c r="F298" i="17"/>
  <c r="AT297" i="17"/>
  <c r="AH297" i="17"/>
  <c r="V297" i="17"/>
  <c r="I297" i="17"/>
  <c r="H297" i="17"/>
  <c r="F297" i="17"/>
  <c r="AT296" i="17"/>
  <c r="AH296" i="17"/>
  <c r="V296" i="17"/>
  <c r="I296" i="17"/>
  <c r="H296" i="17"/>
  <c r="F296" i="17"/>
  <c r="AT295" i="17"/>
  <c r="AH295" i="17"/>
  <c r="V295" i="17"/>
  <c r="I295" i="17"/>
  <c r="H295" i="17"/>
  <c r="F295" i="17"/>
  <c r="AT294" i="17"/>
  <c r="AH294" i="17"/>
  <c r="V294" i="17"/>
  <c r="I294" i="17"/>
  <c r="H294" i="17"/>
  <c r="F294" i="17"/>
  <c r="BO294" i="16"/>
  <c r="BC294" i="16"/>
  <c r="AQ294" i="16"/>
  <c r="AE294" i="16"/>
  <c r="S294" i="16"/>
  <c r="BR305" i="16"/>
  <c r="BF305" i="16"/>
  <c r="AT305" i="16"/>
  <c r="AH305" i="16"/>
  <c r="V305" i="16"/>
  <c r="BR304" i="16"/>
  <c r="BF304" i="16"/>
  <c r="AT304" i="16"/>
  <c r="AH304" i="16"/>
  <c r="V304" i="16"/>
  <c r="BR303" i="16"/>
  <c r="BF303" i="16"/>
  <c r="AT303" i="16"/>
  <c r="AH303" i="16"/>
  <c r="V303" i="16"/>
  <c r="BR302" i="16"/>
  <c r="BF302" i="16"/>
  <c r="AT302" i="16"/>
  <c r="AH302" i="16"/>
  <c r="V302" i="16"/>
  <c r="BR301" i="16"/>
  <c r="BF301" i="16"/>
  <c r="AT301" i="16"/>
  <c r="AH301" i="16"/>
  <c r="V301" i="16"/>
  <c r="BR300" i="16"/>
  <c r="BF300" i="16"/>
  <c r="AT300" i="16"/>
  <c r="AH300" i="16"/>
  <c r="V300" i="16"/>
  <c r="E300" i="16"/>
  <c r="BR299" i="16"/>
  <c r="BF299" i="16"/>
  <c r="AT299" i="16"/>
  <c r="AH299" i="16"/>
  <c r="V299" i="16"/>
  <c r="BR298" i="16"/>
  <c r="BF298" i="16"/>
  <c r="AT298" i="16"/>
  <c r="AH298" i="16"/>
  <c r="V298" i="16"/>
  <c r="BR297" i="16"/>
  <c r="BF297" i="16"/>
  <c r="AT297" i="16"/>
  <c r="AH297" i="16"/>
  <c r="V297" i="16"/>
  <c r="BR296" i="16"/>
  <c r="BF296" i="16"/>
  <c r="AT296" i="16"/>
  <c r="AH296" i="16"/>
  <c r="V296" i="16"/>
  <c r="BR295" i="16"/>
  <c r="BF295" i="16"/>
  <c r="AT295" i="16"/>
  <c r="AH295" i="16"/>
  <c r="V295" i="16"/>
  <c r="BR294" i="16"/>
  <c r="BF294" i="16"/>
  <c r="AT294" i="16"/>
  <c r="AH294" i="16"/>
  <c r="V294" i="16"/>
  <c r="G302" i="17" l="1"/>
  <c r="G304" i="17"/>
  <c r="E295" i="14"/>
  <c r="E299" i="14"/>
  <c r="E297" i="14"/>
  <c r="G294" i="17"/>
  <c r="F294" i="87"/>
  <c r="D295" i="17"/>
  <c r="C295" i="17"/>
  <c r="I295" i="87"/>
  <c r="G296" i="17"/>
  <c r="F296" i="87"/>
  <c r="D297" i="17"/>
  <c r="C297" i="17"/>
  <c r="I297" i="87"/>
  <c r="G298" i="17"/>
  <c r="F298" i="87"/>
  <c r="D299" i="17"/>
  <c r="C299" i="17"/>
  <c r="I299" i="87"/>
  <c r="G300" i="17"/>
  <c r="F300" i="87"/>
  <c r="D301" i="17"/>
  <c r="C301" i="17"/>
  <c r="I301" i="87"/>
  <c r="D303" i="17"/>
  <c r="C303" i="17"/>
  <c r="D305" i="17"/>
  <c r="C305" i="17"/>
  <c r="I302" i="87"/>
  <c r="F304" i="87"/>
  <c r="J295" i="17"/>
  <c r="E295" i="17"/>
  <c r="H295" i="87"/>
  <c r="J294" i="17"/>
  <c r="E294" i="17"/>
  <c r="H294" i="87"/>
  <c r="J296" i="17"/>
  <c r="E296" i="17"/>
  <c r="H296" i="87"/>
  <c r="J298" i="17"/>
  <c r="E298" i="17"/>
  <c r="H298" i="87"/>
  <c r="J300" i="17"/>
  <c r="E300" i="17"/>
  <c r="H300" i="87"/>
  <c r="J302" i="17"/>
  <c r="E302" i="17"/>
  <c r="J304" i="17"/>
  <c r="E304" i="17"/>
  <c r="E301" i="14"/>
  <c r="I303" i="87"/>
  <c r="H304" i="87"/>
  <c r="F305" i="87"/>
  <c r="D294" i="17"/>
  <c r="C294" i="17"/>
  <c r="I294" i="87"/>
  <c r="G295" i="17"/>
  <c r="F295" i="87"/>
  <c r="C296" i="17"/>
  <c r="D296" i="17"/>
  <c r="I296" i="87"/>
  <c r="G297" i="17"/>
  <c r="F297" i="87"/>
  <c r="D298" i="17"/>
  <c r="C298" i="17"/>
  <c r="I298" i="87"/>
  <c r="G299" i="17"/>
  <c r="F299" i="87"/>
  <c r="C300" i="17"/>
  <c r="D300" i="17"/>
  <c r="I300" i="87"/>
  <c r="G301" i="17"/>
  <c r="F301" i="87"/>
  <c r="D302" i="17"/>
  <c r="C302" i="17"/>
  <c r="G303" i="17"/>
  <c r="C304" i="17"/>
  <c r="D304" i="17"/>
  <c r="G305" i="17"/>
  <c r="F302" i="87"/>
  <c r="I304" i="87"/>
  <c r="J297" i="17"/>
  <c r="E297" i="17"/>
  <c r="H297" i="87"/>
  <c r="J299" i="17"/>
  <c r="E299" i="17"/>
  <c r="H299" i="87"/>
  <c r="J301" i="17"/>
  <c r="E301" i="17"/>
  <c r="H301" i="87"/>
  <c r="J303" i="17"/>
  <c r="E303" i="17"/>
  <c r="J305" i="17"/>
  <c r="E305" i="17"/>
  <c r="H302" i="87"/>
  <c r="F303" i="87"/>
  <c r="I305" i="87"/>
  <c r="C305" i="87" s="1"/>
  <c r="E303" i="14"/>
  <c r="H303" i="87"/>
  <c r="E305" i="14"/>
  <c r="H305" i="87"/>
  <c r="D295" i="14"/>
  <c r="C295" i="14"/>
  <c r="C297" i="14"/>
  <c r="D297" i="14"/>
  <c r="D299" i="14"/>
  <c r="C299" i="14"/>
  <c r="C301" i="14"/>
  <c r="D301" i="14"/>
  <c r="D303" i="14"/>
  <c r="C303" i="14"/>
  <c r="C305" i="14"/>
  <c r="D305" i="14"/>
  <c r="E294" i="14"/>
  <c r="E296" i="14"/>
  <c r="E298" i="14"/>
  <c r="E300" i="14"/>
  <c r="E302" i="14"/>
  <c r="E304" i="14"/>
  <c r="D294" i="14"/>
  <c r="C294" i="14"/>
  <c r="D296" i="14"/>
  <c r="C296" i="14"/>
  <c r="D298" i="14"/>
  <c r="C298" i="14"/>
  <c r="C300" i="14"/>
  <c r="D300" i="14"/>
  <c r="D302" i="14"/>
  <c r="C302" i="14"/>
  <c r="D304" i="14"/>
  <c r="C304" i="14"/>
  <c r="D301" i="16"/>
  <c r="C301" i="16"/>
  <c r="E304" i="16"/>
  <c r="D305" i="16"/>
  <c r="C305" i="16"/>
  <c r="D300" i="16"/>
  <c r="C300" i="16"/>
  <c r="D304" i="16"/>
  <c r="C304" i="16"/>
  <c r="E294" i="16"/>
  <c r="E298" i="16"/>
  <c r="D299" i="16"/>
  <c r="C299" i="16"/>
  <c r="E302" i="16"/>
  <c r="D303" i="16"/>
  <c r="C303" i="16"/>
  <c r="E296" i="16"/>
  <c r="D297" i="16"/>
  <c r="C297" i="16"/>
  <c r="E295" i="16"/>
  <c r="D296" i="16"/>
  <c r="C296" i="16"/>
  <c r="E299" i="16"/>
  <c r="E303" i="16"/>
  <c r="D295" i="16"/>
  <c r="C295" i="16"/>
  <c r="C294" i="16"/>
  <c r="D294" i="16"/>
  <c r="E297" i="16"/>
  <c r="C298" i="16"/>
  <c r="D298" i="16"/>
  <c r="E301" i="16"/>
  <c r="C302" i="16"/>
  <c r="D302" i="16"/>
  <c r="E305" i="16"/>
  <c r="G294" i="14"/>
  <c r="G304" i="14"/>
  <c r="J300" i="14"/>
  <c r="J302" i="14"/>
  <c r="J298" i="14"/>
  <c r="G296" i="14"/>
  <c r="G298" i="14"/>
  <c r="G300" i="14"/>
  <c r="G302" i="14"/>
  <c r="J296" i="14"/>
  <c r="J304" i="14"/>
  <c r="G295" i="14"/>
  <c r="G297" i="14"/>
  <c r="G299" i="14"/>
  <c r="G301" i="14"/>
  <c r="G303" i="14"/>
  <c r="G305" i="14"/>
  <c r="J295" i="14"/>
  <c r="J297" i="14"/>
  <c r="J299" i="14"/>
  <c r="J301" i="14"/>
  <c r="J303" i="14"/>
  <c r="J305" i="14"/>
  <c r="J294" i="14"/>
  <c r="G302" i="87" l="1"/>
  <c r="C304" i="87"/>
  <c r="J302" i="87"/>
  <c r="C303" i="87"/>
  <c r="E304" i="87"/>
  <c r="C302" i="87"/>
  <c r="D302" i="87"/>
  <c r="D305" i="87"/>
  <c r="G295" i="87"/>
  <c r="E302" i="87"/>
  <c r="J304" i="87"/>
  <c r="D304" i="87"/>
  <c r="G304" i="87"/>
  <c r="J297" i="87"/>
  <c r="E297" i="87"/>
  <c r="G299" i="87"/>
  <c r="D294" i="87"/>
  <c r="C294" i="87"/>
  <c r="J294" i="87"/>
  <c r="E294" i="87"/>
  <c r="C301" i="87"/>
  <c r="D301" i="87"/>
  <c r="G298" i="87"/>
  <c r="J299" i="87"/>
  <c r="E299" i="87"/>
  <c r="D300" i="87"/>
  <c r="C300" i="87"/>
  <c r="G297" i="87"/>
  <c r="J296" i="87"/>
  <c r="E296" i="87"/>
  <c r="C299" i="87"/>
  <c r="D299" i="87"/>
  <c r="G296" i="87"/>
  <c r="J301" i="87"/>
  <c r="E301" i="87"/>
  <c r="D298" i="87"/>
  <c r="C298" i="87"/>
  <c r="J298" i="87"/>
  <c r="E298" i="87"/>
  <c r="D297" i="87"/>
  <c r="C297" i="87"/>
  <c r="G294" i="87"/>
  <c r="G301" i="87"/>
  <c r="C296" i="87"/>
  <c r="D296" i="87"/>
  <c r="E300" i="87"/>
  <c r="J300" i="87"/>
  <c r="E295" i="87"/>
  <c r="G300" i="87"/>
  <c r="J295" i="87"/>
  <c r="D295" i="87"/>
  <c r="C295" i="87"/>
  <c r="J303" i="87"/>
  <c r="E303" i="87"/>
  <c r="J305" i="87"/>
  <c r="E305" i="87"/>
  <c r="G305" i="87"/>
  <c r="G303" i="87"/>
  <c r="D303" i="87"/>
  <c r="J293" i="96"/>
  <c r="J292" i="96"/>
  <c r="J291" i="96"/>
  <c r="J290" i="96"/>
  <c r="J289" i="96"/>
  <c r="J288" i="96"/>
  <c r="J287" i="96"/>
  <c r="J286" i="96"/>
  <c r="J285" i="96"/>
  <c r="J284" i="96"/>
  <c r="J283" i="96"/>
  <c r="J282" i="96"/>
  <c r="J281" i="96"/>
  <c r="J280" i="96"/>
  <c r="J279" i="96"/>
  <c r="J278" i="96"/>
  <c r="J277" i="96"/>
  <c r="J276" i="96"/>
  <c r="J275" i="96"/>
  <c r="J274" i="96"/>
  <c r="G293" i="96"/>
  <c r="G292" i="96"/>
  <c r="G291" i="96"/>
  <c r="G290" i="96"/>
  <c r="G289" i="96"/>
  <c r="G288" i="96"/>
  <c r="G287" i="96"/>
  <c r="G286" i="96"/>
  <c r="G285" i="96"/>
  <c r="G284" i="96"/>
  <c r="G283" i="96"/>
  <c r="G282" i="96"/>
  <c r="G281" i="96"/>
  <c r="G280" i="96"/>
  <c r="G279" i="96"/>
  <c r="G278" i="96"/>
  <c r="G277" i="96"/>
  <c r="G276" i="96"/>
  <c r="G275" i="96"/>
  <c r="G274" i="96"/>
  <c r="G350" i="96" l="1"/>
  <c r="J350" i="96"/>
  <c r="AQ293" i="14"/>
  <c r="AE293" i="14"/>
  <c r="S293" i="14"/>
  <c r="G293" i="13"/>
  <c r="G293" i="12"/>
  <c r="DK293" i="15"/>
  <c r="CY293" i="15"/>
  <c r="CM293" i="15"/>
  <c r="BO293" i="15"/>
  <c r="BC293" i="15"/>
  <c r="AQ293" i="15"/>
  <c r="S293" i="15"/>
  <c r="V293" i="15"/>
  <c r="AT293" i="15"/>
  <c r="BF293" i="15"/>
  <c r="BR293" i="15"/>
  <c r="CP293" i="15"/>
  <c r="DB293" i="15"/>
  <c r="DN293" i="15"/>
  <c r="G293" i="1"/>
  <c r="AQ293" i="17"/>
  <c r="AE293" i="17"/>
  <c r="S293" i="16"/>
  <c r="AE293" i="16"/>
  <c r="AQ293" i="16"/>
  <c r="BC293" i="16"/>
  <c r="BO293" i="16"/>
  <c r="S293" i="17" l="1"/>
  <c r="AQ292" i="14" l="1"/>
  <c r="AE292" i="14"/>
  <c r="S292" i="14"/>
  <c r="G292" i="13"/>
  <c r="G292" i="12"/>
  <c r="S292" i="15"/>
  <c r="V292" i="15"/>
  <c r="AQ292" i="15"/>
  <c r="AT292" i="15"/>
  <c r="BC292" i="15"/>
  <c r="BF292" i="15"/>
  <c r="BO292" i="15"/>
  <c r="BR292" i="15"/>
  <c r="CM292" i="15"/>
  <c r="CP292" i="15"/>
  <c r="CY292" i="15"/>
  <c r="DB292" i="15"/>
  <c r="DK292" i="15"/>
  <c r="DN292" i="15"/>
  <c r="G292" i="1"/>
  <c r="AQ292" i="17"/>
  <c r="AE292" i="17"/>
  <c r="S292" i="17"/>
  <c r="BO292" i="16"/>
  <c r="BC292" i="16"/>
  <c r="AQ292" i="16"/>
  <c r="AE292" i="16"/>
  <c r="S292" i="16"/>
  <c r="S291" i="14" l="1"/>
  <c r="AE291" i="14"/>
  <c r="AQ291" i="14"/>
  <c r="G291" i="13"/>
  <c r="G291" i="12"/>
  <c r="DN291" i="15"/>
  <c r="DB291" i="15"/>
  <c r="CP291" i="15"/>
  <c r="BR291" i="15"/>
  <c r="BF291" i="15"/>
  <c r="AT291" i="15"/>
  <c r="V291" i="15"/>
  <c r="S291" i="15"/>
  <c r="AQ291" i="15"/>
  <c r="BC291" i="15"/>
  <c r="BO291" i="15"/>
  <c r="CM291" i="15"/>
  <c r="CY291" i="15"/>
  <c r="DK291" i="15"/>
  <c r="G291" i="1"/>
  <c r="S291" i="17"/>
  <c r="AE291" i="17"/>
  <c r="AQ291" i="17"/>
  <c r="S291" i="16"/>
  <c r="AE291" i="16"/>
  <c r="AQ291" i="16"/>
  <c r="BC291" i="16"/>
  <c r="BO291" i="16"/>
  <c r="AQ290" i="14" l="1"/>
  <c r="AE290" i="14"/>
  <c r="S290" i="14"/>
  <c r="G290" i="13"/>
  <c r="DN290" i="15"/>
  <c r="DK290" i="15"/>
  <c r="DB290" i="15"/>
  <c r="CY290" i="15"/>
  <c r="CP290" i="15"/>
  <c r="CM290" i="15"/>
  <c r="BR290" i="15"/>
  <c r="BO290" i="15"/>
  <c r="BF290" i="15"/>
  <c r="BC290" i="15"/>
  <c r="AT290" i="15"/>
  <c r="AQ290" i="15"/>
  <c r="G290" i="12"/>
  <c r="V290" i="15"/>
  <c r="S290" i="15"/>
  <c r="G290" i="1"/>
  <c r="AQ290" i="17"/>
  <c r="AE290" i="17"/>
  <c r="S290" i="17"/>
  <c r="BO290" i="16"/>
  <c r="BC290" i="16"/>
  <c r="AQ290" i="16"/>
  <c r="AE290" i="16"/>
  <c r="S290" i="16"/>
  <c r="AQ289" i="14" l="1"/>
  <c r="AE289" i="14"/>
  <c r="S289" i="14"/>
  <c r="G289" i="13"/>
  <c r="G289" i="12"/>
  <c r="DN289" i="15"/>
  <c r="DK289" i="15"/>
  <c r="DB289" i="15"/>
  <c r="CY289" i="15"/>
  <c r="CP289" i="15"/>
  <c r="CM289" i="15"/>
  <c r="BR289" i="15"/>
  <c r="BO289" i="15"/>
  <c r="BF289" i="15"/>
  <c r="BC289" i="15"/>
  <c r="AT289" i="15"/>
  <c r="AQ289" i="15"/>
  <c r="V289" i="15"/>
  <c r="S289" i="15"/>
  <c r="G289" i="1"/>
  <c r="AE289" i="17"/>
  <c r="AQ289" i="17"/>
  <c r="S289" i="17"/>
  <c r="BC289" i="16"/>
  <c r="BO289" i="16"/>
  <c r="AQ289" i="16"/>
  <c r="AE289" i="16"/>
  <c r="S289" i="16"/>
  <c r="I149" i="17" l="1"/>
  <c r="H149" i="17"/>
  <c r="F149" i="17"/>
  <c r="I148" i="17"/>
  <c r="H148" i="17"/>
  <c r="F148" i="17"/>
  <c r="I147" i="17"/>
  <c r="H147" i="17"/>
  <c r="F147" i="17"/>
  <c r="I146" i="17"/>
  <c r="H146" i="17"/>
  <c r="F146" i="17"/>
  <c r="I145" i="17"/>
  <c r="H145" i="17"/>
  <c r="F145" i="17"/>
  <c r="I144" i="17"/>
  <c r="H144" i="17"/>
  <c r="F144" i="17"/>
  <c r="I143" i="17"/>
  <c r="H143" i="17"/>
  <c r="F143" i="17"/>
  <c r="I142" i="17"/>
  <c r="H142" i="17"/>
  <c r="F142" i="17"/>
  <c r="I141" i="17"/>
  <c r="H141" i="17"/>
  <c r="F141" i="17"/>
  <c r="I140" i="17"/>
  <c r="H140" i="17"/>
  <c r="F14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E148" i="16"/>
  <c r="E147" i="16"/>
  <c r="E143" i="16"/>
  <c r="E140" i="16"/>
  <c r="E139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AQ288" i="14"/>
  <c r="AE288" i="14"/>
  <c r="S288" i="14"/>
  <c r="G288" i="13"/>
  <c r="G288" i="12"/>
  <c r="DK288" i="15"/>
  <c r="CY288" i="15"/>
  <c r="CM288" i="15"/>
  <c r="BO288" i="15"/>
  <c r="BC288" i="15"/>
  <c r="AQ288" i="15"/>
  <c r="S288" i="15"/>
  <c r="V288" i="15"/>
  <c r="AT288" i="15"/>
  <c r="BF288" i="15"/>
  <c r="BR288" i="15"/>
  <c r="CP288" i="15"/>
  <c r="DB288" i="15"/>
  <c r="DN288" i="15"/>
  <c r="G288" i="1"/>
  <c r="AQ288" i="17"/>
  <c r="AE288" i="17"/>
  <c r="S288" i="17"/>
  <c r="BO288" i="16"/>
  <c r="BC288" i="16"/>
  <c r="AQ288" i="16"/>
  <c r="AE288" i="16"/>
  <c r="S288" i="16"/>
  <c r="H138" i="87" l="1"/>
  <c r="F138" i="87"/>
  <c r="F350" i="16"/>
  <c r="I138" i="87"/>
  <c r="F139" i="87"/>
  <c r="J140" i="17"/>
  <c r="E140" i="17"/>
  <c r="H140" i="87"/>
  <c r="D141" i="17"/>
  <c r="C141" i="17"/>
  <c r="I141" i="87"/>
  <c r="G143" i="17"/>
  <c r="F143" i="87"/>
  <c r="J144" i="17"/>
  <c r="E144" i="17"/>
  <c r="H144" i="87"/>
  <c r="D145" i="17"/>
  <c r="C145" i="17"/>
  <c r="I145" i="87"/>
  <c r="G147" i="17"/>
  <c r="F147" i="87"/>
  <c r="J148" i="17"/>
  <c r="E148" i="17"/>
  <c r="H148" i="87"/>
  <c r="D149" i="17"/>
  <c r="C149" i="17"/>
  <c r="I149" i="87"/>
  <c r="E139" i="17"/>
  <c r="H139" i="87"/>
  <c r="D140" i="17"/>
  <c r="C140" i="17"/>
  <c r="I140" i="87"/>
  <c r="G142" i="17"/>
  <c r="F142" i="87"/>
  <c r="J143" i="17"/>
  <c r="E143" i="17"/>
  <c r="H143" i="87"/>
  <c r="D144" i="17"/>
  <c r="C144" i="17"/>
  <c r="I144" i="87"/>
  <c r="G146" i="17"/>
  <c r="F146" i="87"/>
  <c r="J147" i="17"/>
  <c r="E147" i="17"/>
  <c r="H147" i="87"/>
  <c r="D148" i="17"/>
  <c r="C148" i="17"/>
  <c r="I148" i="87"/>
  <c r="E138" i="17"/>
  <c r="C139" i="17"/>
  <c r="D139" i="17"/>
  <c r="I139" i="87"/>
  <c r="G141" i="17"/>
  <c r="F141" i="87"/>
  <c r="J142" i="17"/>
  <c r="E142" i="17"/>
  <c r="H142" i="87"/>
  <c r="C143" i="17"/>
  <c r="D143" i="17"/>
  <c r="I143" i="87"/>
  <c r="G145" i="17"/>
  <c r="F145" i="87"/>
  <c r="J146" i="17"/>
  <c r="E146" i="17"/>
  <c r="H146" i="87"/>
  <c r="C147" i="17"/>
  <c r="D147" i="17"/>
  <c r="I147" i="87"/>
  <c r="G149" i="17"/>
  <c r="F149" i="87"/>
  <c r="D138" i="17"/>
  <c r="C138" i="17"/>
  <c r="G140" i="17"/>
  <c r="F140" i="87"/>
  <c r="J141" i="17"/>
  <c r="E141" i="17"/>
  <c r="H141" i="87"/>
  <c r="D142" i="17"/>
  <c r="C142" i="17"/>
  <c r="I142" i="87"/>
  <c r="G144" i="17"/>
  <c r="F144" i="87"/>
  <c r="J145" i="17"/>
  <c r="E145" i="17"/>
  <c r="H145" i="87"/>
  <c r="D146" i="17"/>
  <c r="C146" i="17"/>
  <c r="I146" i="87"/>
  <c r="G148" i="17"/>
  <c r="F148" i="87"/>
  <c r="J149" i="17"/>
  <c r="E149" i="17"/>
  <c r="H149" i="87"/>
  <c r="C140" i="16"/>
  <c r="D140" i="16"/>
  <c r="C144" i="16"/>
  <c r="D144" i="16"/>
  <c r="C148" i="16"/>
  <c r="D148" i="16"/>
  <c r="E138" i="16"/>
  <c r="C139" i="16"/>
  <c r="D139" i="16"/>
  <c r="D143" i="16"/>
  <c r="C143" i="16"/>
  <c r="D147" i="16"/>
  <c r="C147" i="16"/>
  <c r="D138" i="16"/>
  <c r="C138" i="16"/>
  <c r="E141" i="16"/>
  <c r="C142" i="16"/>
  <c r="D142" i="16"/>
  <c r="E145" i="16"/>
  <c r="C146" i="16"/>
  <c r="D146" i="16"/>
  <c r="E149" i="16"/>
  <c r="E142" i="16"/>
  <c r="E146" i="16"/>
  <c r="D141" i="16"/>
  <c r="C141" i="16"/>
  <c r="E144" i="16"/>
  <c r="D145" i="16"/>
  <c r="C145" i="16"/>
  <c r="D149" i="16"/>
  <c r="C149" i="16"/>
  <c r="D138" i="87" l="1"/>
  <c r="E142" i="87"/>
  <c r="G138" i="87"/>
  <c r="J138" i="87"/>
  <c r="E138" i="87"/>
  <c r="G148" i="87"/>
  <c r="C138" i="87"/>
  <c r="C139" i="87"/>
  <c r="E143" i="87"/>
  <c r="G140" i="87"/>
  <c r="G145" i="87"/>
  <c r="J145" i="87"/>
  <c r="E145" i="87"/>
  <c r="J141" i="87"/>
  <c r="E141" i="87"/>
  <c r="J146" i="87"/>
  <c r="E146" i="87"/>
  <c r="G146" i="87"/>
  <c r="G142" i="87"/>
  <c r="C149" i="87"/>
  <c r="D149" i="87"/>
  <c r="C145" i="87"/>
  <c r="D145" i="87"/>
  <c r="C141" i="87"/>
  <c r="D141" i="87"/>
  <c r="D146" i="87"/>
  <c r="C146" i="87"/>
  <c r="J142" i="87"/>
  <c r="D142" i="87"/>
  <c r="C142" i="87"/>
  <c r="D147" i="87"/>
  <c r="C147" i="87"/>
  <c r="J143" i="87"/>
  <c r="C143" i="87"/>
  <c r="D143" i="87"/>
  <c r="J147" i="87"/>
  <c r="E147" i="87"/>
  <c r="D139" i="87"/>
  <c r="E139" i="87"/>
  <c r="J139" i="87"/>
  <c r="G149" i="87"/>
  <c r="E149" i="87"/>
  <c r="J149" i="87"/>
  <c r="C148" i="87"/>
  <c r="D148" i="87"/>
  <c r="C144" i="87"/>
  <c r="D144" i="87"/>
  <c r="C140" i="87"/>
  <c r="G147" i="87"/>
  <c r="G143" i="87"/>
  <c r="G139" i="87"/>
  <c r="G141" i="87"/>
  <c r="E148" i="87"/>
  <c r="J148" i="87"/>
  <c r="G144" i="87"/>
  <c r="J144" i="87"/>
  <c r="E144" i="87"/>
  <c r="D140" i="87"/>
  <c r="J140" i="87"/>
  <c r="E140" i="87"/>
  <c r="S287" i="14"/>
  <c r="S286" i="14"/>
  <c r="S285" i="14"/>
  <c r="AE287" i="14"/>
  <c r="AE286" i="14"/>
  <c r="AE285" i="14"/>
  <c r="AQ287" i="14"/>
  <c r="AQ286" i="14"/>
  <c r="AQ285" i="14"/>
  <c r="G287" i="13"/>
  <c r="G286" i="13"/>
  <c r="G285" i="13"/>
  <c r="G287" i="12"/>
  <c r="G286" i="12"/>
  <c r="G285" i="12"/>
  <c r="DN287" i="15"/>
  <c r="DN286" i="15"/>
  <c r="DN285" i="15"/>
  <c r="DK287" i="15"/>
  <c r="DK286" i="15"/>
  <c r="DK285" i="15"/>
  <c r="DB287" i="15"/>
  <c r="DB286" i="15"/>
  <c r="DB285" i="15"/>
  <c r="CY287" i="15"/>
  <c r="CY286" i="15"/>
  <c r="CY285" i="15"/>
  <c r="CP287" i="15"/>
  <c r="CP286" i="15"/>
  <c r="CP285" i="15"/>
  <c r="CM287" i="15"/>
  <c r="CM286" i="15"/>
  <c r="CM285" i="15"/>
  <c r="BR287" i="15"/>
  <c r="BR286" i="15"/>
  <c r="BR285" i="15"/>
  <c r="BO287" i="15"/>
  <c r="BO286" i="15"/>
  <c r="BO285" i="15"/>
  <c r="BF287" i="15"/>
  <c r="BF286" i="15"/>
  <c r="BF285" i="15"/>
  <c r="BC287" i="15"/>
  <c r="BC286" i="15"/>
  <c r="BC285" i="15"/>
  <c r="AT287" i="15"/>
  <c r="AT286" i="15"/>
  <c r="AT285" i="15"/>
  <c r="AQ287" i="15"/>
  <c r="AQ286" i="15"/>
  <c r="AQ285" i="15"/>
  <c r="V287" i="15"/>
  <c r="V286" i="15"/>
  <c r="V285" i="15"/>
  <c r="S287" i="15"/>
  <c r="S286" i="15"/>
  <c r="S285" i="15"/>
  <c r="G287" i="1"/>
  <c r="G286" i="1"/>
  <c r="G285" i="1"/>
  <c r="AQ287" i="17"/>
  <c r="AQ286" i="17"/>
  <c r="AQ285" i="17"/>
  <c r="AQ284" i="17"/>
  <c r="AQ283" i="17"/>
  <c r="AQ282" i="17"/>
  <c r="AE287" i="17"/>
  <c r="AE286" i="17"/>
  <c r="AE285" i="17"/>
  <c r="AE284" i="17"/>
  <c r="AE283" i="17"/>
  <c r="AE282" i="17"/>
  <c r="S287" i="17"/>
  <c r="S286" i="17"/>
  <c r="S285" i="17"/>
  <c r="S284" i="17"/>
  <c r="S283" i="17"/>
  <c r="S282" i="17"/>
  <c r="BO287" i="16"/>
  <c r="BO286" i="16"/>
  <c r="BO285" i="16"/>
  <c r="BO284" i="16"/>
  <c r="BO283" i="16"/>
  <c r="BO282" i="16"/>
  <c r="BC287" i="16"/>
  <c r="BC286" i="16"/>
  <c r="BC285" i="16"/>
  <c r="BC284" i="16"/>
  <c r="BC283" i="16"/>
  <c r="BC282" i="16"/>
  <c r="AQ287" i="16"/>
  <c r="AQ286" i="16"/>
  <c r="AQ285" i="16"/>
  <c r="AQ284" i="16"/>
  <c r="AQ283" i="16"/>
  <c r="AQ282" i="16"/>
  <c r="AE287" i="16"/>
  <c r="AE286" i="16"/>
  <c r="AE285" i="16"/>
  <c r="AE284" i="16"/>
  <c r="AE283" i="16"/>
  <c r="AE282" i="16"/>
  <c r="S287" i="16"/>
  <c r="S286" i="16"/>
  <c r="S285" i="16"/>
  <c r="S209" i="15" l="1"/>
  <c r="S208" i="15"/>
  <c r="S207" i="15"/>
  <c r="S206" i="15"/>
  <c r="S205" i="15"/>
  <c r="S204" i="15"/>
  <c r="S203" i="15"/>
  <c r="S202" i="15"/>
  <c r="S201" i="15"/>
  <c r="S200" i="15"/>
  <c r="S199" i="15"/>
  <c r="S198" i="15"/>
  <c r="AQ209" i="15"/>
  <c r="AQ208" i="15"/>
  <c r="AQ207" i="15"/>
  <c r="AQ206" i="15"/>
  <c r="AQ205" i="15"/>
  <c r="AQ204" i="15"/>
  <c r="AQ203" i="15"/>
  <c r="AQ202" i="15"/>
  <c r="AQ201" i="15"/>
  <c r="AQ200" i="15"/>
  <c r="AQ199" i="15"/>
  <c r="AQ198" i="15"/>
  <c r="BC209" i="15"/>
  <c r="BC208" i="15"/>
  <c r="BC207" i="15"/>
  <c r="BC206" i="15"/>
  <c r="BC205" i="15"/>
  <c r="BC204" i="15"/>
  <c r="BC203" i="15"/>
  <c r="BC202" i="15"/>
  <c r="BC201" i="15"/>
  <c r="BC200" i="15"/>
  <c r="BC199" i="15"/>
  <c r="BC198" i="15"/>
  <c r="BO209" i="15"/>
  <c r="BO208" i="15"/>
  <c r="BO207" i="15"/>
  <c r="BO206" i="15"/>
  <c r="BO205" i="15"/>
  <c r="BO204" i="15"/>
  <c r="BO203" i="15"/>
  <c r="BO202" i="15"/>
  <c r="BO201" i="15"/>
  <c r="BO200" i="15"/>
  <c r="BO199" i="15"/>
  <c r="BO198" i="15"/>
  <c r="CA209" i="15"/>
  <c r="CA208" i="15"/>
  <c r="CA207" i="15"/>
  <c r="CA206" i="15"/>
  <c r="CA205" i="15"/>
  <c r="CA204" i="15"/>
  <c r="CA203" i="15"/>
  <c r="CA202" i="15"/>
  <c r="CA201" i="15"/>
  <c r="CA200" i="15"/>
  <c r="CA199" i="15"/>
  <c r="CA198" i="15"/>
  <c r="CY209" i="15"/>
  <c r="CY208" i="15"/>
  <c r="CY207" i="15"/>
  <c r="CY206" i="15"/>
  <c r="CY205" i="15"/>
  <c r="CY204" i="15"/>
  <c r="CY203" i="15"/>
  <c r="CY202" i="15"/>
  <c r="CY201" i="15"/>
  <c r="CY200" i="15"/>
  <c r="CY199" i="15"/>
  <c r="CY198" i="15"/>
  <c r="DK209" i="15"/>
  <c r="DK208" i="15"/>
  <c r="DK207" i="15"/>
  <c r="DK206" i="15"/>
  <c r="DK205" i="15"/>
  <c r="DK204" i="15"/>
  <c r="DK203" i="15"/>
  <c r="DK202" i="15"/>
  <c r="DK201" i="15"/>
  <c r="DK200" i="15"/>
  <c r="DK199" i="15"/>
  <c r="DK198" i="15"/>
  <c r="S197" i="15"/>
  <c r="S196" i="15"/>
  <c r="S195" i="15"/>
  <c r="S194" i="15"/>
  <c r="S193" i="15"/>
  <c r="S192" i="15"/>
  <c r="S191" i="15"/>
  <c r="S190" i="15"/>
  <c r="S189" i="15"/>
  <c r="S188" i="15"/>
  <c r="S187" i="15"/>
  <c r="S186" i="15"/>
  <c r="AQ197" i="15"/>
  <c r="AQ196" i="15"/>
  <c r="AQ195" i="15"/>
  <c r="AQ194" i="15"/>
  <c r="AQ193" i="15"/>
  <c r="AQ192" i="15"/>
  <c r="AQ191" i="15"/>
  <c r="AQ190" i="15"/>
  <c r="AQ189" i="15"/>
  <c r="AQ188" i="15"/>
  <c r="AQ187" i="15"/>
  <c r="AQ186" i="15"/>
  <c r="BC197" i="15"/>
  <c r="BC196" i="15"/>
  <c r="BC195" i="15"/>
  <c r="BC194" i="15"/>
  <c r="BC193" i="15"/>
  <c r="BC192" i="15"/>
  <c r="BC191" i="15"/>
  <c r="BC190" i="15"/>
  <c r="BC189" i="15"/>
  <c r="BC188" i="15"/>
  <c r="BC187" i="15"/>
  <c r="BC186" i="15"/>
  <c r="BO197" i="15"/>
  <c r="BO196" i="15"/>
  <c r="BO195" i="15"/>
  <c r="BO194" i="15"/>
  <c r="BO193" i="15"/>
  <c r="BO192" i="15"/>
  <c r="BO191" i="15"/>
  <c r="BO190" i="15"/>
  <c r="BO189" i="15"/>
  <c r="BO188" i="15"/>
  <c r="BO187" i="15"/>
  <c r="BO186" i="15"/>
  <c r="CA197" i="15"/>
  <c r="CA196" i="15"/>
  <c r="CA195" i="15"/>
  <c r="CA194" i="15"/>
  <c r="CA193" i="15"/>
  <c r="CA192" i="15"/>
  <c r="CA191" i="15"/>
  <c r="CA190" i="15"/>
  <c r="CA189" i="15"/>
  <c r="CA188" i="15"/>
  <c r="CA187" i="15"/>
  <c r="CA186" i="15"/>
  <c r="CY197" i="15"/>
  <c r="CY196" i="15"/>
  <c r="CY195" i="15"/>
  <c r="CY194" i="15"/>
  <c r="CY193" i="15"/>
  <c r="CY192" i="15"/>
  <c r="CY191" i="15"/>
  <c r="CY190" i="15"/>
  <c r="CY189" i="15"/>
  <c r="CY188" i="15"/>
  <c r="CY187" i="15"/>
  <c r="CY186" i="15"/>
  <c r="DK197" i="15"/>
  <c r="DK196" i="15"/>
  <c r="DK195" i="15"/>
  <c r="DK194" i="15"/>
  <c r="DK193" i="15"/>
  <c r="DK192" i="15"/>
  <c r="DK191" i="15"/>
  <c r="DK190" i="15"/>
  <c r="DK189" i="15"/>
  <c r="DK188" i="15"/>
  <c r="DK187" i="15"/>
  <c r="DK186" i="15"/>
  <c r="DK185" i="15"/>
  <c r="DK184" i="15"/>
  <c r="DK183" i="15"/>
  <c r="DK182" i="15"/>
  <c r="DK181" i="15"/>
  <c r="DK180" i="15"/>
  <c r="DK179" i="15"/>
  <c r="DK178" i="15"/>
  <c r="DK177" i="15"/>
  <c r="DK176" i="15"/>
  <c r="DK175" i="15"/>
  <c r="DK174" i="15"/>
  <c r="CY185" i="15"/>
  <c r="CY184" i="15"/>
  <c r="CY183" i="15"/>
  <c r="CY182" i="15"/>
  <c r="CY181" i="15"/>
  <c r="CY180" i="15"/>
  <c r="CY179" i="15"/>
  <c r="CY178" i="15"/>
  <c r="CY177" i="15"/>
  <c r="CY176" i="15"/>
  <c r="CY175" i="15"/>
  <c r="CY174" i="15"/>
  <c r="CA185" i="15"/>
  <c r="CA184" i="15"/>
  <c r="CA183" i="15"/>
  <c r="CA182" i="15"/>
  <c r="CA181" i="15"/>
  <c r="CA180" i="15"/>
  <c r="CA179" i="15"/>
  <c r="CA178" i="15"/>
  <c r="CA177" i="15"/>
  <c r="CA176" i="15"/>
  <c r="CA175" i="15"/>
  <c r="CA174" i="15"/>
  <c r="BO185" i="15"/>
  <c r="BO184" i="15"/>
  <c r="BO183" i="15"/>
  <c r="BO182" i="15"/>
  <c r="BO181" i="15"/>
  <c r="BO180" i="15"/>
  <c r="BO179" i="15"/>
  <c r="BO178" i="15"/>
  <c r="BO177" i="15"/>
  <c r="BO176" i="15"/>
  <c r="BO175" i="15"/>
  <c r="BO174" i="15"/>
  <c r="BC185" i="15"/>
  <c r="BC184" i="15"/>
  <c r="BC183" i="15"/>
  <c r="BC182" i="15"/>
  <c r="BC181" i="15"/>
  <c r="BC180" i="15"/>
  <c r="BC179" i="15"/>
  <c r="BC178" i="15"/>
  <c r="BC177" i="15"/>
  <c r="BC176" i="15"/>
  <c r="BC175" i="15"/>
  <c r="BC174" i="15"/>
  <c r="AQ185" i="15"/>
  <c r="AQ184" i="15"/>
  <c r="AQ183" i="15"/>
  <c r="AQ182" i="15"/>
  <c r="AQ181" i="15"/>
  <c r="AQ180" i="15"/>
  <c r="AQ179" i="15"/>
  <c r="AQ178" i="15"/>
  <c r="AQ177" i="15"/>
  <c r="AQ176" i="15"/>
  <c r="AQ175" i="15"/>
  <c r="AQ174" i="15"/>
  <c r="S185" i="15"/>
  <c r="S184" i="15"/>
  <c r="S183" i="15"/>
  <c r="S182" i="15"/>
  <c r="S181" i="15"/>
  <c r="S180" i="15"/>
  <c r="S179" i="15"/>
  <c r="S178" i="15"/>
  <c r="S177" i="15"/>
  <c r="S176" i="15"/>
  <c r="S175" i="15"/>
  <c r="S174" i="15"/>
  <c r="DK173" i="15"/>
  <c r="DK172" i="15"/>
  <c r="DK171" i="15"/>
  <c r="DK170" i="15"/>
  <c r="DK169" i="15"/>
  <c r="DK168" i="15"/>
  <c r="DK167" i="15"/>
  <c r="DK166" i="15"/>
  <c r="DK165" i="15"/>
  <c r="DK164" i="15"/>
  <c r="DK163" i="15"/>
  <c r="DK162" i="15"/>
  <c r="CY173" i="15"/>
  <c r="CY172" i="15"/>
  <c r="CY171" i="15"/>
  <c r="CY170" i="15"/>
  <c r="CY169" i="15"/>
  <c r="CY168" i="15"/>
  <c r="CY167" i="15"/>
  <c r="CY166" i="15"/>
  <c r="CY165" i="15"/>
  <c r="CY164" i="15"/>
  <c r="CY163" i="15"/>
  <c r="CY162" i="15"/>
  <c r="CA173" i="15"/>
  <c r="CA172" i="15"/>
  <c r="CA171" i="15"/>
  <c r="CA170" i="15"/>
  <c r="CA169" i="15"/>
  <c r="CA168" i="15"/>
  <c r="CA167" i="15"/>
  <c r="CA166" i="15"/>
  <c r="CA165" i="15"/>
  <c r="CA164" i="15"/>
  <c r="CA163" i="15"/>
  <c r="CA162" i="15"/>
  <c r="BO173" i="15"/>
  <c r="BO172" i="15"/>
  <c r="BO171" i="15"/>
  <c r="BO170" i="15"/>
  <c r="BO169" i="15"/>
  <c r="BO168" i="15"/>
  <c r="BO167" i="15"/>
  <c r="BO166" i="15"/>
  <c r="BO165" i="15"/>
  <c r="BO164" i="15"/>
  <c r="BO163" i="15"/>
  <c r="BO162" i="15"/>
  <c r="BC173" i="15"/>
  <c r="BC172" i="15"/>
  <c r="BC171" i="15"/>
  <c r="BC170" i="15"/>
  <c r="BC169" i="15"/>
  <c r="BC168" i="15"/>
  <c r="BC167" i="15"/>
  <c r="BC166" i="15"/>
  <c r="BC165" i="15"/>
  <c r="BC164" i="15"/>
  <c r="BC163" i="15"/>
  <c r="BC162" i="15"/>
  <c r="AQ173" i="15"/>
  <c r="AQ172" i="15"/>
  <c r="AQ171" i="15"/>
  <c r="AQ170" i="15"/>
  <c r="AQ169" i="15"/>
  <c r="AQ168" i="15"/>
  <c r="AQ167" i="15"/>
  <c r="AQ166" i="15"/>
  <c r="AQ165" i="15"/>
  <c r="AQ164" i="15"/>
  <c r="AQ163" i="15"/>
  <c r="AQ162" i="15"/>
  <c r="S173" i="15"/>
  <c r="DK161" i="15"/>
  <c r="DK160" i="15"/>
  <c r="DK159" i="15"/>
  <c r="DK158" i="15"/>
  <c r="DK157" i="15"/>
  <c r="DK156" i="15"/>
  <c r="DK155" i="15"/>
  <c r="DK154" i="15"/>
  <c r="DK153" i="15"/>
  <c r="DK152" i="15"/>
  <c r="DK151" i="15"/>
  <c r="DK150" i="15"/>
  <c r="CY161" i="15"/>
  <c r="CY160" i="15"/>
  <c r="CY159" i="15"/>
  <c r="CY158" i="15"/>
  <c r="CY157" i="15"/>
  <c r="CY156" i="15"/>
  <c r="CY155" i="15"/>
  <c r="CY154" i="15"/>
  <c r="CY153" i="15"/>
  <c r="CY152" i="15"/>
  <c r="CY151" i="15"/>
  <c r="CY150" i="15"/>
  <c r="CA161" i="15"/>
  <c r="CA160" i="15"/>
  <c r="CA159" i="15"/>
  <c r="CA158" i="15"/>
  <c r="CA157" i="15"/>
  <c r="CA156" i="15"/>
  <c r="CA155" i="15"/>
  <c r="CA154" i="15"/>
  <c r="CA153" i="15"/>
  <c r="CA152" i="15"/>
  <c r="CA151" i="15"/>
  <c r="CA150" i="15"/>
  <c r="BO161" i="15"/>
  <c r="BO160" i="15"/>
  <c r="BO159" i="15"/>
  <c r="BO158" i="15"/>
  <c r="BO157" i="15"/>
  <c r="BO156" i="15"/>
  <c r="BO155" i="15"/>
  <c r="BO154" i="15"/>
  <c r="BO153" i="15"/>
  <c r="BO152" i="15"/>
  <c r="BO151" i="15"/>
  <c r="BO150" i="15"/>
  <c r="BC161" i="15"/>
  <c r="BC160" i="15"/>
  <c r="BC159" i="15"/>
  <c r="BC158" i="15"/>
  <c r="BC157" i="15"/>
  <c r="BC156" i="15"/>
  <c r="BC155" i="15"/>
  <c r="BC154" i="15"/>
  <c r="BC153" i="15"/>
  <c r="BC152" i="15"/>
  <c r="BC151" i="15"/>
  <c r="BC150" i="15"/>
  <c r="AQ161" i="15"/>
  <c r="AQ160" i="15"/>
  <c r="AQ159" i="15"/>
  <c r="AQ158" i="15"/>
  <c r="AQ157" i="15"/>
  <c r="AQ156" i="15"/>
  <c r="AQ155" i="15"/>
  <c r="AQ154" i="15"/>
  <c r="AQ153" i="15"/>
  <c r="AQ152" i="15"/>
  <c r="AQ151" i="15"/>
  <c r="AQ150" i="15"/>
  <c r="I269" i="14" l="1"/>
  <c r="H269" i="14"/>
  <c r="F269" i="14"/>
  <c r="I268" i="14"/>
  <c r="H268" i="14"/>
  <c r="F268" i="14"/>
  <c r="I267" i="14"/>
  <c r="H267" i="14"/>
  <c r="F267" i="14"/>
  <c r="I266" i="14"/>
  <c r="H266" i="14"/>
  <c r="F266" i="14"/>
  <c r="I265" i="14"/>
  <c r="H265" i="14"/>
  <c r="F265" i="14"/>
  <c r="I264" i="14"/>
  <c r="H264" i="14"/>
  <c r="F264" i="14"/>
  <c r="I263" i="14"/>
  <c r="H263" i="14"/>
  <c r="E263" i="14" s="1"/>
  <c r="F263" i="14"/>
  <c r="I262" i="14"/>
  <c r="H262" i="14"/>
  <c r="F262" i="14"/>
  <c r="I261" i="14"/>
  <c r="H261" i="14"/>
  <c r="F261" i="14"/>
  <c r="I260" i="14"/>
  <c r="H260" i="14"/>
  <c r="F260" i="14"/>
  <c r="I259" i="14"/>
  <c r="H259" i="14"/>
  <c r="E259" i="14" s="1"/>
  <c r="F259" i="14"/>
  <c r="I258" i="14"/>
  <c r="H258" i="14"/>
  <c r="F258" i="14"/>
  <c r="S261" i="14"/>
  <c r="S260" i="14"/>
  <c r="S259" i="14"/>
  <c r="S258" i="14"/>
  <c r="AE261" i="14"/>
  <c r="AE260" i="14"/>
  <c r="AE259" i="14"/>
  <c r="AE258" i="14"/>
  <c r="AQ261" i="14"/>
  <c r="AQ260" i="14"/>
  <c r="AQ259" i="14"/>
  <c r="AQ258" i="14"/>
  <c r="E267" i="14" l="1"/>
  <c r="C259" i="14"/>
  <c r="D259" i="14"/>
  <c r="J262" i="14"/>
  <c r="E262" i="14"/>
  <c r="D263" i="14"/>
  <c r="C263" i="14"/>
  <c r="E266" i="14"/>
  <c r="D267" i="14"/>
  <c r="C267" i="14"/>
  <c r="D260" i="14"/>
  <c r="C260" i="14"/>
  <c r="D264" i="14"/>
  <c r="C264" i="14"/>
  <c r="C268" i="14"/>
  <c r="D268" i="14"/>
  <c r="D258" i="14"/>
  <c r="C258" i="14"/>
  <c r="E261" i="14"/>
  <c r="D262" i="14"/>
  <c r="C262" i="14"/>
  <c r="E265" i="14"/>
  <c r="D266" i="14"/>
  <c r="C266" i="14"/>
  <c r="E269" i="14"/>
  <c r="J258" i="14"/>
  <c r="E258" i="14"/>
  <c r="E260" i="14"/>
  <c r="C261" i="14"/>
  <c r="D261" i="14"/>
  <c r="E264" i="14"/>
  <c r="C265" i="14"/>
  <c r="D265" i="14"/>
  <c r="E268" i="14"/>
  <c r="C269" i="14"/>
  <c r="D269" i="14"/>
  <c r="J266" i="14"/>
  <c r="G259" i="14"/>
  <c r="J260" i="14"/>
  <c r="J264" i="14"/>
  <c r="J268" i="14"/>
  <c r="G258" i="14"/>
  <c r="J259" i="14"/>
  <c r="J263" i="14"/>
  <c r="J267" i="14"/>
  <c r="J261" i="14"/>
  <c r="J265" i="14"/>
  <c r="G260" i="14"/>
  <c r="G261" i="14"/>
  <c r="G262" i="14"/>
  <c r="G263" i="14"/>
  <c r="G264" i="14"/>
  <c r="G265" i="14"/>
  <c r="G266" i="14"/>
  <c r="G267" i="14"/>
  <c r="G268" i="14"/>
  <c r="G269" i="14"/>
  <c r="J269" i="14"/>
  <c r="AQ150" i="14" l="1"/>
  <c r="AE150" i="14"/>
  <c r="S150" i="14"/>
  <c r="AQ218" i="14"/>
  <c r="AQ217" i="14"/>
  <c r="AE218" i="14"/>
  <c r="AE217" i="14"/>
  <c r="S218" i="14"/>
  <c r="S217" i="14"/>
  <c r="I161" i="14" l="1"/>
  <c r="H161" i="14"/>
  <c r="F161" i="14"/>
  <c r="I160" i="14"/>
  <c r="H160" i="14"/>
  <c r="F160" i="14"/>
  <c r="I159" i="14"/>
  <c r="H159" i="14"/>
  <c r="E159" i="14" s="1"/>
  <c r="F159" i="14"/>
  <c r="I158" i="14"/>
  <c r="H158" i="14"/>
  <c r="F158" i="14"/>
  <c r="I157" i="14"/>
  <c r="H157" i="14"/>
  <c r="F157" i="14"/>
  <c r="I156" i="14"/>
  <c r="H156" i="14"/>
  <c r="F156" i="14"/>
  <c r="I155" i="14"/>
  <c r="H155" i="14"/>
  <c r="E155" i="14" s="1"/>
  <c r="F155" i="14"/>
  <c r="I154" i="14"/>
  <c r="H154" i="14"/>
  <c r="F154" i="14"/>
  <c r="I153" i="14"/>
  <c r="H153" i="14"/>
  <c r="F153" i="14"/>
  <c r="I152" i="14"/>
  <c r="H152" i="14"/>
  <c r="F152" i="14"/>
  <c r="I151" i="14"/>
  <c r="H151" i="14"/>
  <c r="E151" i="14" s="1"/>
  <c r="F151" i="14"/>
  <c r="I150" i="14"/>
  <c r="H150" i="14"/>
  <c r="F150" i="14"/>
  <c r="I173" i="14"/>
  <c r="H173" i="14"/>
  <c r="F173" i="14"/>
  <c r="I172" i="14"/>
  <c r="H172" i="14"/>
  <c r="F172" i="14"/>
  <c r="I171" i="14"/>
  <c r="H171" i="14"/>
  <c r="E171" i="14" s="1"/>
  <c r="F171" i="14"/>
  <c r="I170" i="14"/>
  <c r="H170" i="14"/>
  <c r="F170" i="14"/>
  <c r="I169" i="14"/>
  <c r="H169" i="14"/>
  <c r="F169" i="14"/>
  <c r="I168" i="14"/>
  <c r="H168" i="14"/>
  <c r="F168" i="14"/>
  <c r="I167" i="14"/>
  <c r="H167" i="14"/>
  <c r="E167" i="14" s="1"/>
  <c r="F167" i="14"/>
  <c r="I166" i="14"/>
  <c r="H166" i="14"/>
  <c r="F166" i="14"/>
  <c r="I165" i="14"/>
  <c r="H165" i="14"/>
  <c r="F165" i="14"/>
  <c r="I164" i="14"/>
  <c r="H164" i="14"/>
  <c r="F164" i="14"/>
  <c r="I163" i="14"/>
  <c r="H163" i="14"/>
  <c r="E163" i="14" s="1"/>
  <c r="F163" i="14"/>
  <c r="I162" i="14"/>
  <c r="H162" i="14"/>
  <c r="F162" i="14"/>
  <c r="I185" i="14"/>
  <c r="H185" i="14"/>
  <c r="F185" i="14"/>
  <c r="I184" i="14"/>
  <c r="H184" i="14"/>
  <c r="F184" i="14"/>
  <c r="I183" i="14"/>
  <c r="H183" i="14"/>
  <c r="F183" i="14"/>
  <c r="I182" i="14"/>
  <c r="H182" i="14"/>
  <c r="F182" i="14"/>
  <c r="I181" i="14"/>
  <c r="H181" i="14"/>
  <c r="F181" i="14"/>
  <c r="I180" i="14"/>
  <c r="H180" i="14"/>
  <c r="F180" i="14"/>
  <c r="I179" i="14"/>
  <c r="H179" i="14"/>
  <c r="E179" i="14" s="1"/>
  <c r="F179" i="14"/>
  <c r="I178" i="14"/>
  <c r="H178" i="14"/>
  <c r="F178" i="14"/>
  <c r="I177" i="14"/>
  <c r="H177" i="14"/>
  <c r="F177" i="14"/>
  <c r="I176" i="14"/>
  <c r="H176" i="14"/>
  <c r="F176" i="14"/>
  <c r="I175" i="14"/>
  <c r="H175" i="14"/>
  <c r="E175" i="14" s="1"/>
  <c r="F175" i="14"/>
  <c r="I174" i="14"/>
  <c r="H174" i="14"/>
  <c r="F174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73" i="14"/>
  <c r="AQ172" i="14"/>
  <c r="AQ171" i="14"/>
  <c r="AQ170" i="14"/>
  <c r="AQ169" i="14"/>
  <c r="AQ168" i="14"/>
  <c r="AQ167" i="14"/>
  <c r="AQ166" i="14"/>
  <c r="AQ165" i="14"/>
  <c r="AQ164" i="14"/>
  <c r="AQ163" i="14"/>
  <c r="AQ162" i="14"/>
  <c r="AQ185" i="14"/>
  <c r="AQ184" i="14"/>
  <c r="AQ183" i="14"/>
  <c r="AQ182" i="14"/>
  <c r="AQ181" i="14"/>
  <c r="AQ180" i="14"/>
  <c r="AQ179" i="14"/>
  <c r="AQ178" i="14"/>
  <c r="AQ177" i="14"/>
  <c r="AQ176" i="14"/>
  <c r="AQ175" i="14"/>
  <c r="AQ174" i="14"/>
  <c r="AE185" i="14"/>
  <c r="AE184" i="14"/>
  <c r="AE183" i="14"/>
  <c r="AE182" i="14"/>
  <c r="AE181" i="14"/>
  <c r="AE180" i="14"/>
  <c r="AE179" i="14"/>
  <c r="AE178" i="14"/>
  <c r="AE177" i="14"/>
  <c r="AE176" i="14"/>
  <c r="AE175" i="14"/>
  <c r="AE174" i="14"/>
  <c r="AE173" i="14"/>
  <c r="AE172" i="14"/>
  <c r="AE171" i="14"/>
  <c r="AE170" i="14"/>
  <c r="AE169" i="14"/>
  <c r="AE168" i="14"/>
  <c r="AE167" i="14"/>
  <c r="AE166" i="14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S161" i="14"/>
  <c r="S160" i="14"/>
  <c r="S159" i="14"/>
  <c r="S158" i="14"/>
  <c r="S157" i="14"/>
  <c r="S156" i="14"/>
  <c r="S155" i="14"/>
  <c r="S154" i="14"/>
  <c r="S153" i="14"/>
  <c r="S152" i="14"/>
  <c r="S151" i="14"/>
  <c r="S173" i="14"/>
  <c r="S172" i="14"/>
  <c r="S171" i="14"/>
  <c r="S170" i="14"/>
  <c r="S169" i="14"/>
  <c r="S168" i="14"/>
  <c r="S167" i="14"/>
  <c r="S166" i="14"/>
  <c r="S165" i="14"/>
  <c r="S164" i="14"/>
  <c r="S163" i="14"/>
  <c r="S162" i="14"/>
  <c r="S185" i="14"/>
  <c r="S184" i="14"/>
  <c r="S183" i="14"/>
  <c r="S182" i="14"/>
  <c r="S181" i="14"/>
  <c r="S180" i="14"/>
  <c r="S179" i="14"/>
  <c r="S178" i="14"/>
  <c r="S177" i="14"/>
  <c r="S176" i="14"/>
  <c r="S175" i="14"/>
  <c r="S174" i="14"/>
  <c r="I197" i="14"/>
  <c r="H197" i="14"/>
  <c r="F197" i="14"/>
  <c r="I196" i="14"/>
  <c r="H196" i="14"/>
  <c r="F196" i="14"/>
  <c r="I195" i="14"/>
  <c r="H195" i="14"/>
  <c r="F195" i="14"/>
  <c r="I194" i="14"/>
  <c r="H194" i="14"/>
  <c r="E194" i="14" s="1"/>
  <c r="F194" i="14"/>
  <c r="I193" i="14"/>
  <c r="H193" i="14"/>
  <c r="F193" i="14"/>
  <c r="I192" i="14"/>
  <c r="H192" i="14"/>
  <c r="F192" i="14"/>
  <c r="I191" i="14"/>
  <c r="H191" i="14"/>
  <c r="F191" i="14"/>
  <c r="I190" i="14"/>
  <c r="H190" i="14"/>
  <c r="F190" i="14"/>
  <c r="I189" i="14"/>
  <c r="H189" i="14"/>
  <c r="F189" i="14"/>
  <c r="I188" i="14"/>
  <c r="H188" i="14"/>
  <c r="F188" i="14"/>
  <c r="I187" i="14"/>
  <c r="H187" i="14"/>
  <c r="F187" i="14"/>
  <c r="I186" i="14"/>
  <c r="H186" i="14"/>
  <c r="E186" i="14" s="1"/>
  <c r="F186" i="14"/>
  <c r="S197" i="14"/>
  <c r="S196" i="14"/>
  <c r="S195" i="14"/>
  <c r="S194" i="14"/>
  <c r="S193" i="14"/>
  <c r="S192" i="14"/>
  <c r="S191" i="14"/>
  <c r="S190" i="14"/>
  <c r="S189" i="14"/>
  <c r="S188" i="14"/>
  <c r="S187" i="14"/>
  <c r="S186" i="14"/>
  <c r="AE197" i="14"/>
  <c r="AE196" i="14"/>
  <c r="AE195" i="14"/>
  <c r="AE194" i="14"/>
  <c r="AE193" i="14"/>
  <c r="AE192" i="14"/>
  <c r="AE191" i="14"/>
  <c r="AE190" i="14"/>
  <c r="AE189" i="14"/>
  <c r="AE188" i="14"/>
  <c r="AE187" i="14"/>
  <c r="AE186" i="14"/>
  <c r="AQ197" i="14"/>
  <c r="AQ196" i="14"/>
  <c r="AQ195" i="14"/>
  <c r="AQ194" i="14"/>
  <c r="AQ193" i="14"/>
  <c r="AQ192" i="14"/>
  <c r="AQ191" i="14"/>
  <c r="AQ190" i="14"/>
  <c r="AQ189" i="14"/>
  <c r="AQ188" i="14"/>
  <c r="AQ187" i="14"/>
  <c r="AQ186" i="14"/>
  <c r="I209" i="14"/>
  <c r="H209" i="14"/>
  <c r="F209" i="14"/>
  <c r="I208" i="14"/>
  <c r="H208" i="14"/>
  <c r="F208" i="14"/>
  <c r="I207" i="14"/>
  <c r="H207" i="14"/>
  <c r="F207" i="14"/>
  <c r="I206" i="14"/>
  <c r="H206" i="14"/>
  <c r="E206" i="14" s="1"/>
  <c r="F206" i="14"/>
  <c r="I205" i="14"/>
  <c r="H205" i="14"/>
  <c r="F205" i="14"/>
  <c r="I204" i="14"/>
  <c r="H204" i="14"/>
  <c r="F204" i="14"/>
  <c r="I203" i="14"/>
  <c r="H203" i="14"/>
  <c r="F203" i="14"/>
  <c r="I202" i="14"/>
  <c r="H202" i="14"/>
  <c r="E202" i="14" s="1"/>
  <c r="F202" i="14"/>
  <c r="I201" i="14"/>
  <c r="H201" i="14"/>
  <c r="F201" i="14"/>
  <c r="I200" i="14"/>
  <c r="H200" i="14"/>
  <c r="F200" i="14"/>
  <c r="I199" i="14"/>
  <c r="H199" i="14"/>
  <c r="F199" i="14"/>
  <c r="I198" i="14"/>
  <c r="H198" i="14"/>
  <c r="E198" i="14" s="1"/>
  <c r="F198" i="14"/>
  <c r="AQ209" i="14"/>
  <c r="AQ208" i="14"/>
  <c r="AQ207" i="14"/>
  <c r="AQ206" i="14"/>
  <c r="AQ205" i="14"/>
  <c r="AQ204" i="14"/>
  <c r="AQ203" i="14"/>
  <c r="AQ202" i="14"/>
  <c r="AQ201" i="14"/>
  <c r="AQ200" i="14"/>
  <c r="AQ199" i="14"/>
  <c r="AQ198" i="14"/>
  <c r="AE209" i="14"/>
  <c r="AE208" i="14"/>
  <c r="AE207" i="14"/>
  <c r="AE206" i="14"/>
  <c r="AE205" i="14"/>
  <c r="AE204" i="14"/>
  <c r="AE203" i="14"/>
  <c r="AE202" i="14"/>
  <c r="AE201" i="14"/>
  <c r="AE200" i="14"/>
  <c r="AE199" i="14"/>
  <c r="AE198" i="14"/>
  <c r="S209" i="14"/>
  <c r="S208" i="14"/>
  <c r="S207" i="14"/>
  <c r="S206" i="14"/>
  <c r="S205" i="14"/>
  <c r="S204" i="14"/>
  <c r="S203" i="14"/>
  <c r="S202" i="14"/>
  <c r="S201" i="14"/>
  <c r="S200" i="14"/>
  <c r="S199" i="14"/>
  <c r="S198" i="14"/>
  <c r="E190" i="14" l="1"/>
  <c r="G178" i="14"/>
  <c r="E180" i="14"/>
  <c r="E184" i="14"/>
  <c r="E164" i="14"/>
  <c r="D207" i="14"/>
  <c r="C207" i="14"/>
  <c r="C180" i="14"/>
  <c r="D180" i="14"/>
  <c r="J183" i="14"/>
  <c r="E183" i="14"/>
  <c r="C164" i="14"/>
  <c r="D164" i="14"/>
  <c r="D168" i="14"/>
  <c r="C168" i="14"/>
  <c r="D172" i="14"/>
  <c r="C172" i="14"/>
  <c r="D152" i="14"/>
  <c r="C152" i="14"/>
  <c r="D156" i="14"/>
  <c r="C156" i="14"/>
  <c r="D198" i="14"/>
  <c r="C198" i="14"/>
  <c r="E201" i="14"/>
  <c r="D202" i="14"/>
  <c r="C202" i="14"/>
  <c r="E205" i="14"/>
  <c r="D206" i="14"/>
  <c r="C206" i="14"/>
  <c r="E209" i="14"/>
  <c r="C186" i="14"/>
  <c r="D186" i="14"/>
  <c r="E189" i="14"/>
  <c r="C190" i="14"/>
  <c r="D190" i="14"/>
  <c r="E193" i="14"/>
  <c r="D194" i="14"/>
  <c r="C194" i="14"/>
  <c r="E197" i="14"/>
  <c r="E174" i="14"/>
  <c r="D175" i="14"/>
  <c r="C175" i="14"/>
  <c r="E178" i="14"/>
  <c r="D179" i="14"/>
  <c r="C179" i="14"/>
  <c r="E182" i="14"/>
  <c r="D183" i="14"/>
  <c r="C183" i="14"/>
  <c r="E162" i="14"/>
  <c r="D163" i="14"/>
  <c r="C163" i="14"/>
  <c r="E166" i="14"/>
  <c r="D167" i="14"/>
  <c r="C167" i="14"/>
  <c r="E170" i="14"/>
  <c r="D171" i="14"/>
  <c r="C171" i="14"/>
  <c r="E150" i="14"/>
  <c r="D151" i="14"/>
  <c r="C151" i="14"/>
  <c r="E154" i="14"/>
  <c r="D155" i="14"/>
  <c r="C155" i="14"/>
  <c r="E158" i="14"/>
  <c r="D159" i="14"/>
  <c r="C159" i="14"/>
  <c r="D184" i="14"/>
  <c r="C184" i="14"/>
  <c r="E200" i="14"/>
  <c r="D201" i="14"/>
  <c r="C201" i="14"/>
  <c r="E204" i="14"/>
  <c r="D205" i="14"/>
  <c r="C205" i="14"/>
  <c r="E208" i="14"/>
  <c r="D209" i="14"/>
  <c r="C209" i="14"/>
  <c r="E188" i="14"/>
  <c r="C189" i="14"/>
  <c r="D189" i="14"/>
  <c r="E192" i="14"/>
  <c r="D193" i="14"/>
  <c r="C193" i="14"/>
  <c r="E196" i="14"/>
  <c r="D197" i="14"/>
  <c r="C197" i="14"/>
  <c r="C174" i="14"/>
  <c r="D174" i="14"/>
  <c r="E177" i="14"/>
  <c r="C178" i="14"/>
  <c r="D178" i="14"/>
  <c r="E181" i="14"/>
  <c r="C182" i="14"/>
  <c r="D182" i="14"/>
  <c r="E185" i="14"/>
  <c r="C162" i="14"/>
  <c r="D162" i="14"/>
  <c r="E165" i="14"/>
  <c r="C166" i="14"/>
  <c r="D166" i="14"/>
  <c r="E169" i="14"/>
  <c r="C170" i="14"/>
  <c r="D170" i="14"/>
  <c r="E173" i="14"/>
  <c r="C150" i="14"/>
  <c r="D150" i="14"/>
  <c r="E153" i="14"/>
  <c r="C154" i="14"/>
  <c r="D154" i="14"/>
  <c r="E157" i="14"/>
  <c r="C158" i="14"/>
  <c r="D158" i="14"/>
  <c r="E161" i="14"/>
  <c r="D199" i="14"/>
  <c r="C199" i="14"/>
  <c r="D203" i="14"/>
  <c r="C203" i="14"/>
  <c r="D187" i="14"/>
  <c r="C187" i="14"/>
  <c r="D191" i="14"/>
  <c r="C191" i="14"/>
  <c r="D195" i="14"/>
  <c r="C195" i="14"/>
  <c r="D176" i="14"/>
  <c r="C176" i="14"/>
  <c r="D160" i="14"/>
  <c r="C160" i="14"/>
  <c r="E199" i="14"/>
  <c r="C200" i="14"/>
  <c r="D200" i="14"/>
  <c r="E203" i="14"/>
  <c r="C204" i="14"/>
  <c r="D204" i="14"/>
  <c r="E207" i="14"/>
  <c r="C208" i="14"/>
  <c r="D208" i="14"/>
  <c r="E187" i="14"/>
  <c r="D188" i="14"/>
  <c r="C188" i="14"/>
  <c r="E191" i="14"/>
  <c r="D192" i="14"/>
  <c r="C192" i="14"/>
  <c r="E195" i="14"/>
  <c r="C196" i="14"/>
  <c r="D196" i="14"/>
  <c r="E176" i="14"/>
  <c r="C177" i="14"/>
  <c r="D177" i="14"/>
  <c r="D181" i="14"/>
  <c r="C181" i="14"/>
  <c r="D185" i="14"/>
  <c r="C185" i="14"/>
  <c r="D165" i="14"/>
  <c r="C165" i="14"/>
  <c r="E168" i="14"/>
  <c r="D169" i="14"/>
  <c r="C169" i="14"/>
  <c r="E172" i="14"/>
  <c r="C173" i="14"/>
  <c r="D173" i="14"/>
  <c r="E152" i="14"/>
  <c r="D153" i="14"/>
  <c r="C153" i="14"/>
  <c r="E156" i="14"/>
  <c r="C157" i="14"/>
  <c r="D157" i="14"/>
  <c r="E160" i="14"/>
  <c r="C161" i="14"/>
  <c r="D161" i="14"/>
  <c r="G180" i="14"/>
  <c r="J173" i="14"/>
  <c r="G167" i="14"/>
  <c r="G151" i="14"/>
  <c r="G160" i="14"/>
  <c r="G162" i="14"/>
  <c r="G166" i="14"/>
  <c r="G150" i="14"/>
  <c r="G158" i="14"/>
  <c r="G161" i="14"/>
  <c r="J209" i="14"/>
  <c r="G188" i="14"/>
  <c r="J189" i="14"/>
  <c r="G192" i="14"/>
  <c r="G196" i="14"/>
  <c r="G197" i="14"/>
  <c r="G206" i="14"/>
  <c r="G191" i="14"/>
  <c r="G186" i="14"/>
  <c r="J187" i="14"/>
  <c r="G190" i="14"/>
  <c r="J191" i="14"/>
  <c r="G194" i="14"/>
  <c r="G177" i="14"/>
  <c r="G165" i="14"/>
  <c r="G169" i="14"/>
  <c r="G153" i="14"/>
  <c r="G195" i="14"/>
  <c r="G176" i="14"/>
  <c r="J199" i="14"/>
  <c r="J205" i="14"/>
  <c r="G168" i="14"/>
  <c r="J170" i="14"/>
  <c r="G152" i="14"/>
  <c r="G156" i="14"/>
  <c r="G157" i="14"/>
  <c r="J200" i="14"/>
  <c r="G203" i="14"/>
  <c r="G204" i="14"/>
  <c r="G205" i="14"/>
  <c r="J206" i="14"/>
  <c r="G207" i="14"/>
  <c r="G187" i="14"/>
  <c r="J188" i="14"/>
  <c r="G163" i="14"/>
  <c r="G170" i="14"/>
  <c r="G159" i="14"/>
  <c r="G174" i="14"/>
  <c r="G175" i="14"/>
  <c r="J185" i="14"/>
  <c r="J186" i="14"/>
  <c r="G189" i="14"/>
  <c r="J190" i="14"/>
  <c r="G193" i="14"/>
  <c r="G181" i="14"/>
  <c r="G182" i="14"/>
  <c r="J171" i="14"/>
  <c r="J172" i="14"/>
  <c r="G154" i="14"/>
  <c r="G155" i="14"/>
  <c r="J192" i="14"/>
  <c r="J193" i="14"/>
  <c r="J194" i="14"/>
  <c r="J182" i="14"/>
  <c r="G164" i="14"/>
  <c r="G179" i="14"/>
  <c r="J201" i="14"/>
  <c r="G208" i="14"/>
  <c r="J184" i="14"/>
  <c r="J202" i="14"/>
  <c r="J208" i="14"/>
  <c r="J198" i="14"/>
  <c r="G198" i="14"/>
  <c r="G199" i="14"/>
  <c r="G200" i="14"/>
  <c r="G201" i="14"/>
  <c r="G202" i="14"/>
  <c r="J203" i="14"/>
  <c r="J204" i="14"/>
  <c r="J207" i="14"/>
  <c r="G209" i="14"/>
  <c r="J195" i="14"/>
  <c r="J196" i="14"/>
  <c r="J197" i="14"/>
  <c r="J174" i="14"/>
  <c r="J175" i="14"/>
  <c r="J176" i="14"/>
  <c r="J177" i="14"/>
  <c r="J178" i="14"/>
  <c r="J179" i="14"/>
  <c r="J180" i="14"/>
  <c r="J181" i="14"/>
  <c r="G183" i="14"/>
  <c r="G184" i="14"/>
  <c r="G185" i="14"/>
  <c r="J162" i="14"/>
  <c r="J163" i="14"/>
  <c r="J164" i="14"/>
  <c r="J165" i="14"/>
  <c r="J166" i="14"/>
  <c r="J167" i="14"/>
  <c r="J168" i="14"/>
  <c r="J169" i="14"/>
  <c r="G171" i="14"/>
  <c r="G172" i="14"/>
  <c r="G173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S284" i="14"/>
  <c r="AE284" i="14"/>
  <c r="AQ284" i="14"/>
  <c r="G284" i="13"/>
  <c r="G284" i="12"/>
  <c r="DK284" i="15"/>
  <c r="CY284" i="15"/>
  <c r="CM284" i="15"/>
  <c r="BO284" i="15"/>
  <c r="BC284" i="15"/>
  <c r="S284" i="15"/>
  <c r="AQ284" i="15"/>
  <c r="G284" i="1"/>
  <c r="S284" i="16"/>
  <c r="S283" i="14" l="1"/>
  <c r="S282" i="14"/>
  <c r="AE283" i="14"/>
  <c r="AE282" i="14"/>
  <c r="AQ283" i="14"/>
  <c r="AQ282" i="14"/>
  <c r="AT293" i="14"/>
  <c r="AH293" i="14"/>
  <c r="V293" i="14"/>
  <c r="I293" i="14"/>
  <c r="H293" i="14"/>
  <c r="F293" i="14"/>
  <c r="AT292" i="14"/>
  <c r="AH292" i="14"/>
  <c r="V292" i="14"/>
  <c r="I292" i="14"/>
  <c r="H292" i="14"/>
  <c r="F292" i="14"/>
  <c r="AT291" i="14"/>
  <c r="AH291" i="14"/>
  <c r="V291" i="14"/>
  <c r="I291" i="14"/>
  <c r="H291" i="14"/>
  <c r="F291" i="14"/>
  <c r="AT290" i="14"/>
  <c r="AH290" i="14"/>
  <c r="V290" i="14"/>
  <c r="I290" i="14"/>
  <c r="H290" i="14"/>
  <c r="F290" i="14"/>
  <c r="AT289" i="14"/>
  <c r="AH289" i="14"/>
  <c r="V289" i="14"/>
  <c r="I289" i="14"/>
  <c r="H289" i="14"/>
  <c r="F289" i="14"/>
  <c r="AT288" i="14"/>
  <c r="AH288" i="14"/>
  <c r="V288" i="14"/>
  <c r="I288" i="14"/>
  <c r="H288" i="14"/>
  <c r="F288" i="14"/>
  <c r="AT287" i="14"/>
  <c r="AH287" i="14"/>
  <c r="V287" i="14"/>
  <c r="I287" i="14"/>
  <c r="H287" i="14"/>
  <c r="F287" i="14"/>
  <c r="AT286" i="14"/>
  <c r="AH286" i="14"/>
  <c r="V286" i="14"/>
  <c r="I286" i="14"/>
  <c r="H286" i="14"/>
  <c r="F286" i="14"/>
  <c r="AT285" i="14"/>
  <c r="AH285" i="14"/>
  <c r="V285" i="14"/>
  <c r="I285" i="14"/>
  <c r="H285" i="14"/>
  <c r="F285" i="14"/>
  <c r="AT284" i="14"/>
  <c r="AH284" i="14"/>
  <c r="V284" i="14"/>
  <c r="I284" i="14"/>
  <c r="H284" i="14"/>
  <c r="F284" i="14"/>
  <c r="AT283" i="14"/>
  <c r="AH283" i="14"/>
  <c r="V283" i="14"/>
  <c r="I283" i="14"/>
  <c r="H283" i="14"/>
  <c r="F283" i="14"/>
  <c r="AT282" i="14"/>
  <c r="AH282" i="14"/>
  <c r="V282" i="14"/>
  <c r="I282" i="14"/>
  <c r="H282" i="14"/>
  <c r="F282" i="14"/>
  <c r="G283" i="13"/>
  <c r="G282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G283" i="12"/>
  <c r="G282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BF282" i="15"/>
  <c r="BF283" i="15"/>
  <c r="BF284" i="15"/>
  <c r="S283" i="15"/>
  <c r="S282" i="15"/>
  <c r="AQ283" i="15"/>
  <c r="AQ282" i="15"/>
  <c r="BC283" i="15"/>
  <c r="BC282" i="15"/>
  <c r="CM283" i="15"/>
  <c r="CM282" i="15"/>
  <c r="CY283" i="15"/>
  <c r="CY282" i="15"/>
  <c r="DK282" i="15"/>
  <c r="DK283" i="15"/>
  <c r="DN284" i="15"/>
  <c r="DB284" i="15"/>
  <c r="CP284" i="15"/>
  <c r="BR284" i="15"/>
  <c r="AT284" i="15"/>
  <c r="V284" i="15"/>
  <c r="DN283" i="15"/>
  <c r="DB283" i="15"/>
  <c r="CP283" i="15"/>
  <c r="AT283" i="15"/>
  <c r="V283" i="15"/>
  <c r="DN282" i="15"/>
  <c r="DB282" i="15"/>
  <c r="CP282" i="15"/>
  <c r="AT282" i="15"/>
  <c r="V282" i="15"/>
  <c r="S283" i="16"/>
  <c r="S282" i="16"/>
  <c r="G282" i="1"/>
  <c r="G283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AT293" i="17"/>
  <c r="AH293" i="17"/>
  <c r="V293" i="17"/>
  <c r="I293" i="17"/>
  <c r="H293" i="17"/>
  <c r="F293" i="17"/>
  <c r="AT292" i="17"/>
  <c r="AH292" i="17"/>
  <c r="V292" i="17"/>
  <c r="I292" i="17"/>
  <c r="H292" i="17"/>
  <c r="F292" i="17"/>
  <c r="AT291" i="17"/>
  <c r="AH291" i="17"/>
  <c r="V291" i="17"/>
  <c r="I291" i="17"/>
  <c r="H291" i="17"/>
  <c r="F291" i="17"/>
  <c r="AT290" i="17"/>
  <c r="AH290" i="17"/>
  <c r="V290" i="17"/>
  <c r="I290" i="17"/>
  <c r="H290" i="17"/>
  <c r="F290" i="17"/>
  <c r="AT289" i="17"/>
  <c r="AH289" i="17"/>
  <c r="V289" i="17"/>
  <c r="I289" i="17"/>
  <c r="H289" i="17"/>
  <c r="F289" i="17"/>
  <c r="AT288" i="17"/>
  <c r="AH288" i="17"/>
  <c r="V288" i="17"/>
  <c r="I288" i="17"/>
  <c r="H288" i="17"/>
  <c r="F288" i="17"/>
  <c r="AT287" i="17"/>
  <c r="AH287" i="17"/>
  <c r="V287" i="17"/>
  <c r="I287" i="17"/>
  <c r="H287" i="17"/>
  <c r="F287" i="17"/>
  <c r="AT286" i="17"/>
  <c r="AH286" i="17"/>
  <c r="V286" i="17"/>
  <c r="I286" i="17"/>
  <c r="H286" i="17"/>
  <c r="F286" i="17"/>
  <c r="AT285" i="17"/>
  <c r="AH285" i="17"/>
  <c r="V285" i="17"/>
  <c r="I285" i="17"/>
  <c r="H285" i="17"/>
  <c r="F285" i="17"/>
  <c r="AT284" i="17"/>
  <c r="AH284" i="17"/>
  <c r="V284" i="17"/>
  <c r="I284" i="17"/>
  <c r="H284" i="17"/>
  <c r="F284" i="17"/>
  <c r="AT283" i="17"/>
  <c r="AH283" i="17"/>
  <c r="V283" i="17"/>
  <c r="I283" i="17"/>
  <c r="H283" i="17"/>
  <c r="F283" i="17"/>
  <c r="AT282" i="17"/>
  <c r="AH282" i="17"/>
  <c r="V282" i="17"/>
  <c r="I282" i="17"/>
  <c r="H282" i="17"/>
  <c r="F282" i="17"/>
  <c r="BR293" i="16"/>
  <c r="BF293" i="16"/>
  <c r="AT293" i="16"/>
  <c r="AH293" i="16"/>
  <c r="V293" i="16"/>
  <c r="E293" i="16"/>
  <c r="BR292" i="16"/>
  <c r="BF292" i="16"/>
  <c r="AT292" i="16"/>
  <c r="AH292" i="16"/>
  <c r="V292" i="16"/>
  <c r="BR291" i="16"/>
  <c r="BF291" i="16"/>
  <c r="AT291" i="16"/>
  <c r="AH291" i="16"/>
  <c r="V291" i="16"/>
  <c r="BR290" i="16"/>
  <c r="BF290" i="16"/>
  <c r="AT290" i="16"/>
  <c r="AH290" i="16"/>
  <c r="V290" i="16"/>
  <c r="BR289" i="16"/>
  <c r="BF289" i="16"/>
  <c r="AT289" i="16"/>
  <c r="AH289" i="16"/>
  <c r="V289" i="16"/>
  <c r="BR288" i="16"/>
  <c r="BF288" i="16"/>
  <c r="AT288" i="16"/>
  <c r="AH288" i="16"/>
  <c r="V288" i="16"/>
  <c r="BR287" i="16"/>
  <c r="BF287" i="16"/>
  <c r="AT287" i="16"/>
  <c r="AH287" i="16"/>
  <c r="V287" i="16"/>
  <c r="BR286" i="16"/>
  <c r="BF286" i="16"/>
  <c r="AT286" i="16"/>
  <c r="AH286" i="16"/>
  <c r="V286" i="16"/>
  <c r="BR285" i="16"/>
  <c r="BF285" i="16"/>
  <c r="AT285" i="16"/>
  <c r="AH285" i="16"/>
  <c r="V285" i="16"/>
  <c r="E285" i="16"/>
  <c r="BR284" i="16"/>
  <c r="BF284" i="16"/>
  <c r="AT284" i="16"/>
  <c r="AH284" i="16"/>
  <c r="V284" i="16"/>
  <c r="BR283" i="16"/>
  <c r="BF283" i="16"/>
  <c r="AT283" i="16"/>
  <c r="AH283" i="16"/>
  <c r="V283" i="16"/>
  <c r="BR282" i="16"/>
  <c r="BF282" i="16"/>
  <c r="AT282" i="16"/>
  <c r="AH282" i="16"/>
  <c r="V282" i="16"/>
  <c r="J282" i="17" l="1"/>
  <c r="E282" i="17"/>
  <c r="H282" i="87"/>
  <c r="J284" i="17"/>
  <c r="E284" i="17"/>
  <c r="H284" i="87"/>
  <c r="J286" i="17"/>
  <c r="E286" i="17"/>
  <c r="H286" i="87"/>
  <c r="J288" i="17"/>
  <c r="E288" i="17"/>
  <c r="H288" i="87"/>
  <c r="J290" i="17"/>
  <c r="E290" i="17"/>
  <c r="H290" i="87"/>
  <c r="J292" i="17"/>
  <c r="E292" i="17"/>
  <c r="H292" i="87"/>
  <c r="D282" i="17"/>
  <c r="C282" i="17"/>
  <c r="I282" i="87"/>
  <c r="G283" i="17"/>
  <c r="F283" i="87"/>
  <c r="C284" i="17"/>
  <c r="D284" i="17"/>
  <c r="I284" i="87"/>
  <c r="G285" i="17"/>
  <c r="F285" i="87"/>
  <c r="D286" i="17"/>
  <c r="C286" i="17"/>
  <c r="I286" i="87"/>
  <c r="G287" i="17"/>
  <c r="F287" i="87"/>
  <c r="C288" i="17"/>
  <c r="D288" i="17"/>
  <c r="I288" i="87"/>
  <c r="G289" i="17"/>
  <c r="F289" i="87"/>
  <c r="D290" i="17"/>
  <c r="C290" i="17"/>
  <c r="I290" i="87"/>
  <c r="G291" i="17"/>
  <c r="F291" i="87"/>
  <c r="C292" i="17"/>
  <c r="D292" i="17"/>
  <c r="I292" i="87"/>
  <c r="G293" i="17"/>
  <c r="F293" i="87"/>
  <c r="J283" i="17"/>
  <c r="E283" i="17"/>
  <c r="H283" i="87"/>
  <c r="J285" i="17"/>
  <c r="E285" i="17"/>
  <c r="H285" i="87"/>
  <c r="J287" i="17"/>
  <c r="E287" i="17"/>
  <c r="H287" i="87"/>
  <c r="J289" i="17"/>
  <c r="E289" i="17"/>
  <c r="H289" i="87"/>
  <c r="J291" i="17"/>
  <c r="E291" i="17"/>
  <c r="H291" i="87"/>
  <c r="J293" i="17"/>
  <c r="E293" i="17"/>
  <c r="H293" i="87"/>
  <c r="G282" i="17"/>
  <c r="F282" i="87"/>
  <c r="D283" i="17"/>
  <c r="C283" i="17"/>
  <c r="I283" i="87"/>
  <c r="G284" i="17"/>
  <c r="F284" i="87"/>
  <c r="D285" i="17"/>
  <c r="C285" i="17"/>
  <c r="I285" i="87"/>
  <c r="G286" i="17"/>
  <c r="F286" i="87"/>
  <c r="D287" i="17"/>
  <c r="C287" i="17"/>
  <c r="I287" i="87"/>
  <c r="G288" i="17"/>
  <c r="F288" i="87"/>
  <c r="D289" i="17"/>
  <c r="C289" i="17"/>
  <c r="I289" i="87"/>
  <c r="G290" i="17"/>
  <c r="F290" i="87"/>
  <c r="D291" i="17"/>
  <c r="C291" i="17"/>
  <c r="I291" i="87"/>
  <c r="G292" i="17"/>
  <c r="F292" i="87"/>
  <c r="D293" i="17"/>
  <c r="C293" i="17"/>
  <c r="I293" i="87"/>
  <c r="C284" i="14"/>
  <c r="D284" i="14"/>
  <c r="D288" i="14"/>
  <c r="C288" i="14"/>
  <c r="E283" i="14"/>
  <c r="E289" i="14"/>
  <c r="D283" i="14"/>
  <c r="C283" i="14"/>
  <c r="C285" i="14"/>
  <c r="D285" i="14"/>
  <c r="D287" i="14"/>
  <c r="C287" i="14"/>
  <c r="C289" i="14"/>
  <c r="D289" i="14"/>
  <c r="C291" i="14"/>
  <c r="D291" i="14"/>
  <c r="C293" i="14"/>
  <c r="D293" i="14"/>
  <c r="D282" i="14"/>
  <c r="C282" i="14"/>
  <c r="D286" i="14"/>
  <c r="C286" i="14"/>
  <c r="D290" i="14"/>
  <c r="C290" i="14"/>
  <c r="D292" i="14"/>
  <c r="C292" i="14"/>
  <c r="E285" i="14"/>
  <c r="E287" i="14"/>
  <c r="E291" i="14"/>
  <c r="E293" i="14"/>
  <c r="E282" i="14"/>
  <c r="E284" i="14"/>
  <c r="E286" i="14"/>
  <c r="E288" i="14"/>
  <c r="E290" i="14"/>
  <c r="E292" i="14"/>
  <c r="E289" i="16"/>
  <c r="D285" i="16"/>
  <c r="C285" i="16"/>
  <c r="E288" i="16"/>
  <c r="E283" i="16"/>
  <c r="D284" i="16"/>
  <c r="C284" i="16"/>
  <c r="E287" i="16"/>
  <c r="D288" i="16"/>
  <c r="C288" i="16"/>
  <c r="E291" i="16"/>
  <c r="D292" i="16"/>
  <c r="C292" i="16"/>
  <c r="C282" i="16"/>
  <c r="D282" i="16"/>
  <c r="C286" i="16"/>
  <c r="D286" i="16"/>
  <c r="C290" i="16"/>
  <c r="D290" i="16"/>
  <c r="E284" i="16"/>
  <c r="D289" i="16"/>
  <c r="C289" i="16"/>
  <c r="E292" i="16"/>
  <c r="D293" i="16"/>
  <c r="C293" i="16"/>
  <c r="E282" i="16"/>
  <c r="D283" i="16"/>
  <c r="C283" i="16"/>
  <c r="E286" i="16"/>
  <c r="D287" i="16"/>
  <c r="C287" i="16"/>
  <c r="E290" i="16"/>
  <c r="D291" i="16"/>
  <c r="C291" i="16"/>
  <c r="G283" i="14"/>
  <c r="G292" i="14"/>
  <c r="G293" i="14"/>
  <c r="G284" i="14"/>
  <c r="G286" i="14"/>
  <c r="G290" i="14"/>
  <c r="G288" i="14"/>
  <c r="G282" i="14"/>
  <c r="J284" i="14"/>
  <c r="J286" i="14"/>
  <c r="J292" i="14"/>
  <c r="G285" i="14"/>
  <c r="G287" i="14"/>
  <c r="J288" i="14"/>
  <c r="G289" i="14"/>
  <c r="J290" i="14"/>
  <c r="G291" i="14"/>
  <c r="J283" i="14"/>
  <c r="J285" i="14"/>
  <c r="J287" i="14"/>
  <c r="J289" i="14"/>
  <c r="J291" i="14"/>
  <c r="J293" i="14"/>
  <c r="J282" i="14"/>
  <c r="G290" i="87" l="1"/>
  <c r="G284" i="87"/>
  <c r="G286" i="87"/>
  <c r="G292" i="87"/>
  <c r="G288" i="87"/>
  <c r="D293" i="87"/>
  <c r="C293" i="87"/>
  <c r="C285" i="87"/>
  <c r="D285" i="87"/>
  <c r="E289" i="87"/>
  <c r="J289" i="87"/>
  <c r="G293" i="87"/>
  <c r="C288" i="87"/>
  <c r="D288" i="87"/>
  <c r="G285" i="87"/>
  <c r="E288" i="87"/>
  <c r="J288" i="87"/>
  <c r="D291" i="87"/>
  <c r="C291" i="87"/>
  <c r="C283" i="87"/>
  <c r="D283" i="87"/>
  <c r="E291" i="87"/>
  <c r="J291" i="87"/>
  <c r="J283" i="87"/>
  <c r="E283" i="87"/>
  <c r="G291" i="87"/>
  <c r="C286" i="87"/>
  <c r="D286" i="87"/>
  <c r="G283" i="87"/>
  <c r="E290" i="87"/>
  <c r="J290" i="87"/>
  <c r="G282" i="87"/>
  <c r="J282" i="87"/>
  <c r="E282" i="87"/>
  <c r="D289" i="87"/>
  <c r="C289" i="87"/>
  <c r="J293" i="87"/>
  <c r="E293" i="87"/>
  <c r="J285" i="87"/>
  <c r="E285" i="87"/>
  <c r="D292" i="87"/>
  <c r="C292" i="87"/>
  <c r="G289" i="87"/>
  <c r="C284" i="87"/>
  <c r="D284" i="87"/>
  <c r="E292" i="87"/>
  <c r="J292" i="87"/>
  <c r="E284" i="87"/>
  <c r="J284" i="87"/>
  <c r="D287" i="87"/>
  <c r="C287" i="87"/>
  <c r="J287" i="87"/>
  <c r="E287" i="87"/>
  <c r="C290" i="87"/>
  <c r="D290" i="87"/>
  <c r="G287" i="87"/>
  <c r="C282" i="87"/>
  <c r="D282" i="87"/>
  <c r="J286" i="87"/>
  <c r="E286" i="87"/>
  <c r="I161" i="17"/>
  <c r="H161" i="17"/>
  <c r="F161" i="17"/>
  <c r="I160" i="17"/>
  <c r="H160" i="17"/>
  <c r="F160" i="17"/>
  <c r="I159" i="17"/>
  <c r="H159" i="17"/>
  <c r="F159" i="17"/>
  <c r="I158" i="17"/>
  <c r="H158" i="17"/>
  <c r="F158" i="17"/>
  <c r="I157" i="17"/>
  <c r="H157" i="17"/>
  <c r="F157" i="17"/>
  <c r="I156" i="17"/>
  <c r="H156" i="17"/>
  <c r="F156" i="17"/>
  <c r="I155" i="17"/>
  <c r="H155" i="17"/>
  <c r="F155" i="17"/>
  <c r="I154" i="17"/>
  <c r="H154" i="17"/>
  <c r="F154" i="17"/>
  <c r="I153" i="17"/>
  <c r="H153" i="17"/>
  <c r="F153" i="17"/>
  <c r="I152" i="17"/>
  <c r="H152" i="17"/>
  <c r="F152" i="17"/>
  <c r="I151" i="17"/>
  <c r="H151" i="17"/>
  <c r="F151" i="17"/>
  <c r="I150" i="17"/>
  <c r="H150" i="17"/>
  <c r="F150" i="17"/>
  <c r="E154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I173" i="17"/>
  <c r="H173" i="17"/>
  <c r="F173" i="17"/>
  <c r="I172" i="17"/>
  <c r="H172" i="17"/>
  <c r="F172" i="17"/>
  <c r="I171" i="17"/>
  <c r="H171" i="17"/>
  <c r="F171" i="17"/>
  <c r="I170" i="17"/>
  <c r="H170" i="17"/>
  <c r="F170" i="17"/>
  <c r="I169" i="17"/>
  <c r="H169" i="17"/>
  <c r="F169" i="17"/>
  <c r="I168" i="17"/>
  <c r="H168" i="17"/>
  <c r="F168" i="17"/>
  <c r="I167" i="17"/>
  <c r="H167" i="17"/>
  <c r="F167" i="17"/>
  <c r="I166" i="17"/>
  <c r="H166" i="17"/>
  <c r="F166" i="17"/>
  <c r="I165" i="17"/>
  <c r="H165" i="17"/>
  <c r="F165" i="17"/>
  <c r="I164" i="17"/>
  <c r="H164" i="17"/>
  <c r="F164" i="17"/>
  <c r="I163" i="17"/>
  <c r="H163" i="17"/>
  <c r="F163" i="17"/>
  <c r="I162" i="17"/>
  <c r="H162" i="17"/>
  <c r="F162" i="17"/>
  <c r="E170" i="16"/>
  <c r="E166" i="16"/>
  <c r="BO173" i="16"/>
  <c r="BO172" i="16"/>
  <c r="BO171" i="16"/>
  <c r="BO170" i="16"/>
  <c r="BO169" i="16"/>
  <c r="BO168" i="16"/>
  <c r="BO167" i="16"/>
  <c r="BO166" i="16"/>
  <c r="BO165" i="16"/>
  <c r="BO164" i="16"/>
  <c r="BO163" i="16"/>
  <c r="BO162" i="16"/>
  <c r="BC173" i="16"/>
  <c r="BC172" i="16"/>
  <c r="BC171" i="16"/>
  <c r="BC170" i="16"/>
  <c r="BC169" i="16"/>
  <c r="BC168" i="16"/>
  <c r="BC167" i="16"/>
  <c r="BC166" i="16"/>
  <c r="BC165" i="16"/>
  <c r="BC164" i="16"/>
  <c r="BC163" i="16"/>
  <c r="BC162" i="16"/>
  <c r="AQ173" i="16"/>
  <c r="AQ172" i="16"/>
  <c r="AQ171" i="16"/>
  <c r="AQ170" i="16"/>
  <c r="AQ169" i="16"/>
  <c r="AQ168" i="16"/>
  <c r="AQ167" i="16"/>
  <c r="AQ166" i="16"/>
  <c r="AQ165" i="16"/>
  <c r="AQ164" i="16"/>
  <c r="AQ163" i="16"/>
  <c r="AQ162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2" i="16"/>
  <c r="S173" i="16"/>
  <c r="S172" i="16"/>
  <c r="S171" i="16"/>
  <c r="S170" i="16"/>
  <c r="S169" i="16"/>
  <c r="S168" i="16"/>
  <c r="S167" i="16"/>
  <c r="S166" i="16"/>
  <c r="S165" i="16"/>
  <c r="S164" i="16"/>
  <c r="S163" i="16"/>
  <c r="S162" i="16"/>
  <c r="AQ173" i="17"/>
  <c r="AQ172" i="17"/>
  <c r="AQ171" i="17"/>
  <c r="AQ170" i="17"/>
  <c r="AQ169" i="17"/>
  <c r="AQ168" i="17"/>
  <c r="AQ167" i="17"/>
  <c r="AQ166" i="17"/>
  <c r="AQ165" i="17"/>
  <c r="AQ164" i="17"/>
  <c r="AQ163" i="17"/>
  <c r="AQ162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2" i="17"/>
  <c r="S173" i="17"/>
  <c r="S172" i="17"/>
  <c r="S171" i="17"/>
  <c r="S170" i="17"/>
  <c r="S169" i="17"/>
  <c r="S168" i="17"/>
  <c r="S167" i="17"/>
  <c r="S166" i="17"/>
  <c r="S165" i="17"/>
  <c r="S164" i="17"/>
  <c r="S163" i="17"/>
  <c r="S162" i="17"/>
  <c r="G162" i="17" l="1"/>
  <c r="F162" i="87"/>
  <c r="J163" i="17"/>
  <c r="E163" i="17"/>
  <c r="H163" i="87"/>
  <c r="D164" i="17"/>
  <c r="C164" i="17"/>
  <c r="I164" i="87"/>
  <c r="G166" i="17"/>
  <c r="F166" i="87"/>
  <c r="J167" i="17"/>
  <c r="E167" i="17"/>
  <c r="H167" i="87"/>
  <c r="D168" i="17"/>
  <c r="C168" i="17"/>
  <c r="I168" i="87"/>
  <c r="G170" i="17"/>
  <c r="F170" i="87"/>
  <c r="J171" i="17"/>
  <c r="E171" i="17"/>
  <c r="H171" i="87"/>
  <c r="D172" i="17"/>
  <c r="C172" i="17"/>
  <c r="I172" i="87"/>
  <c r="G151" i="17"/>
  <c r="F151" i="87"/>
  <c r="J152" i="17"/>
  <c r="E152" i="17"/>
  <c r="H152" i="87"/>
  <c r="D153" i="17"/>
  <c r="C153" i="17"/>
  <c r="I153" i="87"/>
  <c r="G155" i="17"/>
  <c r="F155" i="87"/>
  <c r="J156" i="17"/>
  <c r="E156" i="17"/>
  <c r="H156" i="87"/>
  <c r="D157" i="17"/>
  <c r="C157" i="17"/>
  <c r="I157" i="87"/>
  <c r="G159" i="17"/>
  <c r="F159" i="87"/>
  <c r="J160" i="17"/>
  <c r="E160" i="17"/>
  <c r="H160" i="87"/>
  <c r="D161" i="17"/>
  <c r="C161" i="17"/>
  <c r="I161" i="87"/>
  <c r="J162" i="17"/>
  <c r="E162" i="17"/>
  <c r="H162" i="87"/>
  <c r="C163" i="17"/>
  <c r="D163" i="17"/>
  <c r="I163" i="87"/>
  <c r="G165" i="17"/>
  <c r="F165" i="87"/>
  <c r="J166" i="17"/>
  <c r="E166" i="17"/>
  <c r="H166" i="87"/>
  <c r="C167" i="17"/>
  <c r="D167" i="17"/>
  <c r="I167" i="87"/>
  <c r="G169" i="17"/>
  <c r="F169" i="87"/>
  <c r="J170" i="17"/>
  <c r="E170" i="17"/>
  <c r="H170" i="87"/>
  <c r="C171" i="17"/>
  <c r="D171" i="17"/>
  <c r="I171" i="87"/>
  <c r="G173" i="17"/>
  <c r="F173" i="87"/>
  <c r="G150" i="17"/>
  <c r="F150" i="87"/>
  <c r="J151" i="17"/>
  <c r="E151" i="17"/>
  <c r="H151" i="87"/>
  <c r="D152" i="17"/>
  <c r="C152" i="17"/>
  <c r="I152" i="87"/>
  <c r="G154" i="17"/>
  <c r="F154" i="87"/>
  <c r="J155" i="17"/>
  <c r="E155" i="17"/>
  <c r="H155" i="87"/>
  <c r="D156" i="17"/>
  <c r="C156" i="17"/>
  <c r="I156" i="87"/>
  <c r="G158" i="17"/>
  <c r="F158" i="87"/>
  <c r="J159" i="17"/>
  <c r="E159" i="17"/>
  <c r="H159" i="87"/>
  <c r="D160" i="17"/>
  <c r="C160" i="17"/>
  <c r="I160" i="87"/>
  <c r="D162" i="17"/>
  <c r="C162" i="17"/>
  <c r="I162" i="87"/>
  <c r="G164" i="17"/>
  <c r="F164" i="87"/>
  <c r="J165" i="17"/>
  <c r="E165" i="17"/>
  <c r="H165" i="87"/>
  <c r="D166" i="17"/>
  <c r="C166" i="17"/>
  <c r="I166" i="87"/>
  <c r="G168" i="17"/>
  <c r="F168" i="87"/>
  <c r="J169" i="17"/>
  <c r="E169" i="17"/>
  <c r="H169" i="87"/>
  <c r="D170" i="17"/>
  <c r="C170" i="17"/>
  <c r="I170" i="87"/>
  <c r="G172" i="17"/>
  <c r="F172" i="87"/>
  <c r="J173" i="17"/>
  <c r="E173" i="17"/>
  <c r="H173" i="87"/>
  <c r="J150" i="17"/>
  <c r="E150" i="17"/>
  <c r="H150" i="87"/>
  <c r="C151" i="17"/>
  <c r="D151" i="17"/>
  <c r="I151" i="87"/>
  <c r="G153" i="17"/>
  <c r="F153" i="87"/>
  <c r="J154" i="17"/>
  <c r="E154" i="17"/>
  <c r="H154" i="87"/>
  <c r="C155" i="17"/>
  <c r="D155" i="17"/>
  <c r="I155" i="87"/>
  <c r="G157" i="17"/>
  <c r="F157" i="87"/>
  <c r="J158" i="17"/>
  <c r="E158" i="17"/>
  <c r="H158" i="87"/>
  <c r="C159" i="17"/>
  <c r="D159" i="17"/>
  <c r="I159" i="87"/>
  <c r="G161" i="17"/>
  <c r="F161" i="87"/>
  <c r="G163" i="17"/>
  <c r="F163" i="87"/>
  <c r="G163" i="87" s="1"/>
  <c r="J164" i="17"/>
  <c r="E164" i="17"/>
  <c r="H164" i="87"/>
  <c r="D165" i="17"/>
  <c r="C165" i="17"/>
  <c r="I165" i="87"/>
  <c r="G167" i="17"/>
  <c r="F167" i="87"/>
  <c r="G167" i="87" s="1"/>
  <c r="J168" i="17"/>
  <c r="E168" i="17"/>
  <c r="H168" i="87"/>
  <c r="D169" i="17"/>
  <c r="C169" i="17"/>
  <c r="I169" i="87"/>
  <c r="G171" i="17"/>
  <c r="F171" i="87"/>
  <c r="G171" i="87" s="1"/>
  <c r="J172" i="17"/>
  <c r="E172" i="17"/>
  <c r="H172" i="87"/>
  <c r="D173" i="17"/>
  <c r="C173" i="17"/>
  <c r="I173" i="87"/>
  <c r="D150" i="17"/>
  <c r="C150" i="17"/>
  <c r="I150" i="87"/>
  <c r="G152" i="17"/>
  <c r="F152" i="87"/>
  <c r="J153" i="17"/>
  <c r="E153" i="17"/>
  <c r="H153" i="87"/>
  <c r="D154" i="17"/>
  <c r="C154" i="17"/>
  <c r="I154" i="87"/>
  <c r="G156" i="17"/>
  <c r="F156" i="87"/>
  <c r="G156" i="87" s="1"/>
  <c r="J157" i="17"/>
  <c r="E157" i="17"/>
  <c r="H157" i="87"/>
  <c r="D158" i="17"/>
  <c r="C158" i="17"/>
  <c r="I158" i="87"/>
  <c r="G160" i="17"/>
  <c r="F160" i="87"/>
  <c r="J161" i="17"/>
  <c r="E161" i="17"/>
  <c r="H161" i="87"/>
  <c r="D163" i="16"/>
  <c r="C163" i="16"/>
  <c r="C167" i="16"/>
  <c r="D167" i="16"/>
  <c r="C171" i="16"/>
  <c r="D171" i="16"/>
  <c r="C151" i="16"/>
  <c r="D151" i="16"/>
  <c r="D155" i="16"/>
  <c r="C155" i="16"/>
  <c r="E158" i="16"/>
  <c r="C159" i="16"/>
  <c r="D159" i="16"/>
  <c r="D162" i="16"/>
  <c r="C162" i="16"/>
  <c r="E165" i="16"/>
  <c r="D166" i="16"/>
  <c r="C166" i="16"/>
  <c r="E169" i="16"/>
  <c r="C158" i="16"/>
  <c r="D158" i="16"/>
  <c r="E161" i="16"/>
  <c r="E164" i="16"/>
  <c r="D165" i="16"/>
  <c r="C165" i="16"/>
  <c r="E168" i="16"/>
  <c r="D169" i="16"/>
  <c r="C169" i="16"/>
  <c r="E172" i="16"/>
  <c r="D173" i="16"/>
  <c r="C173" i="16"/>
  <c r="E152" i="16"/>
  <c r="D153" i="16"/>
  <c r="C153" i="16"/>
  <c r="E156" i="16"/>
  <c r="D157" i="16"/>
  <c r="C157" i="16"/>
  <c r="E160" i="16"/>
  <c r="D161" i="16"/>
  <c r="C161" i="16"/>
  <c r="E162" i="16"/>
  <c r="E150" i="16"/>
  <c r="D170" i="16"/>
  <c r="C170" i="16"/>
  <c r="E173" i="16"/>
  <c r="D150" i="16"/>
  <c r="C150" i="16"/>
  <c r="E153" i="16"/>
  <c r="D154" i="16"/>
  <c r="C154" i="16"/>
  <c r="E157" i="16"/>
  <c r="E163" i="16"/>
  <c r="C164" i="16"/>
  <c r="D164" i="16"/>
  <c r="E167" i="16"/>
  <c r="D168" i="16"/>
  <c r="C168" i="16"/>
  <c r="E171" i="16"/>
  <c r="D172" i="16"/>
  <c r="C172" i="16"/>
  <c r="E151" i="16"/>
  <c r="C152" i="16"/>
  <c r="D152" i="16"/>
  <c r="E155" i="16"/>
  <c r="C156" i="16"/>
  <c r="D156" i="16"/>
  <c r="E159" i="16"/>
  <c r="C160" i="16"/>
  <c r="D160" i="16"/>
  <c r="I185" i="17"/>
  <c r="H185" i="17"/>
  <c r="F185" i="17"/>
  <c r="I184" i="17"/>
  <c r="H184" i="17"/>
  <c r="F184" i="17"/>
  <c r="I183" i="17"/>
  <c r="H183" i="17"/>
  <c r="F183" i="17"/>
  <c r="I182" i="17"/>
  <c r="H182" i="17"/>
  <c r="F182" i="17"/>
  <c r="I181" i="17"/>
  <c r="H181" i="17"/>
  <c r="F181" i="17"/>
  <c r="I180" i="17"/>
  <c r="H180" i="17"/>
  <c r="F180" i="17"/>
  <c r="I179" i="17"/>
  <c r="H179" i="17"/>
  <c r="F179" i="17"/>
  <c r="I178" i="17"/>
  <c r="H178" i="17"/>
  <c r="F178" i="17"/>
  <c r="I177" i="17"/>
  <c r="H177" i="17"/>
  <c r="F177" i="17"/>
  <c r="I176" i="17"/>
  <c r="H176" i="17"/>
  <c r="F176" i="17"/>
  <c r="I175" i="17"/>
  <c r="H175" i="17"/>
  <c r="F175" i="17"/>
  <c r="I174" i="17"/>
  <c r="H174" i="17"/>
  <c r="F174" i="17"/>
  <c r="E185" i="16"/>
  <c r="E182" i="16"/>
  <c r="E181" i="16"/>
  <c r="E178" i="16"/>
  <c r="E177" i="16"/>
  <c r="E174" i="16"/>
  <c r="BO185" i="16"/>
  <c r="BO184" i="16"/>
  <c r="BO183" i="16"/>
  <c r="BO182" i="16"/>
  <c r="BO181" i="16"/>
  <c r="BO180" i="16"/>
  <c r="BO179" i="16"/>
  <c r="BO178" i="16"/>
  <c r="BO177" i="16"/>
  <c r="BO176" i="16"/>
  <c r="BO175" i="16"/>
  <c r="BO174" i="16"/>
  <c r="BC185" i="16"/>
  <c r="BC184" i="16"/>
  <c r="BC183" i="16"/>
  <c r="BC182" i="16"/>
  <c r="BC181" i="16"/>
  <c r="BC180" i="16"/>
  <c r="BC179" i="16"/>
  <c r="BC178" i="16"/>
  <c r="BC177" i="16"/>
  <c r="BC176" i="16"/>
  <c r="BC175" i="16"/>
  <c r="BC174" i="16"/>
  <c r="AQ185" i="16"/>
  <c r="AQ184" i="16"/>
  <c r="AQ183" i="16"/>
  <c r="AQ182" i="16"/>
  <c r="AQ181" i="16"/>
  <c r="AQ180" i="16"/>
  <c r="AQ179" i="16"/>
  <c r="AQ178" i="16"/>
  <c r="AQ177" i="16"/>
  <c r="AQ176" i="16"/>
  <c r="AQ175" i="16"/>
  <c r="AQ174" i="16"/>
  <c r="AE185" i="16"/>
  <c r="AE184" i="16"/>
  <c r="AE183" i="16"/>
  <c r="AE182" i="16"/>
  <c r="AE181" i="16"/>
  <c r="AE180" i="16"/>
  <c r="AE179" i="16"/>
  <c r="AE178" i="16"/>
  <c r="AE177" i="16"/>
  <c r="AE176" i="16"/>
  <c r="AE175" i="16"/>
  <c r="AE174" i="16"/>
  <c r="S185" i="16"/>
  <c r="S184" i="16"/>
  <c r="S183" i="16"/>
  <c r="S182" i="16"/>
  <c r="S181" i="16"/>
  <c r="S180" i="16"/>
  <c r="S179" i="16"/>
  <c r="S178" i="16"/>
  <c r="S177" i="16"/>
  <c r="S176" i="16"/>
  <c r="S175" i="16"/>
  <c r="S174" i="16"/>
  <c r="AQ185" i="17"/>
  <c r="AQ184" i="17"/>
  <c r="AQ183" i="17"/>
  <c r="AQ182" i="17"/>
  <c r="AQ181" i="17"/>
  <c r="AQ180" i="17"/>
  <c r="AQ179" i="17"/>
  <c r="AQ178" i="17"/>
  <c r="AQ177" i="17"/>
  <c r="AQ176" i="17"/>
  <c r="AQ175" i="17"/>
  <c r="AQ174" i="17"/>
  <c r="AE185" i="17"/>
  <c r="AE184" i="17"/>
  <c r="AE183" i="17"/>
  <c r="AE182" i="17"/>
  <c r="AE181" i="17"/>
  <c r="AE180" i="17"/>
  <c r="AE179" i="17"/>
  <c r="AE178" i="17"/>
  <c r="AE177" i="17"/>
  <c r="AE176" i="17"/>
  <c r="AE175" i="17"/>
  <c r="AE174" i="17"/>
  <c r="S185" i="17"/>
  <c r="S184" i="17"/>
  <c r="S183" i="17"/>
  <c r="S182" i="17"/>
  <c r="S181" i="17"/>
  <c r="S180" i="17"/>
  <c r="S179" i="17"/>
  <c r="S178" i="17"/>
  <c r="S177" i="17"/>
  <c r="S176" i="17"/>
  <c r="S175" i="17"/>
  <c r="S174" i="17"/>
  <c r="I197" i="17"/>
  <c r="H197" i="17"/>
  <c r="F197" i="17"/>
  <c r="I196" i="17"/>
  <c r="H196" i="17"/>
  <c r="F196" i="17"/>
  <c r="I195" i="17"/>
  <c r="H195" i="17"/>
  <c r="F195" i="17"/>
  <c r="I194" i="17"/>
  <c r="H194" i="17"/>
  <c r="F194" i="17"/>
  <c r="I193" i="17"/>
  <c r="H193" i="17"/>
  <c r="F193" i="17"/>
  <c r="I192" i="17"/>
  <c r="H192" i="17"/>
  <c r="F192" i="17"/>
  <c r="I191" i="17"/>
  <c r="H191" i="17"/>
  <c r="F191" i="17"/>
  <c r="I190" i="17"/>
  <c r="H190" i="17"/>
  <c r="F190" i="17"/>
  <c r="I189" i="17"/>
  <c r="H189" i="17"/>
  <c r="F189" i="17"/>
  <c r="I188" i="17"/>
  <c r="H188" i="17"/>
  <c r="F188" i="17"/>
  <c r="I187" i="17"/>
  <c r="H187" i="17"/>
  <c r="F187" i="17"/>
  <c r="I186" i="17"/>
  <c r="H186" i="17"/>
  <c r="F186" i="17"/>
  <c r="E197" i="16"/>
  <c r="E194" i="16"/>
  <c r="E193" i="16"/>
  <c r="E190" i="16"/>
  <c r="E189" i="16"/>
  <c r="E186" i="16"/>
  <c r="BO197" i="16"/>
  <c r="BO196" i="16"/>
  <c r="BO195" i="16"/>
  <c r="BO194" i="16"/>
  <c r="BO193" i="16"/>
  <c r="BO192" i="16"/>
  <c r="BO191" i="16"/>
  <c r="BO190" i="16"/>
  <c r="BO189" i="16"/>
  <c r="BO188" i="16"/>
  <c r="BO187" i="16"/>
  <c r="BO186" i="16"/>
  <c r="BC197" i="16"/>
  <c r="BC196" i="16"/>
  <c r="BC195" i="16"/>
  <c r="BC194" i="16"/>
  <c r="BC193" i="16"/>
  <c r="BC192" i="16"/>
  <c r="BC191" i="16"/>
  <c r="BC190" i="16"/>
  <c r="BC189" i="16"/>
  <c r="BC188" i="16"/>
  <c r="BC187" i="16"/>
  <c r="BC186" i="16"/>
  <c r="AQ197" i="16"/>
  <c r="AQ196" i="16"/>
  <c r="AQ195" i="16"/>
  <c r="AQ194" i="16"/>
  <c r="AQ193" i="16"/>
  <c r="AQ192" i="16"/>
  <c r="AQ191" i="16"/>
  <c r="AQ190" i="16"/>
  <c r="AQ189" i="16"/>
  <c r="AQ188" i="16"/>
  <c r="AQ187" i="16"/>
  <c r="AQ186" i="16"/>
  <c r="AE197" i="16"/>
  <c r="AE196" i="16"/>
  <c r="AE195" i="16"/>
  <c r="AE194" i="16"/>
  <c r="AE193" i="16"/>
  <c r="AE192" i="16"/>
  <c r="AE191" i="16"/>
  <c r="AE190" i="16"/>
  <c r="AE189" i="16"/>
  <c r="AE188" i="16"/>
  <c r="AE187" i="16"/>
  <c r="AE186" i="16"/>
  <c r="S197" i="16"/>
  <c r="S196" i="16"/>
  <c r="S195" i="16"/>
  <c r="S194" i="16"/>
  <c r="S193" i="16"/>
  <c r="S192" i="16"/>
  <c r="S191" i="16"/>
  <c r="S190" i="16"/>
  <c r="S189" i="16"/>
  <c r="S188" i="16"/>
  <c r="S187" i="16"/>
  <c r="S186" i="16"/>
  <c r="S197" i="17"/>
  <c r="S196" i="17"/>
  <c r="S195" i="17"/>
  <c r="S194" i="17"/>
  <c r="S193" i="17"/>
  <c r="S192" i="17"/>
  <c r="S191" i="17"/>
  <c r="S190" i="17"/>
  <c r="S189" i="17"/>
  <c r="S188" i="17"/>
  <c r="S187" i="17"/>
  <c r="S186" i="17"/>
  <c r="AE197" i="17"/>
  <c r="AE196" i="17"/>
  <c r="AE195" i="17"/>
  <c r="AE194" i="17"/>
  <c r="AE193" i="17"/>
  <c r="AE192" i="17"/>
  <c r="AE191" i="17"/>
  <c r="AE190" i="17"/>
  <c r="AE189" i="17"/>
  <c r="AE188" i="17"/>
  <c r="AE187" i="17"/>
  <c r="AE186" i="17"/>
  <c r="AQ197" i="17"/>
  <c r="AQ196" i="17"/>
  <c r="AQ195" i="17"/>
  <c r="AQ194" i="17"/>
  <c r="AQ193" i="17"/>
  <c r="AQ192" i="17"/>
  <c r="AQ191" i="17"/>
  <c r="AQ190" i="17"/>
  <c r="AQ189" i="17"/>
  <c r="AQ188" i="17"/>
  <c r="AQ187" i="17"/>
  <c r="AQ186" i="17"/>
  <c r="I209" i="17"/>
  <c r="H209" i="17"/>
  <c r="F209" i="17"/>
  <c r="I208" i="17"/>
  <c r="H208" i="17"/>
  <c r="F208" i="17"/>
  <c r="I207" i="17"/>
  <c r="H207" i="17"/>
  <c r="F207" i="17"/>
  <c r="I206" i="17"/>
  <c r="H206" i="17"/>
  <c r="F206" i="17"/>
  <c r="I205" i="17"/>
  <c r="H205" i="17"/>
  <c r="F205" i="17"/>
  <c r="I204" i="17"/>
  <c r="H204" i="17"/>
  <c r="F204" i="17"/>
  <c r="I203" i="17"/>
  <c r="H203" i="17"/>
  <c r="F203" i="17"/>
  <c r="I202" i="17"/>
  <c r="H202" i="17"/>
  <c r="F202" i="17"/>
  <c r="I201" i="17"/>
  <c r="H201" i="17"/>
  <c r="F201" i="17"/>
  <c r="I200" i="17"/>
  <c r="H200" i="17"/>
  <c r="F200" i="17"/>
  <c r="I199" i="17"/>
  <c r="H199" i="17"/>
  <c r="F199" i="17"/>
  <c r="I198" i="17"/>
  <c r="H198" i="17"/>
  <c r="F198" i="17"/>
  <c r="E209" i="16"/>
  <c r="E206" i="16"/>
  <c r="E205" i="16"/>
  <c r="E202" i="16"/>
  <c r="E201" i="16"/>
  <c r="E198" i="16"/>
  <c r="BO209" i="16"/>
  <c r="BO208" i="16"/>
  <c r="BO207" i="16"/>
  <c r="BO206" i="16"/>
  <c r="BO205" i="16"/>
  <c r="BO204" i="16"/>
  <c r="BO203" i="16"/>
  <c r="BO202" i="16"/>
  <c r="BO201" i="16"/>
  <c r="BO200" i="16"/>
  <c r="BO199" i="16"/>
  <c r="BO198" i="16"/>
  <c r="BC209" i="16"/>
  <c r="BC208" i="16"/>
  <c r="BC207" i="16"/>
  <c r="BC206" i="16"/>
  <c r="BC205" i="16"/>
  <c r="BC204" i="16"/>
  <c r="BC203" i="16"/>
  <c r="BC202" i="16"/>
  <c r="BC201" i="16"/>
  <c r="BC200" i="16"/>
  <c r="BC199" i="16"/>
  <c r="BC198" i="16"/>
  <c r="AQ209" i="16"/>
  <c r="AQ208" i="16"/>
  <c r="AQ207" i="16"/>
  <c r="AQ206" i="16"/>
  <c r="AQ205" i="16"/>
  <c r="AQ204" i="16"/>
  <c r="AQ203" i="16"/>
  <c r="AQ202" i="16"/>
  <c r="AQ201" i="16"/>
  <c r="AQ200" i="16"/>
  <c r="AQ199" i="16"/>
  <c r="AQ198" i="16"/>
  <c r="AE209" i="16"/>
  <c r="AE208" i="16"/>
  <c r="AE207" i="16"/>
  <c r="AE206" i="16"/>
  <c r="AE205" i="16"/>
  <c r="AE204" i="16"/>
  <c r="AE203" i="16"/>
  <c r="AE202" i="16"/>
  <c r="AE201" i="16"/>
  <c r="AE200" i="16"/>
  <c r="AE199" i="16"/>
  <c r="AE198" i="16"/>
  <c r="S209" i="16"/>
  <c r="S208" i="16"/>
  <c r="S207" i="16"/>
  <c r="S206" i="16"/>
  <c r="S205" i="16"/>
  <c r="S204" i="16"/>
  <c r="S203" i="16"/>
  <c r="S202" i="16"/>
  <c r="S201" i="16"/>
  <c r="S200" i="16"/>
  <c r="S199" i="16"/>
  <c r="S198" i="16"/>
  <c r="AQ209" i="17"/>
  <c r="AQ208" i="17"/>
  <c r="AQ207" i="17"/>
  <c r="AQ206" i="17"/>
  <c r="AQ205" i="17"/>
  <c r="AQ204" i="17"/>
  <c r="AQ203" i="17"/>
  <c r="AQ202" i="17"/>
  <c r="AQ201" i="17"/>
  <c r="AQ200" i="17"/>
  <c r="AQ199" i="17"/>
  <c r="AQ198" i="17"/>
  <c r="AE209" i="17"/>
  <c r="AE208" i="17"/>
  <c r="AE207" i="17"/>
  <c r="AE206" i="17"/>
  <c r="AE205" i="17"/>
  <c r="AE204" i="17"/>
  <c r="AE203" i="17"/>
  <c r="AE202" i="17"/>
  <c r="AE201" i="17"/>
  <c r="AE200" i="17"/>
  <c r="AE199" i="17"/>
  <c r="AE198" i="17"/>
  <c r="S209" i="17"/>
  <c r="S208" i="17"/>
  <c r="S207" i="17"/>
  <c r="S206" i="17"/>
  <c r="S205" i="17"/>
  <c r="S204" i="17"/>
  <c r="S203" i="17"/>
  <c r="S202" i="17"/>
  <c r="S201" i="17"/>
  <c r="S200" i="17"/>
  <c r="S199" i="17"/>
  <c r="S198" i="17"/>
  <c r="D154" i="87" l="1"/>
  <c r="E170" i="87"/>
  <c r="G160" i="87"/>
  <c r="J198" i="17"/>
  <c r="E198" i="17"/>
  <c r="H198" i="87"/>
  <c r="C199" i="17"/>
  <c r="D199" i="17"/>
  <c r="I199" i="87"/>
  <c r="G201" i="17"/>
  <c r="F201" i="87"/>
  <c r="J202" i="17"/>
  <c r="E202" i="17"/>
  <c r="H202" i="87"/>
  <c r="C203" i="17"/>
  <c r="D203" i="17"/>
  <c r="I203" i="87"/>
  <c r="G205" i="17"/>
  <c r="F205" i="87"/>
  <c r="J206" i="17"/>
  <c r="E206" i="17"/>
  <c r="H206" i="87"/>
  <c r="C207" i="17"/>
  <c r="D207" i="17"/>
  <c r="I207" i="87"/>
  <c r="G209" i="17"/>
  <c r="F209" i="87"/>
  <c r="G187" i="17"/>
  <c r="F187" i="87"/>
  <c r="J188" i="17"/>
  <c r="E188" i="17"/>
  <c r="H188" i="87"/>
  <c r="D189" i="17"/>
  <c r="C189" i="17"/>
  <c r="I189" i="87"/>
  <c r="G191" i="17"/>
  <c r="F191" i="87"/>
  <c r="J192" i="17"/>
  <c r="E192" i="17"/>
  <c r="H192" i="87"/>
  <c r="D193" i="17"/>
  <c r="C193" i="17"/>
  <c r="I193" i="87"/>
  <c r="G195" i="17"/>
  <c r="F195" i="87"/>
  <c r="J196" i="17"/>
  <c r="E196" i="17"/>
  <c r="H196" i="87"/>
  <c r="D197" i="17"/>
  <c r="C197" i="17"/>
  <c r="I197" i="87"/>
  <c r="J174" i="17"/>
  <c r="E174" i="17"/>
  <c r="H174" i="87"/>
  <c r="C175" i="17"/>
  <c r="D175" i="17"/>
  <c r="I175" i="87"/>
  <c r="G177" i="17"/>
  <c r="F177" i="87"/>
  <c r="J178" i="17"/>
  <c r="E178" i="17"/>
  <c r="H178" i="87"/>
  <c r="C179" i="17"/>
  <c r="D179" i="17"/>
  <c r="I179" i="87"/>
  <c r="G181" i="17"/>
  <c r="F181" i="87"/>
  <c r="J182" i="17"/>
  <c r="E182" i="17"/>
  <c r="H182" i="87"/>
  <c r="C183" i="17"/>
  <c r="D183" i="17"/>
  <c r="I183" i="87"/>
  <c r="G185" i="17"/>
  <c r="F185" i="87"/>
  <c r="D161" i="87"/>
  <c r="J161" i="87"/>
  <c r="E161" i="87"/>
  <c r="D157" i="87"/>
  <c r="E157" i="87"/>
  <c r="J157" i="87"/>
  <c r="J153" i="87"/>
  <c r="E153" i="87"/>
  <c r="D173" i="87"/>
  <c r="C173" i="87"/>
  <c r="C169" i="87"/>
  <c r="D169" i="87"/>
  <c r="D165" i="87"/>
  <c r="C165" i="87"/>
  <c r="C161" i="87"/>
  <c r="G161" i="87"/>
  <c r="G157" i="87"/>
  <c r="G153" i="87"/>
  <c r="J173" i="87"/>
  <c r="E173" i="87"/>
  <c r="J169" i="87"/>
  <c r="E169" i="87"/>
  <c r="J165" i="87"/>
  <c r="E165" i="87"/>
  <c r="C160" i="87"/>
  <c r="D160" i="87"/>
  <c r="C156" i="87"/>
  <c r="C152" i="87"/>
  <c r="D152" i="87"/>
  <c r="G173" i="87"/>
  <c r="G169" i="87"/>
  <c r="G165" i="87"/>
  <c r="C157" i="87"/>
  <c r="D153" i="87"/>
  <c r="C153" i="87"/>
  <c r="C172" i="87"/>
  <c r="D172" i="87"/>
  <c r="C168" i="87"/>
  <c r="D168" i="87"/>
  <c r="C164" i="87"/>
  <c r="D164" i="87"/>
  <c r="D198" i="17"/>
  <c r="C198" i="17"/>
  <c r="I198" i="87"/>
  <c r="G200" i="17"/>
  <c r="F200" i="87"/>
  <c r="J201" i="17"/>
  <c r="E201" i="17"/>
  <c r="H201" i="87"/>
  <c r="D202" i="17"/>
  <c r="C202" i="17"/>
  <c r="I202" i="87"/>
  <c r="G204" i="17"/>
  <c r="F204" i="87"/>
  <c r="J205" i="17"/>
  <c r="E205" i="17"/>
  <c r="H205" i="87"/>
  <c r="D206" i="17"/>
  <c r="C206" i="17"/>
  <c r="I206" i="87"/>
  <c r="G208" i="17"/>
  <c r="F208" i="87"/>
  <c r="J209" i="17"/>
  <c r="E209" i="17"/>
  <c r="H209" i="87"/>
  <c r="G186" i="17"/>
  <c r="F186" i="87"/>
  <c r="J187" i="17"/>
  <c r="E187" i="17"/>
  <c r="H187" i="87"/>
  <c r="D188" i="17"/>
  <c r="C188" i="17"/>
  <c r="I188" i="87"/>
  <c r="G190" i="17"/>
  <c r="F190" i="87"/>
  <c r="J191" i="17"/>
  <c r="E191" i="17"/>
  <c r="H191" i="87"/>
  <c r="D192" i="17"/>
  <c r="C192" i="17"/>
  <c r="I192" i="87"/>
  <c r="G194" i="17"/>
  <c r="F194" i="87"/>
  <c r="J195" i="17"/>
  <c r="E195" i="17"/>
  <c r="H195" i="87"/>
  <c r="D196" i="17"/>
  <c r="C196" i="17"/>
  <c r="I196" i="87"/>
  <c r="D174" i="17"/>
  <c r="C174" i="17"/>
  <c r="I174" i="87"/>
  <c r="G176" i="17"/>
  <c r="F176" i="87"/>
  <c r="J177" i="17"/>
  <c r="E177" i="17"/>
  <c r="H177" i="87"/>
  <c r="D178" i="17"/>
  <c r="C178" i="17"/>
  <c r="I178" i="87"/>
  <c r="G180" i="17"/>
  <c r="F180" i="87"/>
  <c r="J181" i="17"/>
  <c r="E181" i="17"/>
  <c r="H181" i="87"/>
  <c r="D182" i="17"/>
  <c r="C182" i="17"/>
  <c r="I182" i="87"/>
  <c r="G184" i="17"/>
  <c r="F184" i="87"/>
  <c r="J185" i="17"/>
  <c r="E185" i="17"/>
  <c r="H185" i="87"/>
  <c r="D158" i="87"/>
  <c r="C158" i="87"/>
  <c r="C150" i="87"/>
  <c r="D150" i="87"/>
  <c r="J158" i="87"/>
  <c r="J154" i="87"/>
  <c r="E154" i="87"/>
  <c r="G150" i="87"/>
  <c r="J150" i="87"/>
  <c r="E150" i="87"/>
  <c r="J170" i="87"/>
  <c r="D170" i="87"/>
  <c r="C170" i="87"/>
  <c r="D166" i="87"/>
  <c r="C166" i="87"/>
  <c r="C162" i="87"/>
  <c r="D162" i="87"/>
  <c r="J166" i="87"/>
  <c r="E166" i="87"/>
  <c r="J162" i="87"/>
  <c r="E162" i="87"/>
  <c r="G199" i="17"/>
  <c r="F199" i="87"/>
  <c r="J200" i="17"/>
  <c r="E200" i="17"/>
  <c r="H200" i="87"/>
  <c r="D201" i="17"/>
  <c r="C201" i="17"/>
  <c r="I201" i="87"/>
  <c r="G203" i="17"/>
  <c r="F203" i="87"/>
  <c r="J204" i="17"/>
  <c r="E204" i="17"/>
  <c r="H204" i="87"/>
  <c r="D205" i="17"/>
  <c r="C205" i="17"/>
  <c r="I205" i="87"/>
  <c r="G207" i="17"/>
  <c r="F207" i="87"/>
  <c r="J208" i="17"/>
  <c r="E208" i="17"/>
  <c r="H208" i="87"/>
  <c r="D209" i="17"/>
  <c r="C209" i="17"/>
  <c r="I209" i="87"/>
  <c r="J186" i="17"/>
  <c r="E186" i="17"/>
  <c r="H186" i="87"/>
  <c r="C187" i="17"/>
  <c r="D187" i="17"/>
  <c r="I187" i="87"/>
  <c r="G189" i="17"/>
  <c r="F189" i="87"/>
  <c r="J190" i="17"/>
  <c r="E190" i="17"/>
  <c r="H190" i="87"/>
  <c r="C191" i="17"/>
  <c r="D191" i="17"/>
  <c r="I191" i="87"/>
  <c r="G193" i="17"/>
  <c r="F193" i="87"/>
  <c r="J194" i="17"/>
  <c r="E194" i="17"/>
  <c r="H194" i="87"/>
  <c r="C195" i="17"/>
  <c r="D195" i="17"/>
  <c r="I195" i="87"/>
  <c r="G197" i="17"/>
  <c r="F197" i="87"/>
  <c r="G175" i="17"/>
  <c r="F175" i="87"/>
  <c r="J176" i="17"/>
  <c r="E176" i="17"/>
  <c r="H176" i="87"/>
  <c r="D177" i="17"/>
  <c r="C177" i="17"/>
  <c r="I177" i="87"/>
  <c r="G179" i="17"/>
  <c r="F179" i="87"/>
  <c r="J180" i="17"/>
  <c r="E180" i="17"/>
  <c r="H180" i="87"/>
  <c r="D181" i="17"/>
  <c r="C181" i="17"/>
  <c r="I181" i="87"/>
  <c r="G183" i="17"/>
  <c r="F183" i="87"/>
  <c r="J184" i="17"/>
  <c r="E184" i="17"/>
  <c r="H184" i="87"/>
  <c r="D185" i="17"/>
  <c r="C185" i="17"/>
  <c r="I185" i="87"/>
  <c r="D159" i="87"/>
  <c r="C159" i="87"/>
  <c r="C155" i="87"/>
  <c r="D155" i="87"/>
  <c r="E158" i="87"/>
  <c r="G158" i="87"/>
  <c r="C154" i="87"/>
  <c r="G154" i="87"/>
  <c r="D171" i="87"/>
  <c r="C171" i="87"/>
  <c r="C167" i="87"/>
  <c r="D167" i="87"/>
  <c r="D163" i="87"/>
  <c r="C163" i="87"/>
  <c r="E159" i="87"/>
  <c r="G159" i="87"/>
  <c r="G155" i="87"/>
  <c r="C151" i="87"/>
  <c r="G151" i="87"/>
  <c r="G170" i="87"/>
  <c r="G166" i="87"/>
  <c r="G162" i="87"/>
  <c r="G198" i="17"/>
  <c r="F198" i="87"/>
  <c r="J199" i="17"/>
  <c r="E199" i="17"/>
  <c r="H199" i="87"/>
  <c r="D200" i="17"/>
  <c r="C200" i="17"/>
  <c r="I200" i="87"/>
  <c r="G202" i="17"/>
  <c r="F202" i="87"/>
  <c r="J203" i="17"/>
  <c r="E203" i="17"/>
  <c r="H203" i="87"/>
  <c r="D204" i="17"/>
  <c r="C204" i="17"/>
  <c r="I204" i="87"/>
  <c r="G206" i="17"/>
  <c r="F206" i="87"/>
  <c r="J207" i="17"/>
  <c r="E207" i="17"/>
  <c r="H207" i="87"/>
  <c r="D208" i="17"/>
  <c r="C208" i="17"/>
  <c r="I208" i="87"/>
  <c r="D186" i="17"/>
  <c r="C186" i="17"/>
  <c r="I186" i="87"/>
  <c r="G188" i="17"/>
  <c r="F188" i="87"/>
  <c r="G188" i="87" s="1"/>
  <c r="J189" i="17"/>
  <c r="E189" i="17"/>
  <c r="H189" i="87"/>
  <c r="D190" i="17"/>
  <c r="C190" i="17"/>
  <c r="I190" i="87"/>
  <c r="G192" i="17"/>
  <c r="F192" i="87"/>
  <c r="G192" i="87" s="1"/>
  <c r="J193" i="17"/>
  <c r="E193" i="17"/>
  <c r="H193" i="87"/>
  <c r="D194" i="17"/>
  <c r="C194" i="17"/>
  <c r="I194" i="87"/>
  <c r="G196" i="17"/>
  <c r="F196" i="87"/>
  <c r="G196" i="87" s="1"/>
  <c r="J197" i="17"/>
  <c r="E197" i="17"/>
  <c r="H197" i="87"/>
  <c r="G174" i="17"/>
  <c r="F174" i="87"/>
  <c r="J175" i="17"/>
  <c r="E175" i="17"/>
  <c r="H175" i="87"/>
  <c r="D176" i="17"/>
  <c r="C176" i="17"/>
  <c r="I176" i="87"/>
  <c r="G178" i="17"/>
  <c r="F178" i="87"/>
  <c r="J179" i="17"/>
  <c r="E179" i="17"/>
  <c r="H179" i="87"/>
  <c r="D180" i="17"/>
  <c r="C180" i="17"/>
  <c r="I180" i="87"/>
  <c r="G182" i="17"/>
  <c r="F182" i="87"/>
  <c r="J183" i="17"/>
  <c r="E183" i="17"/>
  <c r="H183" i="87"/>
  <c r="D184" i="17"/>
  <c r="C184" i="17"/>
  <c r="I184" i="87"/>
  <c r="J172" i="87"/>
  <c r="E172" i="87"/>
  <c r="J168" i="87"/>
  <c r="E168" i="87"/>
  <c r="J164" i="87"/>
  <c r="E164" i="87"/>
  <c r="G172" i="87"/>
  <c r="G168" i="87"/>
  <c r="G164" i="87"/>
  <c r="J159" i="87"/>
  <c r="E155" i="87"/>
  <c r="J155" i="87"/>
  <c r="D151" i="87"/>
  <c r="E151" i="87"/>
  <c r="J151" i="87"/>
  <c r="J160" i="87"/>
  <c r="E160" i="87"/>
  <c r="D156" i="87"/>
  <c r="J156" i="87"/>
  <c r="E156" i="87"/>
  <c r="G152" i="87"/>
  <c r="E152" i="87"/>
  <c r="J152" i="87"/>
  <c r="E171" i="87"/>
  <c r="J171" i="87"/>
  <c r="E167" i="87"/>
  <c r="J167" i="87"/>
  <c r="J163" i="87"/>
  <c r="E163" i="87"/>
  <c r="D202" i="16"/>
  <c r="C202" i="16"/>
  <c r="C206" i="16"/>
  <c r="D206" i="16"/>
  <c r="D186" i="16"/>
  <c r="C186" i="16"/>
  <c r="D190" i="16"/>
  <c r="C190" i="16"/>
  <c r="D194" i="16"/>
  <c r="C194" i="16"/>
  <c r="D174" i="16"/>
  <c r="C174" i="16"/>
  <c r="D178" i="16"/>
  <c r="C178" i="16"/>
  <c r="C182" i="16"/>
  <c r="D182" i="16"/>
  <c r="E200" i="16"/>
  <c r="D201" i="16"/>
  <c r="C201" i="16"/>
  <c r="E204" i="16"/>
  <c r="D205" i="16"/>
  <c r="C205" i="16"/>
  <c r="E208" i="16"/>
  <c r="D209" i="16"/>
  <c r="C209" i="16"/>
  <c r="E188" i="16"/>
  <c r="D189" i="16"/>
  <c r="C189" i="16"/>
  <c r="E192" i="16"/>
  <c r="D193" i="16"/>
  <c r="C193" i="16"/>
  <c r="E196" i="16"/>
  <c r="D197" i="16"/>
  <c r="C197" i="16"/>
  <c r="E176" i="16"/>
  <c r="D177" i="16"/>
  <c r="C177" i="16"/>
  <c r="E180" i="16"/>
  <c r="D181" i="16"/>
  <c r="C181" i="16"/>
  <c r="E184" i="16"/>
  <c r="D185" i="16"/>
  <c r="C185" i="16"/>
  <c r="E199" i="16"/>
  <c r="D200" i="16"/>
  <c r="C200" i="16"/>
  <c r="E203" i="16"/>
  <c r="D204" i="16"/>
  <c r="C204" i="16"/>
  <c r="E207" i="16"/>
  <c r="D208" i="16"/>
  <c r="C208" i="16"/>
  <c r="E187" i="16"/>
  <c r="D188" i="16"/>
  <c r="C188" i="16"/>
  <c r="E191" i="16"/>
  <c r="D192" i="16"/>
  <c r="C192" i="16"/>
  <c r="E195" i="16"/>
  <c r="D196" i="16"/>
  <c r="C196" i="16"/>
  <c r="E175" i="16"/>
  <c r="D176" i="16"/>
  <c r="C176" i="16"/>
  <c r="E179" i="16"/>
  <c r="D180" i="16"/>
  <c r="C180" i="16"/>
  <c r="E183" i="16"/>
  <c r="D184" i="16"/>
  <c r="C184" i="16"/>
  <c r="D198" i="16"/>
  <c r="C198" i="16"/>
  <c r="C199" i="16"/>
  <c r="D199" i="16"/>
  <c r="C203" i="16"/>
  <c r="D203" i="16"/>
  <c r="C207" i="16"/>
  <c r="D207" i="16"/>
  <c r="C187" i="16"/>
  <c r="D187" i="16"/>
  <c r="C191" i="16"/>
  <c r="D191" i="16"/>
  <c r="C195" i="16"/>
  <c r="D195" i="16"/>
  <c r="C175" i="16"/>
  <c r="D175" i="16"/>
  <c r="C179" i="16"/>
  <c r="D179" i="16"/>
  <c r="C183" i="16"/>
  <c r="D183" i="16"/>
  <c r="G182" i="87" l="1"/>
  <c r="G174" i="87"/>
  <c r="G202" i="87"/>
  <c r="G198" i="87"/>
  <c r="G178" i="87"/>
  <c r="G206" i="87"/>
  <c r="C185" i="87"/>
  <c r="C205" i="87"/>
  <c r="E199" i="87"/>
  <c r="E181" i="87"/>
  <c r="D184" i="87"/>
  <c r="C184" i="87"/>
  <c r="C180" i="87"/>
  <c r="D180" i="87"/>
  <c r="C176" i="87"/>
  <c r="D176" i="87"/>
  <c r="J197" i="87"/>
  <c r="E197" i="87"/>
  <c r="J193" i="87"/>
  <c r="E193" i="87"/>
  <c r="E189" i="87"/>
  <c r="J189" i="87"/>
  <c r="D208" i="87"/>
  <c r="C208" i="87"/>
  <c r="D204" i="87"/>
  <c r="C204" i="87"/>
  <c r="D200" i="87"/>
  <c r="C200" i="87"/>
  <c r="G183" i="87"/>
  <c r="G179" i="87"/>
  <c r="G175" i="87"/>
  <c r="D195" i="87"/>
  <c r="C195" i="87"/>
  <c r="D191" i="87"/>
  <c r="C191" i="87"/>
  <c r="C187" i="87"/>
  <c r="D187" i="87"/>
  <c r="G203" i="87"/>
  <c r="G199" i="87"/>
  <c r="D182" i="87"/>
  <c r="C182" i="87"/>
  <c r="D178" i="87"/>
  <c r="C178" i="87"/>
  <c r="D174" i="87"/>
  <c r="C174" i="87"/>
  <c r="C206" i="87"/>
  <c r="D206" i="87"/>
  <c r="D202" i="87"/>
  <c r="C202" i="87"/>
  <c r="D198" i="87"/>
  <c r="C198" i="87"/>
  <c r="G185" i="87"/>
  <c r="G181" i="87"/>
  <c r="E177" i="87"/>
  <c r="G177" i="87"/>
  <c r="D197" i="87"/>
  <c r="C197" i="87"/>
  <c r="D193" i="87"/>
  <c r="C193" i="87"/>
  <c r="D189" i="87"/>
  <c r="C189" i="87"/>
  <c r="G209" i="87"/>
  <c r="G205" i="87"/>
  <c r="E201" i="87"/>
  <c r="G201" i="87"/>
  <c r="C194" i="87"/>
  <c r="D194" i="87"/>
  <c r="D190" i="87"/>
  <c r="C190" i="87"/>
  <c r="C186" i="87"/>
  <c r="D186" i="87"/>
  <c r="J184" i="87"/>
  <c r="E184" i="87"/>
  <c r="J180" i="87"/>
  <c r="E180" i="87"/>
  <c r="E176" i="87"/>
  <c r="J176" i="87"/>
  <c r="J208" i="87"/>
  <c r="E208" i="87"/>
  <c r="J204" i="87"/>
  <c r="E204" i="87"/>
  <c r="E200" i="87"/>
  <c r="J200" i="87"/>
  <c r="G194" i="87"/>
  <c r="G190" i="87"/>
  <c r="G186" i="87"/>
  <c r="E182" i="87"/>
  <c r="J182" i="87"/>
  <c r="J178" i="87"/>
  <c r="E178" i="87"/>
  <c r="E174" i="87"/>
  <c r="J174" i="87"/>
  <c r="J206" i="87"/>
  <c r="E206" i="87"/>
  <c r="J202" i="87"/>
  <c r="E202" i="87"/>
  <c r="J198" i="87"/>
  <c r="E198" i="87"/>
  <c r="J181" i="87"/>
  <c r="C181" i="87"/>
  <c r="D181" i="87"/>
  <c r="D177" i="87"/>
  <c r="C177" i="87"/>
  <c r="G197" i="87"/>
  <c r="G193" i="87"/>
  <c r="G189" i="87"/>
  <c r="C209" i="87"/>
  <c r="D209" i="87"/>
  <c r="D201" i="87"/>
  <c r="C201" i="87"/>
  <c r="G184" i="87"/>
  <c r="G180" i="87"/>
  <c r="G176" i="87"/>
  <c r="J195" i="87"/>
  <c r="E195" i="87"/>
  <c r="J191" i="87"/>
  <c r="E191" i="87"/>
  <c r="E187" i="87"/>
  <c r="J187" i="87"/>
  <c r="G208" i="87"/>
  <c r="G204" i="87"/>
  <c r="G200" i="87"/>
  <c r="D183" i="87"/>
  <c r="C183" i="87"/>
  <c r="D179" i="87"/>
  <c r="C179" i="87"/>
  <c r="C175" i="87"/>
  <c r="D175" i="87"/>
  <c r="G195" i="87"/>
  <c r="G191" i="87"/>
  <c r="G187" i="87"/>
  <c r="C207" i="87"/>
  <c r="D207" i="87"/>
  <c r="D203" i="87"/>
  <c r="C203" i="87"/>
  <c r="J199" i="87"/>
  <c r="D199" i="87"/>
  <c r="C199" i="87"/>
  <c r="E183" i="87"/>
  <c r="J183" i="87"/>
  <c r="E179" i="87"/>
  <c r="J179" i="87"/>
  <c r="J175" i="87"/>
  <c r="E175" i="87"/>
  <c r="G207" i="87"/>
  <c r="J207" i="87"/>
  <c r="E207" i="87"/>
  <c r="J203" i="87"/>
  <c r="E203" i="87"/>
  <c r="J194" i="87"/>
  <c r="E194" i="87"/>
  <c r="J190" i="87"/>
  <c r="E190" i="87"/>
  <c r="E186" i="87"/>
  <c r="J186" i="87"/>
  <c r="D185" i="87"/>
  <c r="J185" i="87"/>
  <c r="E185" i="87"/>
  <c r="J177" i="87"/>
  <c r="D196" i="87"/>
  <c r="C196" i="87"/>
  <c r="C192" i="87"/>
  <c r="D192" i="87"/>
  <c r="D188" i="87"/>
  <c r="C188" i="87"/>
  <c r="J209" i="87"/>
  <c r="E209" i="87"/>
  <c r="D205" i="87"/>
  <c r="J205" i="87"/>
  <c r="E205" i="87"/>
  <c r="J201" i="87"/>
  <c r="J196" i="87"/>
  <c r="E196" i="87"/>
  <c r="J192" i="87"/>
  <c r="E192" i="87"/>
  <c r="J188" i="87"/>
  <c r="E188" i="87"/>
  <c r="I221" i="14"/>
  <c r="H221" i="14"/>
  <c r="F221" i="14"/>
  <c r="I220" i="14"/>
  <c r="H220" i="14"/>
  <c r="F220" i="14"/>
  <c r="I219" i="14"/>
  <c r="H219" i="14"/>
  <c r="F219" i="14"/>
  <c r="I218" i="14"/>
  <c r="H218" i="14"/>
  <c r="F218" i="14"/>
  <c r="I217" i="14"/>
  <c r="H217" i="14"/>
  <c r="F217" i="14"/>
  <c r="I216" i="14"/>
  <c r="H216" i="14"/>
  <c r="F216" i="14"/>
  <c r="I215" i="14"/>
  <c r="H215" i="14"/>
  <c r="F215" i="14"/>
  <c r="I214" i="14"/>
  <c r="H214" i="14"/>
  <c r="F214" i="14"/>
  <c r="I213" i="14"/>
  <c r="H213" i="14"/>
  <c r="F213" i="14"/>
  <c r="I212" i="14"/>
  <c r="H212" i="14"/>
  <c r="F212" i="14"/>
  <c r="I211" i="14"/>
  <c r="H211" i="14"/>
  <c r="F211" i="14"/>
  <c r="I210" i="14"/>
  <c r="H210" i="14"/>
  <c r="F210" i="14"/>
  <c r="AQ221" i="14"/>
  <c r="AQ220" i="14"/>
  <c r="AQ219" i="14"/>
  <c r="AQ216" i="14"/>
  <c r="AQ215" i="14"/>
  <c r="AQ214" i="14"/>
  <c r="AQ213" i="14"/>
  <c r="AQ212" i="14"/>
  <c r="AQ211" i="14"/>
  <c r="AQ210" i="14"/>
  <c r="AE221" i="14"/>
  <c r="AE220" i="14"/>
  <c r="AE219" i="14"/>
  <c r="AE216" i="14"/>
  <c r="AE215" i="14"/>
  <c r="AE214" i="14"/>
  <c r="AE213" i="14"/>
  <c r="AE212" i="14"/>
  <c r="AE211" i="14"/>
  <c r="AE210" i="14"/>
  <c r="S221" i="14"/>
  <c r="S220" i="14"/>
  <c r="S219" i="14"/>
  <c r="S216" i="14"/>
  <c r="S215" i="14"/>
  <c r="S214" i="14"/>
  <c r="S213" i="14"/>
  <c r="S212" i="14"/>
  <c r="S211" i="14"/>
  <c r="S210" i="14"/>
  <c r="DK221" i="15"/>
  <c r="DK220" i="15"/>
  <c r="DK219" i="15"/>
  <c r="DK218" i="15"/>
  <c r="DK217" i="15"/>
  <c r="DK216" i="15"/>
  <c r="DK215" i="15"/>
  <c r="DK214" i="15"/>
  <c r="DK213" i="15"/>
  <c r="DK212" i="15"/>
  <c r="DK211" i="15"/>
  <c r="DK210" i="15"/>
  <c r="CY221" i="15"/>
  <c r="CY220" i="15"/>
  <c r="CY219" i="15"/>
  <c r="CY218" i="15"/>
  <c r="CY217" i="15"/>
  <c r="CY216" i="15"/>
  <c r="CY215" i="15"/>
  <c r="CY214" i="15"/>
  <c r="CY213" i="15"/>
  <c r="CY212" i="15"/>
  <c r="CY211" i="15"/>
  <c r="CY210" i="15"/>
  <c r="CA221" i="15"/>
  <c r="CA220" i="15"/>
  <c r="CA219" i="15"/>
  <c r="CA218" i="15"/>
  <c r="CA217" i="15"/>
  <c r="CA216" i="15"/>
  <c r="CA215" i="15"/>
  <c r="CA214" i="15"/>
  <c r="CA213" i="15"/>
  <c r="CA212" i="15"/>
  <c r="CA211" i="15"/>
  <c r="CA210" i="15"/>
  <c r="BO221" i="15"/>
  <c r="BO220" i="15"/>
  <c r="BO219" i="15"/>
  <c r="BO218" i="15"/>
  <c r="BO217" i="15"/>
  <c r="BO216" i="15"/>
  <c r="BO215" i="15"/>
  <c r="BO214" i="15"/>
  <c r="BO213" i="15"/>
  <c r="BO212" i="15"/>
  <c r="BO211" i="15"/>
  <c r="BO210" i="15"/>
  <c r="BC221" i="15"/>
  <c r="BC220" i="15"/>
  <c r="BC219" i="15"/>
  <c r="BC218" i="15"/>
  <c r="BC217" i="15"/>
  <c r="BC216" i="15"/>
  <c r="BC215" i="15"/>
  <c r="BC214" i="15"/>
  <c r="BC213" i="15"/>
  <c r="BC212" i="15"/>
  <c r="BC211" i="15"/>
  <c r="BC210" i="15"/>
  <c r="AQ221" i="15"/>
  <c r="AQ220" i="15"/>
  <c r="AQ219" i="15"/>
  <c r="AQ218" i="15"/>
  <c r="AQ217" i="15"/>
  <c r="AQ216" i="15"/>
  <c r="AQ215" i="15"/>
  <c r="AQ214" i="15"/>
  <c r="AQ213" i="15"/>
  <c r="AQ212" i="15"/>
  <c r="AQ211" i="15"/>
  <c r="AQ210" i="15"/>
  <c r="S221" i="15"/>
  <c r="S220" i="15"/>
  <c r="S219" i="15"/>
  <c r="S218" i="15"/>
  <c r="S217" i="15"/>
  <c r="S216" i="15"/>
  <c r="S215" i="15"/>
  <c r="S214" i="15"/>
  <c r="S213" i="15"/>
  <c r="S212" i="15"/>
  <c r="S211" i="15"/>
  <c r="S210" i="15"/>
  <c r="I221" i="17"/>
  <c r="H221" i="17"/>
  <c r="F221" i="17"/>
  <c r="I220" i="17"/>
  <c r="H220" i="17"/>
  <c r="F220" i="17"/>
  <c r="I219" i="17"/>
  <c r="H219" i="17"/>
  <c r="F219" i="17"/>
  <c r="I218" i="17"/>
  <c r="H218" i="17"/>
  <c r="F218" i="17"/>
  <c r="I217" i="17"/>
  <c r="H217" i="17"/>
  <c r="F217" i="17"/>
  <c r="I216" i="17"/>
  <c r="H216" i="17"/>
  <c r="F216" i="17"/>
  <c r="I215" i="17"/>
  <c r="H215" i="17"/>
  <c r="F215" i="17"/>
  <c r="I214" i="17"/>
  <c r="H214" i="17"/>
  <c r="F214" i="17"/>
  <c r="I213" i="17"/>
  <c r="H213" i="17"/>
  <c r="F213" i="17"/>
  <c r="I212" i="17"/>
  <c r="H212" i="17"/>
  <c r="F212" i="17"/>
  <c r="I211" i="17"/>
  <c r="H211" i="17"/>
  <c r="F211" i="17"/>
  <c r="I210" i="17"/>
  <c r="H210" i="17"/>
  <c r="F210" i="17"/>
  <c r="AQ221" i="17"/>
  <c r="AQ220" i="17"/>
  <c r="AQ219" i="17"/>
  <c r="AQ218" i="17"/>
  <c r="AQ217" i="17"/>
  <c r="AQ216" i="17"/>
  <c r="AQ215" i="17"/>
  <c r="AQ214" i="17"/>
  <c r="AQ213" i="17"/>
  <c r="AQ212" i="17"/>
  <c r="AQ211" i="17"/>
  <c r="AQ210" i="17"/>
  <c r="AE221" i="17"/>
  <c r="AE220" i="17"/>
  <c r="AE219" i="17"/>
  <c r="AE218" i="17"/>
  <c r="AE217" i="17"/>
  <c r="AE216" i="17"/>
  <c r="AE215" i="17"/>
  <c r="AE214" i="17"/>
  <c r="AE213" i="17"/>
  <c r="AE212" i="17"/>
  <c r="AE211" i="17"/>
  <c r="AE210" i="17"/>
  <c r="S221" i="17"/>
  <c r="S220" i="17"/>
  <c r="S219" i="17"/>
  <c r="S218" i="17"/>
  <c r="S217" i="17"/>
  <c r="S216" i="17"/>
  <c r="S215" i="17"/>
  <c r="S214" i="17"/>
  <c r="S213" i="17"/>
  <c r="S212" i="17"/>
  <c r="S211" i="17"/>
  <c r="S210" i="17"/>
  <c r="E213" i="16"/>
  <c r="BC221" i="16"/>
  <c r="BC220" i="16"/>
  <c r="BC219" i="16"/>
  <c r="BC218" i="16"/>
  <c r="BC217" i="16"/>
  <c r="BC216" i="16"/>
  <c r="BC215" i="16"/>
  <c r="BC214" i="16"/>
  <c r="BC213" i="16"/>
  <c r="BC212" i="16"/>
  <c r="BC211" i="16"/>
  <c r="BC210" i="16"/>
  <c r="AQ221" i="16"/>
  <c r="AQ220" i="16"/>
  <c r="AQ219" i="16"/>
  <c r="AQ218" i="16"/>
  <c r="AQ217" i="16"/>
  <c r="AQ216" i="16"/>
  <c r="AQ215" i="16"/>
  <c r="AQ214" i="16"/>
  <c r="AQ213" i="16"/>
  <c r="AQ212" i="16"/>
  <c r="AQ211" i="16"/>
  <c r="AQ210" i="16"/>
  <c r="AE221" i="16"/>
  <c r="AE220" i="16"/>
  <c r="AE219" i="16"/>
  <c r="AE218" i="16"/>
  <c r="AE217" i="16"/>
  <c r="AE216" i="16"/>
  <c r="AE215" i="16"/>
  <c r="AE214" i="16"/>
  <c r="AE213" i="16"/>
  <c r="AE212" i="16"/>
  <c r="AE211" i="16"/>
  <c r="AE210" i="16"/>
  <c r="S221" i="16"/>
  <c r="S220" i="16"/>
  <c r="S219" i="16"/>
  <c r="S218" i="16"/>
  <c r="S217" i="16"/>
  <c r="S216" i="16"/>
  <c r="S215" i="16"/>
  <c r="S214" i="16"/>
  <c r="S213" i="16"/>
  <c r="S212" i="16"/>
  <c r="S211" i="16"/>
  <c r="S210" i="16"/>
  <c r="DK233" i="15"/>
  <c r="DK232" i="15"/>
  <c r="DK231" i="15"/>
  <c r="DK230" i="15"/>
  <c r="DK229" i="15"/>
  <c r="DK228" i="15"/>
  <c r="DK227" i="15"/>
  <c r="DK226" i="15"/>
  <c r="DK225" i="15"/>
  <c r="DK224" i="15"/>
  <c r="DK223" i="15"/>
  <c r="DK222" i="15"/>
  <c r="CY233" i="15"/>
  <c r="CY232" i="15"/>
  <c r="CY231" i="15"/>
  <c r="CY230" i="15"/>
  <c r="CY229" i="15"/>
  <c r="CY228" i="15"/>
  <c r="CY227" i="15"/>
  <c r="CY226" i="15"/>
  <c r="CY225" i="15"/>
  <c r="CY224" i="15"/>
  <c r="CY223" i="15"/>
  <c r="CY222" i="15"/>
  <c r="CA233" i="15"/>
  <c r="CA232" i="15"/>
  <c r="CA231" i="15"/>
  <c r="CA230" i="15"/>
  <c r="CA229" i="15"/>
  <c r="CA228" i="15"/>
  <c r="CA227" i="15"/>
  <c r="CA226" i="15"/>
  <c r="CA225" i="15"/>
  <c r="CA224" i="15"/>
  <c r="CA223" i="15"/>
  <c r="CA222" i="15"/>
  <c r="BO233" i="15"/>
  <c r="BO232" i="15"/>
  <c r="BO231" i="15"/>
  <c r="BO230" i="15"/>
  <c r="BO229" i="15"/>
  <c r="BO228" i="15"/>
  <c r="BO227" i="15"/>
  <c r="BO226" i="15"/>
  <c r="BO225" i="15"/>
  <c r="BO224" i="15"/>
  <c r="BO223" i="15"/>
  <c r="BO222" i="15"/>
  <c r="BC233" i="15"/>
  <c r="BC232" i="15"/>
  <c r="BC231" i="15"/>
  <c r="BC230" i="15"/>
  <c r="BC229" i="15"/>
  <c r="BC228" i="15"/>
  <c r="BC227" i="15"/>
  <c r="BC226" i="15"/>
  <c r="BC225" i="15"/>
  <c r="BC224" i="15"/>
  <c r="BC223" i="15"/>
  <c r="BC222" i="15"/>
  <c r="AQ233" i="15"/>
  <c r="AQ232" i="15"/>
  <c r="AQ231" i="15"/>
  <c r="AQ230" i="15"/>
  <c r="AQ229" i="15"/>
  <c r="AQ228" i="15"/>
  <c r="AQ227" i="15"/>
  <c r="AQ226" i="15"/>
  <c r="AQ225" i="15"/>
  <c r="AQ224" i="15"/>
  <c r="AQ223" i="15"/>
  <c r="AQ222" i="15"/>
  <c r="S233" i="15"/>
  <c r="S232" i="15"/>
  <c r="S231" i="15"/>
  <c r="S230" i="15"/>
  <c r="S229" i="15"/>
  <c r="S228" i="15"/>
  <c r="S227" i="15"/>
  <c r="S226" i="15"/>
  <c r="S225" i="15"/>
  <c r="S224" i="15"/>
  <c r="S223" i="15"/>
  <c r="S222" i="15"/>
  <c r="E211" i="14" l="1"/>
  <c r="G218" i="14"/>
  <c r="E219" i="14"/>
  <c r="G211" i="17"/>
  <c r="F211" i="87"/>
  <c r="J212" i="17"/>
  <c r="E212" i="17"/>
  <c r="H212" i="87"/>
  <c r="D213" i="17"/>
  <c r="C213" i="17"/>
  <c r="I213" i="87"/>
  <c r="G215" i="17"/>
  <c r="F215" i="87"/>
  <c r="J216" i="17"/>
  <c r="E216" i="17"/>
  <c r="H216" i="87"/>
  <c r="D217" i="17"/>
  <c r="C217" i="17"/>
  <c r="I217" i="87"/>
  <c r="G219" i="17"/>
  <c r="F219" i="87"/>
  <c r="J220" i="17"/>
  <c r="E220" i="17"/>
  <c r="H220" i="87"/>
  <c r="D221" i="17"/>
  <c r="C221" i="17"/>
  <c r="I221" i="87"/>
  <c r="G210" i="17"/>
  <c r="F210" i="87"/>
  <c r="J211" i="17"/>
  <c r="E211" i="17"/>
  <c r="H211" i="87"/>
  <c r="D212" i="17"/>
  <c r="C212" i="17"/>
  <c r="I212" i="87"/>
  <c r="G214" i="17"/>
  <c r="F214" i="87"/>
  <c r="J215" i="17"/>
  <c r="E215" i="17"/>
  <c r="H215" i="87"/>
  <c r="D216" i="17"/>
  <c r="C216" i="17"/>
  <c r="I216" i="87"/>
  <c r="G218" i="17"/>
  <c r="F218" i="87"/>
  <c r="J219" i="17"/>
  <c r="E219" i="17"/>
  <c r="H219" i="87"/>
  <c r="D220" i="17"/>
  <c r="C220" i="17"/>
  <c r="I220" i="87"/>
  <c r="J210" i="17"/>
  <c r="E210" i="17"/>
  <c r="H210" i="87"/>
  <c r="C211" i="17"/>
  <c r="D211" i="17"/>
  <c r="I211" i="87"/>
  <c r="G213" i="17"/>
  <c r="F213" i="87"/>
  <c r="J214" i="17"/>
  <c r="E214" i="17"/>
  <c r="H214" i="87"/>
  <c r="C215" i="17"/>
  <c r="D215" i="17"/>
  <c r="I215" i="87"/>
  <c r="G217" i="17"/>
  <c r="F217" i="87"/>
  <c r="J218" i="17"/>
  <c r="E218" i="17"/>
  <c r="H218" i="87"/>
  <c r="C219" i="17"/>
  <c r="D219" i="17"/>
  <c r="I219" i="87"/>
  <c r="C219" i="87" s="1"/>
  <c r="G221" i="17"/>
  <c r="F221" i="87"/>
  <c r="D210" i="17"/>
  <c r="C210" i="17"/>
  <c r="I210" i="87"/>
  <c r="G212" i="17"/>
  <c r="F212" i="87"/>
  <c r="J213" i="17"/>
  <c r="E213" i="17"/>
  <c r="H213" i="87"/>
  <c r="D214" i="17"/>
  <c r="C214" i="17"/>
  <c r="I214" i="87"/>
  <c r="G216" i="17"/>
  <c r="F216" i="87"/>
  <c r="J217" i="17"/>
  <c r="E217" i="17"/>
  <c r="H217" i="87"/>
  <c r="D218" i="17"/>
  <c r="C218" i="17"/>
  <c r="I218" i="87"/>
  <c r="G220" i="17"/>
  <c r="F220" i="87"/>
  <c r="G220" i="87" s="1"/>
  <c r="J221" i="17"/>
  <c r="E221" i="17"/>
  <c r="H221" i="87"/>
  <c r="C212" i="14"/>
  <c r="D212" i="14"/>
  <c r="C220" i="14"/>
  <c r="D220" i="14"/>
  <c r="E210" i="14"/>
  <c r="D210" i="14"/>
  <c r="C210" i="14"/>
  <c r="E213" i="14"/>
  <c r="D214" i="14"/>
  <c r="C214" i="14"/>
  <c r="E217" i="14"/>
  <c r="D218" i="14"/>
  <c r="C218" i="14"/>
  <c r="E221" i="14"/>
  <c r="J215" i="14"/>
  <c r="E215" i="14"/>
  <c r="C216" i="14"/>
  <c r="D216" i="14"/>
  <c r="D211" i="14"/>
  <c r="C211" i="14"/>
  <c r="E214" i="14"/>
  <c r="D215" i="14"/>
  <c r="C215" i="14"/>
  <c r="E218" i="14"/>
  <c r="D219" i="14"/>
  <c r="C219" i="14"/>
  <c r="E212" i="14"/>
  <c r="D213" i="14"/>
  <c r="C213" i="14"/>
  <c r="E216" i="14"/>
  <c r="D217" i="14"/>
  <c r="C217" i="14"/>
  <c r="E220" i="14"/>
  <c r="C221" i="14"/>
  <c r="D221" i="14"/>
  <c r="G221" i="14"/>
  <c r="G220" i="14"/>
  <c r="G219" i="14"/>
  <c r="D210" i="16"/>
  <c r="C210" i="16"/>
  <c r="D214" i="16"/>
  <c r="C214" i="16"/>
  <c r="E217" i="16"/>
  <c r="E221" i="16"/>
  <c r="E212" i="16"/>
  <c r="E216" i="16"/>
  <c r="E220" i="16"/>
  <c r="E211" i="16"/>
  <c r="D212" i="16"/>
  <c r="C212" i="16"/>
  <c r="E215" i="16"/>
  <c r="D216" i="16"/>
  <c r="C216" i="16"/>
  <c r="E219" i="16"/>
  <c r="D220" i="16"/>
  <c r="C220" i="16"/>
  <c r="D218" i="16"/>
  <c r="C218" i="16"/>
  <c r="D213" i="16"/>
  <c r="C213" i="16"/>
  <c r="D217" i="16"/>
  <c r="C217" i="16"/>
  <c r="D221" i="16"/>
  <c r="C221" i="16"/>
  <c r="E210" i="16"/>
  <c r="C211" i="16"/>
  <c r="D211" i="16"/>
  <c r="E214" i="16"/>
  <c r="C215" i="16"/>
  <c r="D215" i="16"/>
  <c r="E218" i="16"/>
  <c r="C219" i="16"/>
  <c r="D219" i="16"/>
  <c r="J216" i="14"/>
  <c r="J210" i="14"/>
  <c r="G212" i="14"/>
  <c r="J214" i="14"/>
  <c r="J211" i="14"/>
  <c r="J213" i="14"/>
  <c r="G210" i="14"/>
  <c r="G211" i="14"/>
  <c r="J212" i="14"/>
  <c r="G213" i="14"/>
  <c r="G214" i="14"/>
  <c r="G215" i="14"/>
  <c r="G216" i="14"/>
  <c r="J219" i="14"/>
  <c r="J220" i="14"/>
  <c r="J221" i="14"/>
  <c r="J218" i="14"/>
  <c r="J217" i="14"/>
  <c r="G217" i="14"/>
  <c r="I233" i="17"/>
  <c r="H233" i="17"/>
  <c r="F233" i="17"/>
  <c r="I232" i="17"/>
  <c r="H232" i="17"/>
  <c r="F232" i="17"/>
  <c r="I231" i="17"/>
  <c r="H231" i="17"/>
  <c r="F231" i="17"/>
  <c r="I230" i="17"/>
  <c r="H230" i="17"/>
  <c r="F230" i="17"/>
  <c r="I229" i="17"/>
  <c r="H229" i="17"/>
  <c r="F229" i="17"/>
  <c r="I228" i="17"/>
  <c r="H228" i="17"/>
  <c r="F228" i="17"/>
  <c r="I227" i="17"/>
  <c r="H227" i="17"/>
  <c r="F227" i="17"/>
  <c r="I226" i="17"/>
  <c r="H226" i="17"/>
  <c r="F226" i="17"/>
  <c r="I225" i="17"/>
  <c r="H225" i="17"/>
  <c r="F225" i="17"/>
  <c r="I224" i="17"/>
  <c r="H224" i="17"/>
  <c r="F224" i="17"/>
  <c r="I223" i="17"/>
  <c r="H223" i="17"/>
  <c r="F223" i="17"/>
  <c r="I222" i="17"/>
  <c r="H222" i="17"/>
  <c r="F222" i="17"/>
  <c r="AQ233" i="17"/>
  <c r="AQ232" i="17"/>
  <c r="AQ231" i="17"/>
  <c r="AQ230" i="17"/>
  <c r="AQ229" i="17"/>
  <c r="AQ228" i="17"/>
  <c r="AQ227" i="17"/>
  <c r="AQ226" i="17"/>
  <c r="AQ225" i="17"/>
  <c r="AQ224" i="17"/>
  <c r="AQ223" i="17"/>
  <c r="AQ222" i="17"/>
  <c r="S233" i="17"/>
  <c r="S232" i="17"/>
  <c r="S231" i="17"/>
  <c r="S230" i="17"/>
  <c r="S229" i="17"/>
  <c r="S228" i="17"/>
  <c r="S227" i="17"/>
  <c r="S226" i="17"/>
  <c r="S225" i="17"/>
  <c r="S224" i="17"/>
  <c r="S223" i="17"/>
  <c r="S222" i="17"/>
  <c r="AE233" i="17"/>
  <c r="AE232" i="17"/>
  <c r="AE231" i="17"/>
  <c r="AE230" i="17"/>
  <c r="AE229" i="17"/>
  <c r="AE228" i="17"/>
  <c r="AE227" i="17"/>
  <c r="AE226" i="17"/>
  <c r="AE225" i="17"/>
  <c r="AE224" i="17"/>
  <c r="AE223" i="17"/>
  <c r="AE222" i="17"/>
  <c r="E232" i="16"/>
  <c r="E231" i="16"/>
  <c r="E228" i="16"/>
  <c r="E227" i="16"/>
  <c r="E224" i="16"/>
  <c r="E223" i="16"/>
  <c r="S233" i="16"/>
  <c r="S232" i="16"/>
  <c r="S231" i="16"/>
  <c r="S230" i="16"/>
  <c r="S229" i="16"/>
  <c r="S228" i="16"/>
  <c r="S227" i="16"/>
  <c r="S226" i="16"/>
  <c r="S225" i="16"/>
  <c r="S224" i="16"/>
  <c r="S223" i="16"/>
  <c r="S222" i="16"/>
  <c r="AE233" i="16"/>
  <c r="AE232" i="16"/>
  <c r="AE231" i="16"/>
  <c r="AE230" i="16"/>
  <c r="AE229" i="16"/>
  <c r="AE228" i="16"/>
  <c r="AE227" i="16"/>
  <c r="AE226" i="16"/>
  <c r="AE225" i="16"/>
  <c r="AE224" i="16"/>
  <c r="AE223" i="16"/>
  <c r="AE222" i="16"/>
  <c r="AQ233" i="16"/>
  <c r="AQ232" i="16"/>
  <c r="AQ231" i="16"/>
  <c r="AQ230" i="16"/>
  <c r="AQ229" i="16"/>
  <c r="AQ228" i="16"/>
  <c r="AQ227" i="16"/>
  <c r="AQ226" i="16"/>
  <c r="AQ225" i="16"/>
  <c r="AQ224" i="16"/>
  <c r="AQ223" i="16"/>
  <c r="AQ222" i="16"/>
  <c r="BC233" i="16"/>
  <c r="BC232" i="16"/>
  <c r="BC231" i="16"/>
  <c r="BC230" i="16"/>
  <c r="BC229" i="16"/>
  <c r="BC228" i="16"/>
  <c r="BC227" i="16"/>
  <c r="BC226" i="16"/>
  <c r="BC225" i="16"/>
  <c r="BC224" i="16"/>
  <c r="BC223" i="16"/>
  <c r="BC222" i="16"/>
  <c r="BO233" i="16"/>
  <c r="BO232" i="16"/>
  <c r="BO231" i="16"/>
  <c r="BO230" i="16"/>
  <c r="BO229" i="16"/>
  <c r="BO228" i="16"/>
  <c r="BO227" i="16"/>
  <c r="BO226" i="16"/>
  <c r="BO225" i="16"/>
  <c r="BO224" i="16"/>
  <c r="BO223" i="16"/>
  <c r="BO222" i="16"/>
  <c r="V231" i="16"/>
  <c r="V230" i="16"/>
  <c r="V229" i="16"/>
  <c r="V228" i="16"/>
  <c r="V227" i="16"/>
  <c r="V226" i="16"/>
  <c r="AH230" i="16"/>
  <c r="AH229" i="16"/>
  <c r="AT229" i="16"/>
  <c r="G212" i="87" l="1"/>
  <c r="G216" i="87"/>
  <c r="G214" i="87"/>
  <c r="G210" i="87"/>
  <c r="G222" i="17"/>
  <c r="J223" i="17"/>
  <c r="E223" i="17"/>
  <c r="D224" i="17"/>
  <c r="C224" i="17"/>
  <c r="G226" i="17"/>
  <c r="J227" i="17"/>
  <c r="E227" i="17"/>
  <c r="D228" i="17"/>
  <c r="C228" i="17"/>
  <c r="G230" i="17"/>
  <c r="J231" i="17"/>
  <c r="E231" i="17"/>
  <c r="D232" i="17"/>
  <c r="C232" i="17"/>
  <c r="E221" i="87"/>
  <c r="J221" i="87"/>
  <c r="J217" i="87"/>
  <c r="E217" i="87"/>
  <c r="J213" i="87"/>
  <c r="E213" i="87"/>
  <c r="G221" i="87"/>
  <c r="G217" i="87"/>
  <c r="G213" i="87"/>
  <c r="D220" i="87"/>
  <c r="C220" i="87"/>
  <c r="D216" i="87"/>
  <c r="C216" i="87"/>
  <c r="D212" i="87"/>
  <c r="C212" i="87"/>
  <c r="C221" i="87"/>
  <c r="D221" i="87"/>
  <c r="C217" i="87"/>
  <c r="D217" i="87"/>
  <c r="D213" i="87"/>
  <c r="C213" i="87"/>
  <c r="J222" i="17"/>
  <c r="E222" i="17"/>
  <c r="C223" i="17"/>
  <c r="D223" i="17"/>
  <c r="G225" i="17"/>
  <c r="J226" i="17"/>
  <c r="E226" i="17"/>
  <c r="C227" i="17"/>
  <c r="D227" i="17"/>
  <c r="G229" i="17"/>
  <c r="J230" i="17"/>
  <c r="E230" i="17"/>
  <c r="C231" i="17"/>
  <c r="D231" i="17"/>
  <c r="G233" i="17"/>
  <c r="C218" i="87"/>
  <c r="D218" i="87"/>
  <c r="D214" i="87"/>
  <c r="C214" i="87"/>
  <c r="D210" i="87"/>
  <c r="C210" i="87"/>
  <c r="G218" i="87"/>
  <c r="E218" i="87"/>
  <c r="J218" i="87"/>
  <c r="J214" i="87"/>
  <c r="E214" i="87"/>
  <c r="J210" i="87"/>
  <c r="E210" i="87"/>
  <c r="D222" i="17"/>
  <c r="C222" i="17"/>
  <c r="G224" i="17"/>
  <c r="J225" i="17"/>
  <c r="E225" i="17"/>
  <c r="D226" i="17"/>
  <c r="C226" i="17"/>
  <c r="G228" i="17"/>
  <c r="J229" i="17"/>
  <c r="E229" i="17"/>
  <c r="D230" i="17"/>
  <c r="C230" i="17"/>
  <c r="G232" i="17"/>
  <c r="J233" i="17"/>
  <c r="E233" i="17"/>
  <c r="D215" i="87"/>
  <c r="C215" i="87"/>
  <c r="D211" i="87"/>
  <c r="C211" i="87"/>
  <c r="G219" i="87"/>
  <c r="G215" i="87"/>
  <c r="G211" i="87"/>
  <c r="G223" i="17"/>
  <c r="J224" i="17"/>
  <c r="E224" i="17"/>
  <c r="D225" i="17"/>
  <c r="C225" i="17"/>
  <c r="G227" i="17"/>
  <c r="J228" i="17"/>
  <c r="E228" i="17"/>
  <c r="D229" i="17"/>
  <c r="C229" i="17"/>
  <c r="G231" i="17"/>
  <c r="J232" i="17"/>
  <c r="E232" i="17"/>
  <c r="D233" i="17"/>
  <c r="C233" i="17"/>
  <c r="D219" i="87"/>
  <c r="E219" i="87"/>
  <c r="J219" i="87"/>
  <c r="J215" i="87"/>
  <c r="E215" i="87"/>
  <c r="E211" i="87"/>
  <c r="J211" i="87"/>
  <c r="J220" i="87"/>
  <c r="E220" i="87"/>
  <c r="J216" i="87"/>
  <c r="E216" i="87"/>
  <c r="J212" i="87"/>
  <c r="E212" i="87"/>
  <c r="C222" i="16"/>
  <c r="D222" i="16"/>
  <c r="E225" i="16"/>
  <c r="D226" i="16"/>
  <c r="C226" i="16"/>
  <c r="E229" i="16"/>
  <c r="D230" i="16"/>
  <c r="C230" i="16"/>
  <c r="E233" i="16"/>
  <c r="D224" i="16"/>
  <c r="C224" i="16"/>
  <c r="D228" i="16"/>
  <c r="C228" i="16"/>
  <c r="D232" i="16"/>
  <c r="C232" i="16"/>
  <c r="E222" i="16"/>
  <c r="C223" i="16"/>
  <c r="D223" i="16"/>
  <c r="E226" i="16"/>
  <c r="C227" i="16"/>
  <c r="D227" i="16"/>
  <c r="E230" i="16"/>
  <c r="C231" i="16"/>
  <c r="D231" i="16"/>
  <c r="D225" i="16"/>
  <c r="C225" i="16"/>
  <c r="C229" i="16"/>
  <c r="D229" i="16"/>
  <c r="D233" i="16"/>
  <c r="C233" i="16"/>
  <c r="I233" i="14"/>
  <c r="I233" i="87" s="1"/>
  <c r="H233" i="14"/>
  <c r="F233" i="14"/>
  <c r="F233" i="87" s="1"/>
  <c r="I232" i="14"/>
  <c r="I232" i="87" s="1"/>
  <c r="H232" i="14"/>
  <c r="H232" i="87" s="1"/>
  <c r="F232" i="14"/>
  <c r="F232" i="87" s="1"/>
  <c r="I231" i="14"/>
  <c r="I231" i="87" s="1"/>
  <c r="H231" i="14"/>
  <c r="H231" i="87" s="1"/>
  <c r="F231" i="14"/>
  <c r="F231" i="87" s="1"/>
  <c r="I230" i="14"/>
  <c r="I230" i="87" s="1"/>
  <c r="H230" i="14"/>
  <c r="H230" i="87" s="1"/>
  <c r="F230" i="14"/>
  <c r="F230" i="87" s="1"/>
  <c r="I229" i="14"/>
  <c r="I229" i="87" s="1"/>
  <c r="H229" i="14"/>
  <c r="F229" i="14"/>
  <c r="F229" i="87" s="1"/>
  <c r="I228" i="14"/>
  <c r="I228" i="87" s="1"/>
  <c r="H228" i="14"/>
  <c r="H228" i="87" s="1"/>
  <c r="F228" i="14"/>
  <c r="F228" i="87" s="1"/>
  <c r="I227" i="14"/>
  <c r="I227" i="87" s="1"/>
  <c r="H227" i="14"/>
  <c r="H227" i="87" s="1"/>
  <c r="F227" i="14"/>
  <c r="F227" i="87" s="1"/>
  <c r="I226" i="14"/>
  <c r="I226" i="87" s="1"/>
  <c r="H226" i="14"/>
  <c r="H226" i="87" s="1"/>
  <c r="F226" i="14"/>
  <c r="F226" i="87" s="1"/>
  <c r="I225" i="14"/>
  <c r="I225" i="87" s="1"/>
  <c r="H225" i="14"/>
  <c r="F225" i="14"/>
  <c r="F225" i="87" s="1"/>
  <c r="I224" i="14"/>
  <c r="I224" i="87" s="1"/>
  <c r="H224" i="14"/>
  <c r="H224" i="87" s="1"/>
  <c r="F224" i="14"/>
  <c r="F224" i="87" s="1"/>
  <c r="I223" i="14"/>
  <c r="I223" i="87" s="1"/>
  <c r="H223" i="14"/>
  <c r="H223" i="87" s="1"/>
  <c r="F223" i="14"/>
  <c r="F223" i="87" s="1"/>
  <c r="I222" i="14"/>
  <c r="H222" i="14"/>
  <c r="H222" i="87" s="1"/>
  <c r="F222" i="14"/>
  <c r="F222" i="87" s="1"/>
  <c r="F234" i="14"/>
  <c r="H234" i="14"/>
  <c r="I234" i="14"/>
  <c r="F235" i="14"/>
  <c r="H235" i="14"/>
  <c r="I235" i="14"/>
  <c r="F236" i="14"/>
  <c r="H236" i="14"/>
  <c r="I236" i="14"/>
  <c r="F237" i="14"/>
  <c r="H237" i="14"/>
  <c r="I237" i="14"/>
  <c r="F238" i="14"/>
  <c r="H238" i="14"/>
  <c r="I238" i="14"/>
  <c r="F239" i="14"/>
  <c r="H239" i="14"/>
  <c r="I239" i="14"/>
  <c r="F240" i="14"/>
  <c r="H240" i="14"/>
  <c r="I240" i="14"/>
  <c r="F241" i="14"/>
  <c r="H241" i="14"/>
  <c r="I241" i="14"/>
  <c r="F242" i="14"/>
  <c r="H242" i="14"/>
  <c r="I242" i="14"/>
  <c r="F243" i="14"/>
  <c r="H243" i="14"/>
  <c r="I243" i="14"/>
  <c r="F244" i="14"/>
  <c r="H244" i="14"/>
  <c r="I244" i="14"/>
  <c r="F245" i="14"/>
  <c r="H245" i="14"/>
  <c r="I245" i="14"/>
  <c r="S233" i="14"/>
  <c r="S232" i="14"/>
  <c r="S231" i="14"/>
  <c r="S230" i="14"/>
  <c r="S229" i="14"/>
  <c r="S228" i="14"/>
  <c r="S227" i="14"/>
  <c r="S226" i="14"/>
  <c r="S225" i="14"/>
  <c r="S224" i="14"/>
  <c r="S223" i="14"/>
  <c r="S222" i="14"/>
  <c r="AE233" i="14"/>
  <c r="AE232" i="14"/>
  <c r="AE231" i="14"/>
  <c r="AE230" i="14"/>
  <c r="AE229" i="14"/>
  <c r="AE228" i="14"/>
  <c r="AE227" i="14"/>
  <c r="AE226" i="14"/>
  <c r="AE225" i="14"/>
  <c r="AE224" i="14"/>
  <c r="AE223" i="14"/>
  <c r="AE222" i="14"/>
  <c r="AQ233" i="14"/>
  <c r="AQ232" i="14"/>
  <c r="AQ231" i="14"/>
  <c r="AQ230" i="14"/>
  <c r="AQ229" i="14"/>
  <c r="AQ228" i="14"/>
  <c r="AQ227" i="14"/>
  <c r="AQ226" i="14"/>
  <c r="AQ225" i="14"/>
  <c r="AQ224" i="14"/>
  <c r="AQ223" i="14"/>
  <c r="AQ222" i="14"/>
  <c r="I222" i="87" l="1"/>
  <c r="D222" i="87" s="1"/>
  <c r="E229" i="14"/>
  <c r="E233" i="14"/>
  <c r="E243" i="14"/>
  <c r="E239" i="14"/>
  <c r="E235" i="14"/>
  <c r="E242" i="14"/>
  <c r="E238" i="14"/>
  <c r="E234" i="14"/>
  <c r="E225" i="14"/>
  <c r="D231" i="87"/>
  <c r="G228" i="87"/>
  <c r="G232" i="87"/>
  <c r="G223" i="87"/>
  <c r="G227" i="87"/>
  <c r="G222" i="87"/>
  <c r="E223" i="87"/>
  <c r="J223" i="87"/>
  <c r="D224" i="87"/>
  <c r="C224" i="87"/>
  <c r="G226" i="87"/>
  <c r="E227" i="87"/>
  <c r="J227" i="87"/>
  <c r="D228" i="87"/>
  <c r="C228" i="87"/>
  <c r="C230" i="87"/>
  <c r="G230" i="87"/>
  <c r="J231" i="87"/>
  <c r="E231" i="87"/>
  <c r="C232" i="87"/>
  <c r="D232" i="87"/>
  <c r="E222" i="87"/>
  <c r="J222" i="87"/>
  <c r="J226" i="87"/>
  <c r="E226" i="87"/>
  <c r="C227" i="87"/>
  <c r="D227" i="87"/>
  <c r="J230" i="87"/>
  <c r="E230" i="87"/>
  <c r="C233" i="87"/>
  <c r="D223" i="87"/>
  <c r="C223" i="87"/>
  <c r="G224" i="87"/>
  <c r="D226" i="87"/>
  <c r="C226" i="87"/>
  <c r="D230" i="87"/>
  <c r="J224" i="87"/>
  <c r="E224" i="87"/>
  <c r="C225" i="87"/>
  <c r="E228" i="87"/>
  <c r="J228" i="87"/>
  <c r="C229" i="87"/>
  <c r="C231" i="87"/>
  <c r="G231" i="87"/>
  <c r="E232" i="87"/>
  <c r="J232" i="87"/>
  <c r="E244" i="14"/>
  <c r="E240" i="14"/>
  <c r="E236" i="14"/>
  <c r="H233" i="87"/>
  <c r="G233" i="87" s="1"/>
  <c r="H229" i="87"/>
  <c r="D229" i="87" s="1"/>
  <c r="H225" i="87"/>
  <c r="C233" i="14"/>
  <c r="D233" i="14"/>
  <c r="C245" i="14"/>
  <c r="D245" i="14"/>
  <c r="C241" i="14"/>
  <c r="D241" i="14"/>
  <c r="C237" i="14"/>
  <c r="D237" i="14"/>
  <c r="E223" i="14"/>
  <c r="D224" i="14"/>
  <c r="C224" i="14"/>
  <c r="E227" i="14"/>
  <c r="D228" i="14"/>
  <c r="C228" i="14"/>
  <c r="E231" i="14"/>
  <c r="D232" i="14"/>
  <c r="C232" i="14"/>
  <c r="C243" i="14"/>
  <c r="D243" i="14"/>
  <c r="D239" i="14"/>
  <c r="C239" i="14"/>
  <c r="D235" i="14"/>
  <c r="C235" i="14"/>
  <c r="D222" i="14"/>
  <c r="C222" i="14"/>
  <c r="D226" i="14"/>
  <c r="C226" i="14"/>
  <c r="D230" i="14"/>
  <c r="C230" i="14"/>
  <c r="D244" i="14"/>
  <c r="C244" i="14"/>
  <c r="D240" i="14"/>
  <c r="C240" i="14"/>
  <c r="C236" i="14"/>
  <c r="D236" i="14"/>
  <c r="E224" i="14"/>
  <c r="C225" i="14"/>
  <c r="D225" i="14"/>
  <c r="E228" i="14"/>
  <c r="C229" i="14"/>
  <c r="D229" i="14"/>
  <c r="E232" i="14"/>
  <c r="E245" i="14"/>
  <c r="D242" i="14"/>
  <c r="C242" i="14"/>
  <c r="E241" i="14"/>
  <c r="D238" i="14"/>
  <c r="C238" i="14"/>
  <c r="E237" i="14"/>
  <c r="D234" i="14"/>
  <c r="C234" i="14"/>
  <c r="E222" i="14"/>
  <c r="D223" i="14"/>
  <c r="C223" i="14"/>
  <c r="E226" i="14"/>
  <c r="C227" i="14"/>
  <c r="D227" i="14"/>
  <c r="E230" i="14"/>
  <c r="D231" i="14"/>
  <c r="C231" i="14"/>
  <c r="G245" i="14"/>
  <c r="J242" i="14"/>
  <c r="J245" i="14"/>
  <c r="J240" i="14"/>
  <c r="J236" i="14"/>
  <c r="G223" i="14"/>
  <c r="J224" i="14"/>
  <c r="G227" i="14"/>
  <c r="J228" i="14"/>
  <c r="G231" i="14"/>
  <c r="J232" i="14"/>
  <c r="G238" i="14"/>
  <c r="J244" i="14"/>
  <c r="G243" i="14"/>
  <c r="G240" i="14"/>
  <c r="J238" i="14"/>
  <c r="G236" i="14"/>
  <c r="J234" i="14"/>
  <c r="G225" i="14"/>
  <c r="G237" i="14"/>
  <c r="J243" i="14"/>
  <c r="J241" i="14"/>
  <c r="G239" i="14"/>
  <c r="G235" i="14"/>
  <c r="J226" i="14"/>
  <c r="G229" i="14"/>
  <c r="J230" i="14"/>
  <c r="G233" i="14"/>
  <c r="G244" i="14"/>
  <c r="G242" i="14"/>
  <c r="G241" i="14"/>
  <c r="J239" i="14"/>
  <c r="J237" i="14"/>
  <c r="J235" i="14"/>
  <c r="G222" i="14"/>
  <c r="J223" i="14"/>
  <c r="G224" i="14"/>
  <c r="J225" i="14"/>
  <c r="G226" i="14"/>
  <c r="J227" i="14"/>
  <c r="G228" i="14"/>
  <c r="J229" i="14"/>
  <c r="G230" i="14"/>
  <c r="J231" i="14"/>
  <c r="G232" i="14"/>
  <c r="J233" i="14"/>
  <c r="G234" i="14"/>
  <c r="J222" i="14"/>
  <c r="I281" i="14"/>
  <c r="H281" i="14"/>
  <c r="F281" i="14"/>
  <c r="I280" i="14"/>
  <c r="H280" i="14"/>
  <c r="F280" i="14"/>
  <c r="I279" i="14"/>
  <c r="H279" i="14"/>
  <c r="F279" i="14"/>
  <c r="I278" i="14"/>
  <c r="H278" i="14"/>
  <c r="F278" i="14"/>
  <c r="I277" i="14"/>
  <c r="H277" i="14"/>
  <c r="F277" i="14"/>
  <c r="I276" i="14"/>
  <c r="H276" i="14"/>
  <c r="F276" i="14"/>
  <c r="I275" i="14"/>
  <c r="H275" i="14"/>
  <c r="F275" i="14"/>
  <c r="I274" i="14"/>
  <c r="H274" i="14"/>
  <c r="F274" i="14"/>
  <c r="I273" i="14"/>
  <c r="H273" i="14"/>
  <c r="F273" i="14"/>
  <c r="I272" i="14"/>
  <c r="H272" i="14"/>
  <c r="F272" i="14"/>
  <c r="I271" i="14"/>
  <c r="H271" i="14"/>
  <c r="F271" i="14"/>
  <c r="I270" i="14"/>
  <c r="H270" i="14"/>
  <c r="F270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AQ245" i="14"/>
  <c r="AQ244" i="14"/>
  <c r="AQ243" i="14"/>
  <c r="AQ242" i="14"/>
  <c r="AQ241" i="14"/>
  <c r="AQ240" i="14"/>
  <c r="AQ239" i="14"/>
  <c r="AQ238" i="14"/>
  <c r="AQ237" i="14"/>
  <c r="AQ236" i="14"/>
  <c r="AQ235" i="14"/>
  <c r="AQ234" i="14"/>
  <c r="AE245" i="14"/>
  <c r="AE244" i="14"/>
  <c r="AE243" i="14"/>
  <c r="AE242" i="14"/>
  <c r="AE241" i="14"/>
  <c r="AE240" i="14"/>
  <c r="AE239" i="14"/>
  <c r="AE238" i="14"/>
  <c r="AE237" i="14"/>
  <c r="AE236" i="14"/>
  <c r="AE235" i="14"/>
  <c r="AE234" i="14"/>
  <c r="S245" i="14"/>
  <c r="S244" i="14"/>
  <c r="S243" i="14"/>
  <c r="S242" i="14"/>
  <c r="S241" i="14"/>
  <c r="S240" i="14"/>
  <c r="S239" i="14"/>
  <c r="S238" i="14"/>
  <c r="S237" i="14"/>
  <c r="S236" i="14"/>
  <c r="S235" i="14"/>
  <c r="S234" i="14"/>
  <c r="AT161" i="14"/>
  <c r="AH161" i="14"/>
  <c r="V161" i="14"/>
  <c r="AT160" i="14"/>
  <c r="AH160" i="14"/>
  <c r="V160" i="14"/>
  <c r="AT159" i="14"/>
  <c r="AH159" i="14"/>
  <c r="V159" i="14"/>
  <c r="AT158" i="14"/>
  <c r="AH158" i="14"/>
  <c r="V158" i="14"/>
  <c r="AT157" i="14"/>
  <c r="AH157" i="14"/>
  <c r="V157" i="14"/>
  <c r="AT156" i="14"/>
  <c r="AH156" i="14"/>
  <c r="V156" i="14"/>
  <c r="AT155" i="14"/>
  <c r="AH155" i="14"/>
  <c r="V155" i="14"/>
  <c r="AT154" i="14"/>
  <c r="AH154" i="14"/>
  <c r="V154" i="14"/>
  <c r="AT153" i="14"/>
  <c r="AH153" i="14"/>
  <c r="V153" i="14"/>
  <c r="AT152" i="14"/>
  <c r="AH152" i="14"/>
  <c r="V152" i="14"/>
  <c r="AT151" i="14"/>
  <c r="AH151" i="14"/>
  <c r="V151" i="14"/>
  <c r="AT150" i="14"/>
  <c r="AH150" i="14"/>
  <c r="V150" i="14"/>
  <c r="AT173" i="14"/>
  <c r="AH173" i="14"/>
  <c r="V173" i="14"/>
  <c r="AT172" i="14"/>
  <c r="AH172" i="14"/>
  <c r="V172" i="14"/>
  <c r="AT171" i="14"/>
  <c r="AH171" i="14"/>
  <c r="V171" i="14"/>
  <c r="AT170" i="14"/>
  <c r="AH170" i="14"/>
  <c r="V170" i="14"/>
  <c r="AT169" i="14"/>
  <c r="AH169" i="14"/>
  <c r="V169" i="14"/>
  <c r="AT168" i="14"/>
  <c r="AH168" i="14"/>
  <c r="V168" i="14"/>
  <c r="AT167" i="14"/>
  <c r="AH167" i="14"/>
  <c r="V167" i="14"/>
  <c r="AT166" i="14"/>
  <c r="AH166" i="14"/>
  <c r="V166" i="14"/>
  <c r="AT165" i="14"/>
  <c r="AH165" i="14"/>
  <c r="V165" i="14"/>
  <c r="AT164" i="14"/>
  <c r="AH164" i="14"/>
  <c r="V164" i="14"/>
  <c r="AT163" i="14"/>
  <c r="AH163" i="14"/>
  <c r="V163" i="14"/>
  <c r="AT162" i="14"/>
  <c r="AH162" i="14"/>
  <c r="V162" i="14"/>
  <c r="AT185" i="14"/>
  <c r="AH185" i="14"/>
  <c r="V185" i="14"/>
  <c r="AT184" i="14"/>
  <c r="AH184" i="14"/>
  <c r="V184" i="14"/>
  <c r="AT183" i="14"/>
  <c r="AH183" i="14"/>
  <c r="V183" i="14"/>
  <c r="AT182" i="14"/>
  <c r="AH182" i="14"/>
  <c r="V182" i="14"/>
  <c r="AT181" i="14"/>
  <c r="AH181" i="14"/>
  <c r="V181" i="14"/>
  <c r="AT180" i="14"/>
  <c r="AH180" i="14"/>
  <c r="V180" i="14"/>
  <c r="AT179" i="14"/>
  <c r="AH179" i="14"/>
  <c r="V179" i="14"/>
  <c r="AT178" i="14"/>
  <c r="AH178" i="14"/>
  <c r="V178" i="14"/>
  <c r="AT177" i="14"/>
  <c r="AH177" i="14"/>
  <c r="V177" i="14"/>
  <c r="AT176" i="14"/>
  <c r="AH176" i="14"/>
  <c r="V176" i="14"/>
  <c r="AT175" i="14"/>
  <c r="AH175" i="14"/>
  <c r="V175" i="14"/>
  <c r="AT174" i="14"/>
  <c r="AH174" i="14"/>
  <c r="V174" i="14"/>
  <c r="AT197" i="14"/>
  <c r="AH197" i="14"/>
  <c r="V197" i="14"/>
  <c r="AT196" i="14"/>
  <c r="AH196" i="14"/>
  <c r="V196" i="14"/>
  <c r="AT195" i="14"/>
  <c r="AH195" i="14"/>
  <c r="V195" i="14"/>
  <c r="AT194" i="14"/>
  <c r="AH194" i="14"/>
  <c r="V194" i="14"/>
  <c r="AT193" i="14"/>
  <c r="AH193" i="14"/>
  <c r="V193" i="14"/>
  <c r="AT192" i="14"/>
  <c r="AH192" i="14"/>
  <c r="V192" i="14"/>
  <c r="AT191" i="14"/>
  <c r="AH191" i="14"/>
  <c r="V191" i="14"/>
  <c r="AT190" i="14"/>
  <c r="AH190" i="14"/>
  <c r="V190" i="14"/>
  <c r="AT189" i="14"/>
  <c r="AH189" i="14"/>
  <c r="V189" i="14"/>
  <c r="AT188" i="14"/>
  <c r="AH188" i="14"/>
  <c r="V188" i="14"/>
  <c r="AT187" i="14"/>
  <c r="AH187" i="14"/>
  <c r="V187" i="14"/>
  <c r="AT186" i="14"/>
  <c r="AH186" i="14"/>
  <c r="V186" i="14"/>
  <c r="AT209" i="14"/>
  <c r="AH209" i="14"/>
  <c r="V209" i="14"/>
  <c r="AT208" i="14"/>
  <c r="AH208" i="14"/>
  <c r="V208" i="14"/>
  <c r="AT207" i="14"/>
  <c r="AH207" i="14"/>
  <c r="V207" i="14"/>
  <c r="AT206" i="14"/>
  <c r="AH206" i="14"/>
  <c r="V206" i="14"/>
  <c r="AT205" i="14"/>
  <c r="AH205" i="14"/>
  <c r="V205" i="14"/>
  <c r="AT204" i="14"/>
  <c r="AH204" i="14"/>
  <c r="V204" i="14"/>
  <c r="AT203" i="14"/>
  <c r="AH203" i="14"/>
  <c r="V203" i="14"/>
  <c r="AT202" i="14"/>
  <c r="AH202" i="14"/>
  <c r="V202" i="14"/>
  <c r="AT201" i="14"/>
  <c r="AH201" i="14"/>
  <c r="V201" i="14"/>
  <c r="AT200" i="14"/>
  <c r="AH200" i="14"/>
  <c r="V200" i="14"/>
  <c r="AT199" i="14"/>
  <c r="AH199" i="14"/>
  <c r="V199" i="14"/>
  <c r="AT198" i="14"/>
  <c r="AH198" i="14"/>
  <c r="V198" i="14"/>
  <c r="AT221" i="14"/>
  <c r="AH221" i="14"/>
  <c r="V221" i="14"/>
  <c r="AT220" i="14"/>
  <c r="AH220" i="14"/>
  <c r="V220" i="14"/>
  <c r="AT219" i="14"/>
  <c r="AH219" i="14"/>
  <c r="V219" i="14"/>
  <c r="AT218" i="14"/>
  <c r="AH218" i="14"/>
  <c r="V218" i="14"/>
  <c r="AT217" i="14"/>
  <c r="AH217" i="14"/>
  <c r="V217" i="14"/>
  <c r="AT216" i="14"/>
  <c r="AH216" i="14"/>
  <c r="V216" i="14"/>
  <c r="AT215" i="14"/>
  <c r="AH215" i="14"/>
  <c r="V215" i="14"/>
  <c r="AT214" i="14"/>
  <c r="AH214" i="14"/>
  <c r="V214" i="14"/>
  <c r="AT213" i="14"/>
  <c r="AH213" i="14"/>
  <c r="V213" i="14"/>
  <c r="AT212" i="14"/>
  <c r="AH212" i="14"/>
  <c r="V212" i="14"/>
  <c r="AT211" i="14"/>
  <c r="AH211" i="14"/>
  <c r="V211" i="14"/>
  <c r="AT210" i="14"/>
  <c r="AH210" i="14"/>
  <c r="V210" i="14"/>
  <c r="AT233" i="14"/>
  <c r="AH233" i="14"/>
  <c r="V233" i="14"/>
  <c r="AT232" i="14"/>
  <c r="AH232" i="14"/>
  <c r="V232" i="14"/>
  <c r="AT231" i="14"/>
  <c r="AH231" i="14"/>
  <c r="V231" i="14"/>
  <c r="AT230" i="14"/>
  <c r="AH230" i="14"/>
  <c r="V230" i="14"/>
  <c r="AT229" i="14"/>
  <c r="AH229" i="14"/>
  <c r="V229" i="14"/>
  <c r="AT228" i="14"/>
  <c r="AH228" i="14"/>
  <c r="V228" i="14"/>
  <c r="AT227" i="14"/>
  <c r="AH227" i="14"/>
  <c r="V227" i="14"/>
  <c r="AT226" i="14"/>
  <c r="AH226" i="14"/>
  <c r="V226" i="14"/>
  <c r="AT225" i="14"/>
  <c r="AH225" i="14"/>
  <c r="V225" i="14"/>
  <c r="AT224" i="14"/>
  <c r="AH224" i="14"/>
  <c r="V224" i="14"/>
  <c r="AT223" i="14"/>
  <c r="AH223" i="14"/>
  <c r="V223" i="14"/>
  <c r="AT222" i="14"/>
  <c r="AH222" i="14"/>
  <c r="V222" i="14"/>
  <c r="AT245" i="14"/>
  <c r="AT244" i="14"/>
  <c r="AT243" i="14"/>
  <c r="AT242" i="14"/>
  <c r="AT241" i="14"/>
  <c r="AT240" i="14"/>
  <c r="AT239" i="14"/>
  <c r="AT238" i="14"/>
  <c r="AT237" i="14"/>
  <c r="AT236" i="14"/>
  <c r="AT235" i="14"/>
  <c r="AT234" i="14"/>
  <c r="AH245" i="14"/>
  <c r="AH244" i="14"/>
  <c r="AH243" i="14"/>
  <c r="AH242" i="14"/>
  <c r="AH241" i="14"/>
  <c r="AH240" i="14"/>
  <c r="AH239" i="14"/>
  <c r="AH238" i="14"/>
  <c r="AH237" i="14"/>
  <c r="AH236" i="14"/>
  <c r="AH235" i="14"/>
  <c r="AH234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DK245" i="15"/>
  <c r="DK244" i="15"/>
  <c r="DK243" i="15"/>
  <c r="DK242" i="15"/>
  <c r="DK241" i="15"/>
  <c r="DK240" i="15"/>
  <c r="DK239" i="15"/>
  <c r="DK238" i="15"/>
  <c r="DK237" i="15"/>
  <c r="DK236" i="15"/>
  <c r="DK235" i="15"/>
  <c r="DK234" i="15"/>
  <c r="CY245" i="15"/>
  <c r="CY244" i="15"/>
  <c r="CY243" i="15"/>
  <c r="CY242" i="15"/>
  <c r="CY241" i="15"/>
  <c r="CY240" i="15"/>
  <c r="CY239" i="15"/>
  <c r="CY238" i="15"/>
  <c r="CY237" i="15"/>
  <c r="CY236" i="15"/>
  <c r="CY235" i="15"/>
  <c r="CY234" i="15"/>
  <c r="CA245" i="15"/>
  <c r="CA244" i="15"/>
  <c r="CA243" i="15"/>
  <c r="CA242" i="15"/>
  <c r="CA241" i="15"/>
  <c r="CA240" i="15"/>
  <c r="CA239" i="15"/>
  <c r="CA238" i="15"/>
  <c r="CA237" i="15"/>
  <c r="CA236" i="15"/>
  <c r="CA235" i="15"/>
  <c r="CA234" i="15"/>
  <c r="BO245" i="15"/>
  <c r="BO244" i="15"/>
  <c r="BO243" i="15"/>
  <c r="BO242" i="15"/>
  <c r="BO241" i="15"/>
  <c r="BO240" i="15"/>
  <c r="BO239" i="15"/>
  <c r="BO238" i="15"/>
  <c r="BO237" i="15"/>
  <c r="BO236" i="15"/>
  <c r="BO235" i="15"/>
  <c r="BO234" i="15"/>
  <c r="BC245" i="15"/>
  <c r="BC244" i="15"/>
  <c r="BC243" i="15"/>
  <c r="BC242" i="15"/>
  <c r="BC241" i="15"/>
  <c r="BC240" i="15"/>
  <c r="BC239" i="15"/>
  <c r="BC238" i="15"/>
  <c r="BC237" i="15"/>
  <c r="BC236" i="15"/>
  <c r="BC235" i="15"/>
  <c r="BC234" i="15"/>
  <c r="AQ245" i="15"/>
  <c r="AQ244" i="15"/>
  <c r="AQ243" i="15"/>
  <c r="AQ242" i="15"/>
  <c r="AQ241" i="15"/>
  <c r="AQ240" i="15"/>
  <c r="AQ239" i="15"/>
  <c r="AQ238" i="15"/>
  <c r="AQ237" i="15"/>
  <c r="AQ236" i="15"/>
  <c r="AQ235" i="15"/>
  <c r="AQ234" i="15"/>
  <c r="S245" i="15"/>
  <c r="S244" i="15"/>
  <c r="S243" i="15"/>
  <c r="S242" i="15"/>
  <c r="S241" i="15"/>
  <c r="S240" i="15"/>
  <c r="S239" i="15"/>
  <c r="S238" i="15"/>
  <c r="S237" i="15"/>
  <c r="S236" i="15"/>
  <c r="S235" i="15"/>
  <c r="S234" i="15"/>
  <c r="I245" i="17"/>
  <c r="H245" i="17"/>
  <c r="F245" i="17"/>
  <c r="I244" i="17"/>
  <c r="H244" i="17"/>
  <c r="F244" i="17"/>
  <c r="I243" i="17"/>
  <c r="H243" i="17"/>
  <c r="F243" i="17"/>
  <c r="I242" i="17"/>
  <c r="H242" i="17"/>
  <c r="F242" i="17"/>
  <c r="I241" i="17"/>
  <c r="H241" i="17"/>
  <c r="F241" i="17"/>
  <c r="I240" i="17"/>
  <c r="H240" i="17"/>
  <c r="F240" i="17"/>
  <c r="I239" i="17"/>
  <c r="H239" i="17"/>
  <c r="F239" i="17"/>
  <c r="I238" i="17"/>
  <c r="H238" i="17"/>
  <c r="F238" i="17"/>
  <c r="I237" i="17"/>
  <c r="H237" i="17"/>
  <c r="F237" i="17"/>
  <c r="I236" i="17"/>
  <c r="H236" i="17"/>
  <c r="F236" i="17"/>
  <c r="I235" i="17"/>
  <c r="H235" i="17"/>
  <c r="F235" i="17"/>
  <c r="I234" i="17"/>
  <c r="H234" i="17"/>
  <c r="F234" i="17"/>
  <c r="AQ245" i="17"/>
  <c r="AQ244" i="17"/>
  <c r="AQ243" i="17"/>
  <c r="AQ242" i="17"/>
  <c r="AQ241" i="17"/>
  <c r="AQ240" i="17"/>
  <c r="AQ239" i="17"/>
  <c r="AQ238" i="17"/>
  <c r="AQ237" i="17"/>
  <c r="AQ236" i="17"/>
  <c r="AQ235" i="17"/>
  <c r="AQ234" i="17"/>
  <c r="AE245" i="17"/>
  <c r="AE244" i="17"/>
  <c r="AE243" i="17"/>
  <c r="AE242" i="17"/>
  <c r="AE241" i="17"/>
  <c r="AE240" i="17"/>
  <c r="AE239" i="17"/>
  <c r="AE238" i="17"/>
  <c r="AE237" i="17"/>
  <c r="AE236" i="17"/>
  <c r="AE235" i="17"/>
  <c r="AE234" i="17"/>
  <c r="S245" i="17"/>
  <c r="S244" i="17"/>
  <c r="S243" i="17"/>
  <c r="S242" i="17"/>
  <c r="S241" i="17"/>
  <c r="S240" i="17"/>
  <c r="S239" i="17"/>
  <c r="S238" i="17"/>
  <c r="S237" i="17"/>
  <c r="S236" i="17"/>
  <c r="S235" i="17"/>
  <c r="S234" i="17"/>
  <c r="BO245" i="16"/>
  <c r="BO244" i="16"/>
  <c r="BO243" i="16"/>
  <c r="BO242" i="16"/>
  <c r="BO241" i="16"/>
  <c r="BO240" i="16"/>
  <c r="BO239" i="16"/>
  <c r="BO238" i="16"/>
  <c r="BO237" i="16"/>
  <c r="BO236" i="16"/>
  <c r="BO235" i="16"/>
  <c r="BO234" i="16"/>
  <c r="BC245" i="16"/>
  <c r="BC244" i="16"/>
  <c r="BC243" i="16"/>
  <c r="BC242" i="16"/>
  <c r="BC241" i="16"/>
  <c r="BC240" i="16"/>
  <c r="BC239" i="16"/>
  <c r="BC238" i="16"/>
  <c r="BC237" i="16"/>
  <c r="BC236" i="16"/>
  <c r="BC235" i="16"/>
  <c r="BC234" i="16"/>
  <c r="AQ245" i="16"/>
  <c r="AQ244" i="16"/>
  <c r="AQ243" i="16"/>
  <c r="AQ242" i="16"/>
  <c r="AQ241" i="16"/>
  <c r="AQ240" i="16"/>
  <c r="AQ239" i="16"/>
  <c r="AQ238" i="16"/>
  <c r="AQ237" i="16"/>
  <c r="AQ236" i="16"/>
  <c r="AQ235" i="16"/>
  <c r="AQ234" i="16"/>
  <c r="AE245" i="16"/>
  <c r="AE244" i="16"/>
  <c r="AE243" i="16"/>
  <c r="AE242" i="16"/>
  <c r="AE241" i="16"/>
  <c r="AE240" i="16"/>
  <c r="AE239" i="16"/>
  <c r="AE238" i="16"/>
  <c r="AE237" i="16"/>
  <c r="AE236" i="16"/>
  <c r="AE235" i="16"/>
  <c r="AE234" i="16"/>
  <c r="S245" i="16"/>
  <c r="S244" i="16"/>
  <c r="S243" i="16"/>
  <c r="S242" i="16"/>
  <c r="S241" i="16"/>
  <c r="S240" i="16"/>
  <c r="S239" i="16"/>
  <c r="S238" i="16"/>
  <c r="S237" i="16"/>
  <c r="S236" i="16"/>
  <c r="S235" i="16"/>
  <c r="S234" i="16"/>
  <c r="DK257" i="15"/>
  <c r="DK256" i="15"/>
  <c r="DK255" i="15"/>
  <c r="DK254" i="15"/>
  <c r="DK253" i="15"/>
  <c r="DK252" i="15"/>
  <c r="DK251" i="15"/>
  <c r="DK250" i="15"/>
  <c r="DK249" i="15"/>
  <c r="DK248" i="15"/>
  <c r="DK247" i="15"/>
  <c r="DK246" i="15"/>
  <c r="CY257" i="15"/>
  <c r="CY256" i="15"/>
  <c r="CY255" i="15"/>
  <c r="CY254" i="15"/>
  <c r="CY253" i="15"/>
  <c r="CY252" i="15"/>
  <c r="CY251" i="15"/>
  <c r="CY250" i="15"/>
  <c r="CY249" i="15"/>
  <c r="CY248" i="15"/>
  <c r="CY247" i="15"/>
  <c r="CY246" i="15"/>
  <c r="CA257" i="15"/>
  <c r="CA256" i="15"/>
  <c r="CA255" i="15"/>
  <c r="CA254" i="15"/>
  <c r="CA253" i="15"/>
  <c r="CA252" i="15"/>
  <c r="CA251" i="15"/>
  <c r="CA250" i="15"/>
  <c r="CA249" i="15"/>
  <c r="CA248" i="15"/>
  <c r="CA247" i="15"/>
  <c r="CA246" i="15"/>
  <c r="BO257" i="15"/>
  <c r="BO256" i="15"/>
  <c r="BO255" i="15"/>
  <c r="BO254" i="15"/>
  <c r="BO253" i="15"/>
  <c r="BO252" i="15"/>
  <c r="BO251" i="15"/>
  <c r="BO250" i="15"/>
  <c r="BO249" i="15"/>
  <c r="BO248" i="15"/>
  <c r="BO247" i="15"/>
  <c r="BO246" i="15"/>
  <c r="BC257" i="15"/>
  <c r="BC256" i="15"/>
  <c r="BC255" i="15"/>
  <c r="BC254" i="15"/>
  <c r="BC253" i="15"/>
  <c r="BC252" i="15"/>
  <c r="BC251" i="15"/>
  <c r="BC250" i="15"/>
  <c r="BC249" i="15"/>
  <c r="BC248" i="15"/>
  <c r="BC247" i="15"/>
  <c r="BC246" i="15"/>
  <c r="AQ257" i="15"/>
  <c r="AQ256" i="15"/>
  <c r="AQ255" i="15"/>
  <c r="AQ254" i="15"/>
  <c r="AQ253" i="15"/>
  <c r="AQ252" i="15"/>
  <c r="AQ251" i="15"/>
  <c r="AQ250" i="15"/>
  <c r="AQ249" i="15"/>
  <c r="AQ248" i="15"/>
  <c r="AQ247" i="15"/>
  <c r="AQ246" i="15"/>
  <c r="S257" i="15"/>
  <c r="S256" i="15"/>
  <c r="S255" i="15"/>
  <c r="S254" i="15"/>
  <c r="S253" i="15"/>
  <c r="S252" i="15"/>
  <c r="S251" i="15"/>
  <c r="S250" i="15"/>
  <c r="S249" i="15"/>
  <c r="S248" i="15"/>
  <c r="S247" i="15"/>
  <c r="S246" i="15"/>
  <c r="I257" i="17"/>
  <c r="H257" i="17"/>
  <c r="F257" i="17"/>
  <c r="I256" i="17"/>
  <c r="H256" i="17"/>
  <c r="F256" i="17"/>
  <c r="I255" i="17"/>
  <c r="H255" i="17"/>
  <c r="F255" i="17"/>
  <c r="I254" i="17"/>
  <c r="H254" i="17"/>
  <c r="F254" i="17"/>
  <c r="I253" i="17"/>
  <c r="H253" i="17"/>
  <c r="F253" i="17"/>
  <c r="I252" i="17"/>
  <c r="H252" i="17"/>
  <c r="F252" i="17"/>
  <c r="I251" i="17"/>
  <c r="H251" i="17"/>
  <c r="F251" i="17"/>
  <c r="I250" i="17"/>
  <c r="H250" i="17"/>
  <c r="F250" i="17"/>
  <c r="I249" i="17"/>
  <c r="H249" i="17"/>
  <c r="F249" i="17"/>
  <c r="I248" i="17"/>
  <c r="H248" i="17"/>
  <c r="F248" i="17"/>
  <c r="I247" i="17"/>
  <c r="H247" i="17"/>
  <c r="F247" i="17"/>
  <c r="I246" i="17"/>
  <c r="H246" i="17"/>
  <c r="F246" i="17"/>
  <c r="AQ257" i="17"/>
  <c r="AQ256" i="17"/>
  <c r="AQ255" i="17"/>
  <c r="AQ254" i="17"/>
  <c r="AQ253" i="17"/>
  <c r="AQ252" i="17"/>
  <c r="AQ251" i="17"/>
  <c r="AQ250" i="17"/>
  <c r="AQ249" i="17"/>
  <c r="AQ248" i="17"/>
  <c r="AQ247" i="17"/>
  <c r="AQ246" i="17"/>
  <c r="AE257" i="17"/>
  <c r="AE256" i="17"/>
  <c r="AE255" i="17"/>
  <c r="AE254" i="17"/>
  <c r="AE253" i="17"/>
  <c r="AE252" i="17"/>
  <c r="AE251" i="17"/>
  <c r="AE250" i="17"/>
  <c r="AE249" i="17"/>
  <c r="AE248" i="17"/>
  <c r="AE247" i="17"/>
  <c r="AE246" i="17"/>
  <c r="S257" i="17"/>
  <c r="S256" i="17"/>
  <c r="S255" i="17"/>
  <c r="S254" i="17"/>
  <c r="S253" i="17"/>
  <c r="S252" i="17"/>
  <c r="S251" i="17"/>
  <c r="S250" i="17"/>
  <c r="S249" i="17"/>
  <c r="S248" i="17"/>
  <c r="S247" i="17"/>
  <c r="S246" i="17"/>
  <c r="BO257" i="16"/>
  <c r="BO256" i="16"/>
  <c r="BO255" i="16"/>
  <c r="BO254" i="16"/>
  <c r="BO253" i="16"/>
  <c r="BO252" i="16"/>
  <c r="BO251" i="16"/>
  <c r="BO250" i="16"/>
  <c r="BO249" i="16"/>
  <c r="BO248" i="16"/>
  <c r="BO247" i="16"/>
  <c r="BO246" i="16"/>
  <c r="BC257" i="16"/>
  <c r="BC256" i="16"/>
  <c r="BC255" i="16"/>
  <c r="BC254" i="16"/>
  <c r="BC253" i="16"/>
  <c r="BC252" i="16"/>
  <c r="BC251" i="16"/>
  <c r="BC250" i="16"/>
  <c r="BC249" i="16"/>
  <c r="BC248" i="16"/>
  <c r="BC247" i="16"/>
  <c r="BC246" i="16"/>
  <c r="AQ257" i="16"/>
  <c r="AQ256" i="16"/>
  <c r="AQ255" i="16"/>
  <c r="AQ254" i="16"/>
  <c r="AQ253" i="16"/>
  <c r="AQ252" i="16"/>
  <c r="AQ251" i="16"/>
  <c r="AQ250" i="16"/>
  <c r="AQ249" i="16"/>
  <c r="AQ248" i="16"/>
  <c r="AQ247" i="16"/>
  <c r="AQ246" i="16"/>
  <c r="AE257" i="16"/>
  <c r="AE256" i="16"/>
  <c r="AE255" i="16"/>
  <c r="AE254" i="16"/>
  <c r="AE253" i="16"/>
  <c r="AE252" i="16"/>
  <c r="AE251" i="16"/>
  <c r="AE250" i="16"/>
  <c r="AE249" i="16"/>
  <c r="AE248" i="16"/>
  <c r="AE247" i="16"/>
  <c r="AE246" i="16"/>
  <c r="S257" i="16"/>
  <c r="S256" i="16"/>
  <c r="S255" i="16"/>
  <c r="S254" i="16"/>
  <c r="S253" i="16"/>
  <c r="S252" i="16"/>
  <c r="S251" i="16"/>
  <c r="S250" i="16"/>
  <c r="S249" i="16"/>
  <c r="S248" i="16"/>
  <c r="S247" i="16"/>
  <c r="S246" i="16"/>
  <c r="C222" i="87" l="1"/>
  <c r="E271" i="14"/>
  <c r="E275" i="14"/>
  <c r="E279" i="14"/>
  <c r="G247" i="17"/>
  <c r="F247" i="87"/>
  <c r="J248" i="17"/>
  <c r="E248" i="17"/>
  <c r="H248" i="87"/>
  <c r="D249" i="17"/>
  <c r="C249" i="17"/>
  <c r="I249" i="87"/>
  <c r="G251" i="17"/>
  <c r="F251" i="87"/>
  <c r="J252" i="17"/>
  <c r="E252" i="17"/>
  <c r="H252" i="87"/>
  <c r="D253" i="17"/>
  <c r="C253" i="17"/>
  <c r="I253" i="87"/>
  <c r="G255" i="17"/>
  <c r="F255" i="87"/>
  <c r="J256" i="17"/>
  <c r="E256" i="17"/>
  <c r="H256" i="87"/>
  <c r="D257" i="17"/>
  <c r="C257" i="17"/>
  <c r="I257" i="87"/>
  <c r="D234" i="17"/>
  <c r="C234" i="17"/>
  <c r="I234" i="87"/>
  <c r="G236" i="17"/>
  <c r="F236" i="87"/>
  <c r="J237" i="17"/>
  <c r="E237" i="17"/>
  <c r="H237" i="87"/>
  <c r="D238" i="17"/>
  <c r="C238" i="17"/>
  <c r="I238" i="87"/>
  <c r="G240" i="17"/>
  <c r="F240" i="87"/>
  <c r="J241" i="17"/>
  <c r="E241" i="17"/>
  <c r="H241" i="87"/>
  <c r="D242" i="17"/>
  <c r="C242" i="17"/>
  <c r="I242" i="87"/>
  <c r="G244" i="17"/>
  <c r="F244" i="87"/>
  <c r="J245" i="17"/>
  <c r="E245" i="17"/>
  <c r="H245" i="87"/>
  <c r="G229" i="87"/>
  <c r="G246" i="17"/>
  <c r="F246" i="87"/>
  <c r="J247" i="17"/>
  <c r="E247" i="17"/>
  <c r="H247" i="87"/>
  <c r="C248" i="17"/>
  <c r="D248" i="17"/>
  <c r="I248" i="87"/>
  <c r="G250" i="17"/>
  <c r="F250" i="87"/>
  <c r="J251" i="17"/>
  <c r="E251" i="17"/>
  <c r="H251" i="87"/>
  <c r="C252" i="17"/>
  <c r="D252" i="17"/>
  <c r="I252" i="87"/>
  <c r="G254" i="17"/>
  <c r="F254" i="87"/>
  <c r="J255" i="17"/>
  <c r="E255" i="17"/>
  <c r="H255" i="87"/>
  <c r="C256" i="17"/>
  <c r="D256" i="17"/>
  <c r="I256" i="87"/>
  <c r="G235" i="17"/>
  <c r="F235" i="87"/>
  <c r="J236" i="17"/>
  <c r="E236" i="17"/>
  <c r="H236" i="87"/>
  <c r="D237" i="17"/>
  <c r="C237" i="17"/>
  <c r="I237" i="87"/>
  <c r="G239" i="17"/>
  <c r="F239" i="87"/>
  <c r="J240" i="17"/>
  <c r="E240" i="17"/>
  <c r="H240" i="87"/>
  <c r="D241" i="17"/>
  <c r="C241" i="17"/>
  <c r="I241" i="87"/>
  <c r="G243" i="17"/>
  <c r="F243" i="87"/>
  <c r="J244" i="17"/>
  <c r="E244" i="17"/>
  <c r="H244" i="87"/>
  <c r="D245" i="17"/>
  <c r="C245" i="17"/>
  <c r="I245" i="87"/>
  <c r="E225" i="87"/>
  <c r="J225" i="87"/>
  <c r="D225" i="87"/>
  <c r="G225" i="87"/>
  <c r="J246" i="17"/>
  <c r="E246" i="17"/>
  <c r="H246" i="87"/>
  <c r="D247" i="17"/>
  <c r="C247" i="17"/>
  <c r="I247" i="87"/>
  <c r="G249" i="17"/>
  <c r="F249" i="87"/>
  <c r="J250" i="17"/>
  <c r="E250" i="17"/>
  <c r="H250" i="87"/>
  <c r="D251" i="17"/>
  <c r="C251" i="17"/>
  <c r="I251" i="87"/>
  <c r="G253" i="17"/>
  <c r="F253" i="87"/>
  <c r="J254" i="17"/>
  <c r="E254" i="17"/>
  <c r="H254" i="87"/>
  <c r="D255" i="17"/>
  <c r="C255" i="17"/>
  <c r="I255" i="87"/>
  <c r="G257" i="17"/>
  <c r="F257" i="87"/>
  <c r="G234" i="17"/>
  <c r="F234" i="87"/>
  <c r="J235" i="17"/>
  <c r="E235" i="17"/>
  <c r="H235" i="87"/>
  <c r="D236" i="17"/>
  <c r="C236" i="17"/>
  <c r="I236" i="87"/>
  <c r="G238" i="17"/>
  <c r="F238" i="87"/>
  <c r="J239" i="17"/>
  <c r="E239" i="17"/>
  <c r="H239" i="87"/>
  <c r="D240" i="17"/>
  <c r="C240" i="17"/>
  <c r="I240" i="87"/>
  <c r="G242" i="17"/>
  <c r="F242" i="87"/>
  <c r="J243" i="17"/>
  <c r="E243" i="17"/>
  <c r="H243" i="87"/>
  <c r="C244" i="17"/>
  <c r="D244" i="17"/>
  <c r="I244" i="87"/>
  <c r="J229" i="87"/>
  <c r="E229" i="87"/>
  <c r="D246" i="17"/>
  <c r="C246" i="17"/>
  <c r="I246" i="87"/>
  <c r="G248" i="17"/>
  <c r="F248" i="87"/>
  <c r="J249" i="17"/>
  <c r="E249" i="17"/>
  <c r="H249" i="87"/>
  <c r="C250" i="17"/>
  <c r="D250" i="17"/>
  <c r="I250" i="87"/>
  <c r="G252" i="17"/>
  <c r="F252" i="87"/>
  <c r="J253" i="17"/>
  <c r="E253" i="17"/>
  <c r="H253" i="87"/>
  <c r="D254" i="17"/>
  <c r="C254" i="17"/>
  <c r="I254" i="87"/>
  <c r="G256" i="17"/>
  <c r="F256" i="87"/>
  <c r="J257" i="17"/>
  <c r="E257" i="17"/>
  <c r="H257" i="87"/>
  <c r="J234" i="17"/>
  <c r="E234" i="17"/>
  <c r="H234" i="87"/>
  <c r="C235" i="17"/>
  <c r="D235" i="17"/>
  <c r="I235" i="87"/>
  <c r="G237" i="17"/>
  <c r="F237" i="87"/>
  <c r="J238" i="17"/>
  <c r="E238" i="17"/>
  <c r="H238" i="87"/>
  <c r="C239" i="17"/>
  <c r="D239" i="17"/>
  <c r="I239" i="87"/>
  <c r="G241" i="17"/>
  <c r="F241" i="87"/>
  <c r="J242" i="17"/>
  <c r="E242" i="17"/>
  <c r="H242" i="87"/>
  <c r="C243" i="17"/>
  <c r="D243" i="17"/>
  <c r="I243" i="87"/>
  <c r="G245" i="17"/>
  <c r="F245" i="87"/>
  <c r="E233" i="87"/>
  <c r="J233" i="87"/>
  <c r="D233" i="87"/>
  <c r="E250" i="14"/>
  <c r="D246" i="14"/>
  <c r="C246" i="14"/>
  <c r="D254" i="14"/>
  <c r="C254" i="14"/>
  <c r="D276" i="14"/>
  <c r="C276" i="14"/>
  <c r="E251" i="14"/>
  <c r="D247" i="14"/>
  <c r="C247" i="14"/>
  <c r="D255" i="14"/>
  <c r="C255" i="14"/>
  <c r="D271" i="14"/>
  <c r="C271" i="14"/>
  <c r="E274" i="14"/>
  <c r="D279" i="14"/>
  <c r="C279" i="14"/>
  <c r="E248" i="14"/>
  <c r="E252" i="14"/>
  <c r="E256" i="14"/>
  <c r="D248" i="14"/>
  <c r="C248" i="14"/>
  <c r="C252" i="14"/>
  <c r="D252" i="14"/>
  <c r="D256" i="14"/>
  <c r="C256" i="14"/>
  <c r="D270" i="14"/>
  <c r="C270" i="14"/>
  <c r="E273" i="14"/>
  <c r="D274" i="14"/>
  <c r="C274" i="14"/>
  <c r="E277" i="14"/>
  <c r="D278" i="14"/>
  <c r="C278" i="14"/>
  <c r="E281" i="14"/>
  <c r="E246" i="14"/>
  <c r="E254" i="14"/>
  <c r="D250" i="14"/>
  <c r="C250" i="14"/>
  <c r="D272" i="14"/>
  <c r="C272" i="14"/>
  <c r="D280" i="14"/>
  <c r="C280" i="14"/>
  <c r="E247" i="14"/>
  <c r="E255" i="14"/>
  <c r="D251" i="14"/>
  <c r="C251" i="14"/>
  <c r="E270" i="14"/>
  <c r="C275" i="14"/>
  <c r="D275" i="14"/>
  <c r="E278" i="14"/>
  <c r="E249" i="14"/>
  <c r="E253" i="14"/>
  <c r="E257" i="14"/>
  <c r="C249" i="14"/>
  <c r="D249" i="14"/>
  <c r="C253" i="14"/>
  <c r="D253" i="14"/>
  <c r="C257" i="14"/>
  <c r="D257" i="14"/>
  <c r="E272" i="14"/>
  <c r="C273" i="14"/>
  <c r="D273" i="14"/>
  <c r="E276" i="14"/>
  <c r="C277" i="14"/>
  <c r="D277" i="14"/>
  <c r="E280" i="14"/>
  <c r="C281" i="14"/>
  <c r="D281" i="14"/>
  <c r="E235" i="16"/>
  <c r="E239" i="16"/>
  <c r="D240" i="16"/>
  <c r="C240" i="16"/>
  <c r="E243" i="16"/>
  <c r="D244" i="16"/>
  <c r="C244" i="16"/>
  <c r="E248" i="16"/>
  <c r="C249" i="16"/>
  <c r="D249" i="16"/>
  <c r="E252" i="16"/>
  <c r="D253" i="16"/>
  <c r="C253" i="16"/>
  <c r="E256" i="16"/>
  <c r="D257" i="16"/>
  <c r="C257" i="16"/>
  <c r="E236" i="16"/>
  <c r="D237" i="16"/>
  <c r="C237" i="16"/>
  <c r="E240" i="16"/>
  <c r="D241" i="16"/>
  <c r="C241" i="16"/>
  <c r="E244" i="16"/>
  <c r="D245" i="16"/>
  <c r="C245" i="16"/>
  <c r="E247" i="16"/>
  <c r="D248" i="16"/>
  <c r="C248" i="16"/>
  <c r="E251" i="16"/>
  <c r="D252" i="16"/>
  <c r="C252" i="16"/>
  <c r="E255" i="16"/>
  <c r="D256" i="16"/>
  <c r="C256" i="16"/>
  <c r="D236" i="16"/>
  <c r="C236" i="16"/>
  <c r="E246" i="16"/>
  <c r="D247" i="16"/>
  <c r="C247" i="16"/>
  <c r="E250" i="16"/>
  <c r="D251" i="16"/>
  <c r="C251" i="16"/>
  <c r="E254" i="16"/>
  <c r="D255" i="16"/>
  <c r="C255" i="16"/>
  <c r="E234" i="16"/>
  <c r="C235" i="16"/>
  <c r="D235" i="16"/>
  <c r="E238" i="16"/>
  <c r="D239" i="16"/>
  <c r="C239" i="16"/>
  <c r="E242" i="16"/>
  <c r="D243" i="16"/>
  <c r="C243" i="16"/>
  <c r="C246" i="16"/>
  <c r="D246" i="16"/>
  <c r="E249" i="16"/>
  <c r="C250" i="16"/>
  <c r="D250" i="16"/>
  <c r="E253" i="16"/>
  <c r="C254" i="16"/>
  <c r="D254" i="16"/>
  <c r="E257" i="16"/>
  <c r="D234" i="16"/>
  <c r="C234" i="16"/>
  <c r="E237" i="16"/>
  <c r="C238" i="16"/>
  <c r="D238" i="16"/>
  <c r="E241" i="16"/>
  <c r="C242" i="16"/>
  <c r="D242" i="16"/>
  <c r="E245" i="16"/>
  <c r="G273" i="14"/>
  <c r="J274" i="14"/>
  <c r="G277" i="14"/>
  <c r="J278" i="14"/>
  <c r="G281" i="14"/>
  <c r="J271" i="14"/>
  <c r="G274" i="14"/>
  <c r="J275" i="14"/>
  <c r="G278" i="14"/>
  <c r="J279" i="14"/>
  <c r="G272" i="14"/>
  <c r="J273" i="14"/>
  <c r="G276" i="14"/>
  <c r="G271" i="14"/>
  <c r="J272" i="14"/>
  <c r="G275" i="14"/>
  <c r="J276" i="14"/>
  <c r="G279" i="14"/>
  <c r="J280" i="14"/>
  <c r="J277" i="14"/>
  <c r="G280" i="14"/>
  <c r="J281" i="14"/>
  <c r="J270" i="14"/>
  <c r="G270" i="14"/>
  <c r="D239" i="87" l="1"/>
  <c r="G256" i="87"/>
  <c r="G248" i="87"/>
  <c r="G252" i="87"/>
  <c r="C235" i="87"/>
  <c r="G245" i="87"/>
  <c r="D254" i="87"/>
  <c r="J254" i="87"/>
  <c r="E254" i="87"/>
  <c r="J250" i="87"/>
  <c r="E250" i="87"/>
  <c r="E246" i="87"/>
  <c r="J246" i="87"/>
  <c r="E245" i="87"/>
  <c r="J245" i="87"/>
  <c r="G241" i="87"/>
  <c r="E241" i="87"/>
  <c r="J241" i="87"/>
  <c r="G237" i="87"/>
  <c r="J237" i="87"/>
  <c r="E237" i="87"/>
  <c r="D257" i="87"/>
  <c r="C253" i="87"/>
  <c r="D253" i="87"/>
  <c r="D249" i="87"/>
  <c r="C249" i="87"/>
  <c r="J257" i="87"/>
  <c r="E257" i="87"/>
  <c r="J253" i="87"/>
  <c r="E253" i="87"/>
  <c r="J249" i="87"/>
  <c r="E249" i="87"/>
  <c r="G238" i="87"/>
  <c r="C234" i="87"/>
  <c r="G234" i="87"/>
  <c r="C255" i="87"/>
  <c r="D255" i="87"/>
  <c r="C251" i="87"/>
  <c r="D251" i="87"/>
  <c r="C247" i="87"/>
  <c r="D247" i="87"/>
  <c r="G243" i="87"/>
  <c r="C239" i="87"/>
  <c r="G239" i="87"/>
  <c r="G235" i="87"/>
  <c r="C254" i="87"/>
  <c r="G254" i="87"/>
  <c r="G250" i="87"/>
  <c r="G246" i="87"/>
  <c r="D242" i="87"/>
  <c r="C242" i="87"/>
  <c r="D238" i="87"/>
  <c r="C238" i="87"/>
  <c r="D234" i="87"/>
  <c r="G242" i="87"/>
  <c r="E242" i="87"/>
  <c r="J242" i="87"/>
  <c r="J238" i="87"/>
  <c r="E238" i="87"/>
  <c r="J234" i="87"/>
  <c r="E234" i="87"/>
  <c r="D250" i="87"/>
  <c r="C250" i="87"/>
  <c r="C246" i="87"/>
  <c r="D246" i="87"/>
  <c r="E243" i="87"/>
  <c r="J243" i="87"/>
  <c r="J239" i="87"/>
  <c r="E239" i="87"/>
  <c r="D235" i="87"/>
  <c r="E235" i="87"/>
  <c r="J235" i="87"/>
  <c r="J244" i="87"/>
  <c r="E244" i="87"/>
  <c r="E240" i="87"/>
  <c r="J240" i="87"/>
  <c r="J236" i="87"/>
  <c r="E236" i="87"/>
  <c r="J255" i="87"/>
  <c r="E255" i="87"/>
  <c r="J251" i="87"/>
  <c r="E251" i="87"/>
  <c r="E247" i="87"/>
  <c r="J247" i="87"/>
  <c r="G255" i="87"/>
  <c r="G251" i="87"/>
  <c r="G247" i="87"/>
  <c r="C243" i="87"/>
  <c r="D243" i="87"/>
  <c r="C244" i="87"/>
  <c r="D244" i="87"/>
  <c r="C240" i="87"/>
  <c r="D240" i="87"/>
  <c r="C236" i="87"/>
  <c r="D236" i="87"/>
  <c r="C257" i="87"/>
  <c r="G257" i="87"/>
  <c r="G253" i="87"/>
  <c r="G249" i="87"/>
  <c r="C245" i="87"/>
  <c r="D245" i="87"/>
  <c r="C241" i="87"/>
  <c r="D241" i="87"/>
  <c r="C237" i="87"/>
  <c r="D237" i="87"/>
  <c r="D256" i="87"/>
  <c r="C256" i="87"/>
  <c r="D252" i="87"/>
  <c r="C252" i="87"/>
  <c r="C248" i="87"/>
  <c r="D248" i="87"/>
  <c r="G244" i="87"/>
  <c r="G240" i="87"/>
  <c r="G236" i="87"/>
  <c r="E256" i="87"/>
  <c r="J256" i="87"/>
  <c r="E252" i="87"/>
  <c r="J252" i="87"/>
  <c r="E248" i="87"/>
  <c r="J248" i="87"/>
  <c r="DK269" i="15"/>
  <c r="DK268" i="15"/>
  <c r="DK267" i="15"/>
  <c r="DK266" i="15"/>
  <c r="DK265" i="15"/>
  <c r="DK264" i="15"/>
  <c r="DK263" i="15"/>
  <c r="DK262" i="15"/>
  <c r="DK261" i="15"/>
  <c r="DK260" i="15"/>
  <c r="DK259" i="15"/>
  <c r="DK258" i="15"/>
  <c r="CY269" i="15"/>
  <c r="CY268" i="15"/>
  <c r="CY267" i="15"/>
  <c r="CY266" i="15"/>
  <c r="CY265" i="15"/>
  <c r="CY264" i="15"/>
  <c r="CY263" i="15"/>
  <c r="CY262" i="15"/>
  <c r="CY261" i="15"/>
  <c r="CY260" i="15"/>
  <c r="CY259" i="15"/>
  <c r="CY258" i="15"/>
  <c r="CA269" i="15"/>
  <c r="CA268" i="15"/>
  <c r="CA267" i="15"/>
  <c r="CA266" i="15"/>
  <c r="CA265" i="15"/>
  <c r="CA264" i="15"/>
  <c r="CA263" i="15"/>
  <c r="CA262" i="15"/>
  <c r="CA261" i="15"/>
  <c r="CA260" i="15"/>
  <c r="CA259" i="15"/>
  <c r="CA258" i="15"/>
  <c r="BO269" i="15"/>
  <c r="BO268" i="15"/>
  <c r="BO267" i="15"/>
  <c r="BO266" i="15"/>
  <c r="BO265" i="15"/>
  <c r="BO264" i="15"/>
  <c r="BO263" i="15"/>
  <c r="BO262" i="15"/>
  <c r="BO261" i="15"/>
  <c r="BO260" i="15"/>
  <c r="BO259" i="15"/>
  <c r="BO258" i="15"/>
  <c r="BC258" i="15"/>
  <c r="AQ269" i="15"/>
  <c r="AQ268" i="15"/>
  <c r="AQ267" i="15"/>
  <c r="AQ266" i="15"/>
  <c r="AQ265" i="15"/>
  <c r="AQ264" i="15"/>
  <c r="AQ263" i="15"/>
  <c r="AQ262" i="15"/>
  <c r="AQ261" i="15"/>
  <c r="AQ260" i="15"/>
  <c r="AQ259" i="15"/>
  <c r="AQ258" i="15"/>
  <c r="S269" i="15"/>
  <c r="S268" i="15"/>
  <c r="S267" i="15"/>
  <c r="S266" i="15"/>
  <c r="S265" i="15"/>
  <c r="S264" i="15"/>
  <c r="S263" i="15"/>
  <c r="S262" i="15"/>
  <c r="S261" i="15"/>
  <c r="S260" i="15"/>
  <c r="S259" i="15"/>
  <c r="S258" i="15"/>
  <c r="I269" i="17"/>
  <c r="H269" i="17"/>
  <c r="F269" i="17"/>
  <c r="I268" i="17"/>
  <c r="H268" i="17"/>
  <c r="F268" i="17"/>
  <c r="I267" i="17"/>
  <c r="H267" i="17"/>
  <c r="F267" i="17"/>
  <c r="I266" i="17"/>
  <c r="H266" i="17"/>
  <c r="F266" i="17"/>
  <c r="I265" i="17"/>
  <c r="H265" i="17"/>
  <c r="F265" i="17"/>
  <c r="I264" i="17"/>
  <c r="H264" i="17"/>
  <c r="F264" i="17"/>
  <c r="I263" i="17"/>
  <c r="H263" i="17"/>
  <c r="F263" i="17"/>
  <c r="I262" i="17"/>
  <c r="H262" i="17"/>
  <c r="F262" i="17"/>
  <c r="I261" i="17"/>
  <c r="H261" i="17"/>
  <c r="F261" i="17"/>
  <c r="I260" i="17"/>
  <c r="H260" i="17"/>
  <c r="F260" i="17"/>
  <c r="I259" i="17"/>
  <c r="H259" i="17"/>
  <c r="F259" i="17"/>
  <c r="I258" i="17"/>
  <c r="H258" i="17"/>
  <c r="F258" i="17"/>
  <c r="AQ269" i="17"/>
  <c r="AQ268" i="17"/>
  <c r="AQ267" i="17"/>
  <c r="AQ266" i="17"/>
  <c r="AQ265" i="17"/>
  <c r="AQ264" i="17"/>
  <c r="AQ263" i="17"/>
  <c r="AQ262" i="17"/>
  <c r="AQ261" i="17"/>
  <c r="AQ260" i="17"/>
  <c r="AQ259" i="17"/>
  <c r="AQ258" i="17"/>
  <c r="AE269" i="17"/>
  <c r="AE268" i="17"/>
  <c r="AE267" i="17"/>
  <c r="AE266" i="17"/>
  <c r="AE265" i="17"/>
  <c r="AE264" i="17"/>
  <c r="AE263" i="17"/>
  <c r="AE262" i="17"/>
  <c r="AE261" i="17"/>
  <c r="AE260" i="17"/>
  <c r="AE259" i="17"/>
  <c r="AE258" i="17"/>
  <c r="S269" i="17"/>
  <c r="S268" i="17"/>
  <c r="S267" i="17"/>
  <c r="S266" i="17"/>
  <c r="S265" i="17"/>
  <c r="S264" i="17"/>
  <c r="S263" i="17"/>
  <c r="S262" i="17"/>
  <c r="S261" i="17"/>
  <c r="S260" i="17"/>
  <c r="S259" i="17"/>
  <c r="S258" i="17"/>
  <c r="BO269" i="16"/>
  <c r="BO268" i="16"/>
  <c r="BO267" i="16"/>
  <c r="BO266" i="16"/>
  <c r="BO265" i="16"/>
  <c r="BO264" i="16"/>
  <c r="BO263" i="16"/>
  <c r="BO262" i="16"/>
  <c r="BO261" i="16"/>
  <c r="BO260" i="16"/>
  <c r="BO259" i="16"/>
  <c r="BO258" i="16"/>
  <c r="BC269" i="16"/>
  <c r="BC268" i="16"/>
  <c r="BC267" i="16"/>
  <c r="BC266" i="16"/>
  <c r="BC265" i="16"/>
  <c r="BC264" i="16"/>
  <c r="BC263" i="16"/>
  <c r="BC262" i="16"/>
  <c r="BC261" i="16"/>
  <c r="BC260" i="16"/>
  <c r="BC259" i="16"/>
  <c r="BC258" i="16"/>
  <c r="AQ269" i="16"/>
  <c r="AQ268" i="16"/>
  <c r="AQ267" i="16"/>
  <c r="AQ266" i="16"/>
  <c r="AQ265" i="16"/>
  <c r="AQ264" i="16"/>
  <c r="AQ263" i="16"/>
  <c r="AQ262" i="16"/>
  <c r="AQ261" i="16"/>
  <c r="AQ260" i="16"/>
  <c r="AQ259" i="16"/>
  <c r="AQ258" i="16"/>
  <c r="AE269" i="16"/>
  <c r="AE268" i="16"/>
  <c r="AE267" i="16"/>
  <c r="AE266" i="16"/>
  <c r="AE265" i="16"/>
  <c r="AE264" i="16"/>
  <c r="AE263" i="16"/>
  <c r="AE262" i="16"/>
  <c r="AE261" i="16"/>
  <c r="AE260" i="16"/>
  <c r="AE259" i="16"/>
  <c r="AE258" i="16"/>
  <c r="S269" i="16"/>
  <c r="S268" i="16"/>
  <c r="S267" i="16"/>
  <c r="S266" i="16"/>
  <c r="S265" i="16"/>
  <c r="S264" i="16"/>
  <c r="S263" i="16"/>
  <c r="S262" i="16"/>
  <c r="S261" i="16"/>
  <c r="S260" i="16"/>
  <c r="S259" i="16"/>
  <c r="S258" i="16"/>
  <c r="DK278" i="15"/>
  <c r="DK277" i="15"/>
  <c r="DK276" i="15"/>
  <c r="DK275" i="15"/>
  <c r="DK274" i="15"/>
  <c r="DK273" i="15"/>
  <c r="DK272" i="15"/>
  <c r="DK271" i="15"/>
  <c r="DK270" i="15"/>
  <c r="CY278" i="15"/>
  <c r="CY277" i="15"/>
  <c r="CY276" i="15"/>
  <c r="CY275" i="15"/>
  <c r="CY274" i="15"/>
  <c r="CY273" i="15"/>
  <c r="CY272" i="15"/>
  <c r="CY271" i="15"/>
  <c r="CY270" i="15"/>
  <c r="CA278" i="15"/>
  <c r="CA277" i="15"/>
  <c r="CA276" i="15"/>
  <c r="CA275" i="15"/>
  <c r="CA274" i="15"/>
  <c r="CA273" i="15"/>
  <c r="CA272" i="15"/>
  <c r="CA271" i="15"/>
  <c r="CA270" i="15"/>
  <c r="BO278" i="15"/>
  <c r="BO277" i="15"/>
  <c r="BO276" i="15"/>
  <c r="BO275" i="15"/>
  <c r="BO274" i="15"/>
  <c r="BO273" i="15"/>
  <c r="BO272" i="15"/>
  <c r="BO271" i="15"/>
  <c r="BO270" i="15"/>
  <c r="BC276" i="15"/>
  <c r="BC277" i="15"/>
  <c r="AQ281" i="15"/>
  <c r="AQ280" i="15"/>
  <c r="AQ279" i="15"/>
  <c r="AQ278" i="15"/>
  <c r="AQ277" i="15"/>
  <c r="AQ276" i="15"/>
  <c r="AQ275" i="15"/>
  <c r="AQ274" i="15"/>
  <c r="AQ273" i="15"/>
  <c r="AQ272" i="15"/>
  <c r="AQ271" i="15"/>
  <c r="AQ270" i="15"/>
  <c r="I270" i="17"/>
  <c r="H270" i="17"/>
  <c r="F270" i="17"/>
  <c r="I271" i="17"/>
  <c r="H271" i="17"/>
  <c r="F271" i="17"/>
  <c r="I272" i="17"/>
  <c r="H272" i="17"/>
  <c r="F272" i="17"/>
  <c r="I273" i="17"/>
  <c r="H273" i="17"/>
  <c r="F273" i="17"/>
  <c r="I274" i="17"/>
  <c r="H274" i="17"/>
  <c r="F274" i="17"/>
  <c r="I275" i="17"/>
  <c r="H275" i="17"/>
  <c r="F275" i="17"/>
  <c r="I276" i="17"/>
  <c r="H276" i="17"/>
  <c r="F276" i="17"/>
  <c r="I277" i="17"/>
  <c r="H277" i="17"/>
  <c r="F277" i="17"/>
  <c r="S281" i="15"/>
  <c r="S280" i="15"/>
  <c r="S279" i="15"/>
  <c r="S278" i="15"/>
  <c r="S277" i="15"/>
  <c r="S276" i="15"/>
  <c r="S275" i="15"/>
  <c r="S274" i="15"/>
  <c r="S273" i="15"/>
  <c r="S272" i="15"/>
  <c r="S271" i="15"/>
  <c r="S270" i="15"/>
  <c r="AQ281" i="17"/>
  <c r="AQ280" i="17"/>
  <c r="AQ279" i="17"/>
  <c r="AQ278" i="17"/>
  <c r="AQ277" i="17"/>
  <c r="AQ276" i="17"/>
  <c r="AQ275" i="17"/>
  <c r="AQ274" i="17"/>
  <c r="AQ273" i="17"/>
  <c r="AQ272" i="17"/>
  <c r="AQ271" i="17"/>
  <c r="AQ270" i="17"/>
  <c r="AE281" i="17"/>
  <c r="AE280" i="17"/>
  <c r="AE279" i="17"/>
  <c r="AE278" i="17"/>
  <c r="AE277" i="17"/>
  <c r="AE276" i="17"/>
  <c r="AE275" i="17"/>
  <c r="AE274" i="17"/>
  <c r="AE273" i="17"/>
  <c r="AE272" i="17"/>
  <c r="AE271" i="17"/>
  <c r="AE270" i="17"/>
  <c r="E273" i="16"/>
  <c r="E277" i="16"/>
  <c r="S281" i="17"/>
  <c r="S280" i="17"/>
  <c r="S279" i="17"/>
  <c r="S278" i="17"/>
  <c r="S277" i="17"/>
  <c r="S276" i="17"/>
  <c r="S275" i="17"/>
  <c r="S274" i="17"/>
  <c r="S273" i="17"/>
  <c r="S272" i="17"/>
  <c r="S271" i="17"/>
  <c r="S270" i="17"/>
  <c r="BO281" i="16"/>
  <c r="BO280" i="16"/>
  <c r="BO279" i="16"/>
  <c r="BO278" i="16"/>
  <c r="BO277" i="16"/>
  <c r="BO276" i="16"/>
  <c r="BO275" i="16"/>
  <c r="BO274" i="16"/>
  <c r="BO273" i="16"/>
  <c r="BO272" i="16"/>
  <c r="BO271" i="16"/>
  <c r="BO270" i="16"/>
  <c r="BC281" i="16"/>
  <c r="BC280" i="16"/>
  <c r="BC279" i="16"/>
  <c r="BC278" i="16"/>
  <c r="BC277" i="16"/>
  <c r="BC276" i="16"/>
  <c r="BC275" i="16"/>
  <c r="BC274" i="16"/>
  <c r="BC273" i="16"/>
  <c r="BC272" i="16"/>
  <c r="BC271" i="16"/>
  <c r="BC270" i="16"/>
  <c r="AQ281" i="16"/>
  <c r="AQ280" i="16"/>
  <c r="AQ279" i="16"/>
  <c r="AQ278" i="16"/>
  <c r="AQ277" i="16"/>
  <c r="AQ276" i="16"/>
  <c r="AQ275" i="16"/>
  <c r="AQ274" i="16"/>
  <c r="AQ273" i="16"/>
  <c r="AQ272" i="16"/>
  <c r="AQ271" i="16"/>
  <c r="AQ270" i="16"/>
  <c r="AE281" i="16"/>
  <c r="AE280" i="16"/>
  <c r="AE279" i="16"/>
  <c r="AE278" i="16"/>
  <c r="AE277" i="16"/>
  <c r="AE276" i="16"/>
  <c r="AE275" i="16"/>
  <c r="AE274" i="16"/>
  <c r="AE273" i="16"/>
  <c r="AE272" i="16"/>
  <c r="AE271" i="16"/>
  <c r="AE270" i="16"/>
  <c r="S281" i="16"/>
  <c r="S280" i="16"/>
  <c r="S279" i="16"/>
  <c r="S278" i="16"/>
  <c r="S277" i="16"/>
  <c r="S276" i="16"/>
  <c r="S275" i="16"/>
  <c r="S274" i="16"/>
  <c r="S273" i="16"/>
  <c r="S272" i="16"/>
  <c r="S271" i="16"/>
  <c r="S270" i="16"/>
  <c r="S281" i="14"/>
  <c r="S280" i="14"/>
  <c r="S279" i="14"/>
  <c r="S278" i="14"/>
  <c r="S277" i="14"/>
  <c r="AE281" i="14"/>
  <c r="AE280" i="14"/>
  <c r="AE279" i="14"/>
  <c r="AE278" i="14"/>
  <c r="AE277" i="14"/>
  <c r="AQ281" i="14"/>
  <c r="AQ280" i="14"/>
  <c r="AQ279" i="14"/>
  <c r="AQ278" i="14"/>
  <c r="AQ277" i="14"/>
  <c r="G281" i="13"/>
  <c r="G280" i="13"/>
  <c r="G279" i="13"/>
  <c r="G278" i="13"/>
  <c r="G281" i="12"/>
  <c r="G280" i="12"/>
  <c r="G279" i="12"/>
  <c r="G278" i="12"/>
  <c r="G281" i="1"/>
  <c r="G280" i="1"/>
  <c r="G279" i="1"/>
  <c r="G278" i="1"/>
  <c r="G277" i="1"/>
  <c r="I281" i="17"/>
  <c r="I280" i="17"/>
  <c r="I279" i="17"/>
  <c r="I278" i="17"/>
  <c r="H281" i="17"/>
  <c r="H280" i="17"/>
  <c r="H279" i="17"/>
  <c r="H278" i="17"/>
  <c r="F281" i="17"/>
  <c r="F280" i="17"/>
  <c r="F279" i="17"/>
  <c r="F278" i="17"/>
  <c r="DK281" i="15"/>
  <c r="DK280" i="15"/>
  <c r="DK279" i="15"/>
  <c r="CY281" i="15"/>
  <c r="CY280" i="15"/>
  <c r="CY279" i="15"/>
  <c r="CM281" i="15"/>
  <c r="CM280" i="15"/>
  <c r="CM279" i="15"/>
  <c r="CM278" i="15"/>
  <c r="BC281" i="15"/>
  <c r="BC280" i="15"/>
  <c r="BC279" i="15"/>
  <c r="BC278" i="15"/>
  <c r="DN281" i="15"/>
  <c r="DN280" i="15"/>
  <c r="DN279" i="15"/>
  <c r="DN278" i="15"/>
  <c r="DN277" i="15"/>
  <c r="DN276" i="15"/>
  <c r="DN275" i="15"/>
  <c r="DN274" i="15"/>
  <c r="DN273" i="15"/>
  <c r="DN272" i="15"/>
  <c r="DN271" i="15"/>
  <c r="DN270" i="15"/>
  <c r="DN269" i="15"/>
  <c r="DN268" i="15"/>
  <c r="DN267" i="15"/>
  <c r="DN266" i="15"/>
  <c r="DN265" i="15"/>
  <c r="DN264" i="15"/>
  <c r="DN263" i="15"/>
  <c r="DN262" i="15"/>
  <c r="DN261" i="15"/>
  <c r="DN260" i="15"/>
  <c r="DN259" i="15"/>
  <c r="DN258" i="15"/>
  <c r="DN257" i="15"/>
  <c r="DN256" i="15"/>
  <c r="DN255" i="15"/>
  <c r="DN254" i="15"/>
  <c r="DN253" i="15"/>
  <c r="DN252" i="15"/>
  <c r="DN251" i="15"/>
  <c r="DN250" i="15"/>
  <c r="DN249" i="15"/>
  <c r="DN248" i="15"/>
  <c r="DN247" i="15"/>
  <c r="DN246" i="15"/>
  <c r="DN245" i="15"/>
  <c r="DN244" i="15"/>
  <c r="DN243" i="15"/>
  <c r="DN242" i="15"/>
  <c r="DN241" i="15"/>
  <c r="DN240" i="15"/>
  <c r="DN239" i="15"/>
  <c r="DN238" i="15"/>
  <c r="DN237" i="15"/>
  <c r="DN236" i="15"/>
  <c r="DN235" i="15"/>
  <c r="DN234" i="15"/>
  <c r="DN233" i="15"/>
  <c r="DN232" i="15"/>
  <c r="DN231" i="15"/>
  <c r="DN230" i="15"/>
  <c r="DN229" i="15"/>
  <c r="DN228" i="15"/>
  <c r="DN227" i="15"/>
  <c r="DN226" i="15"/>
  <c r="DN225" i="15"/>
  <c r="DN224" i="15"/>
  <c r="DN223" i="15"/>
  <c r="DN222" i="15"/>
  <c r="DN221" i="15"/>
  <c r="DN220" i="15"/>
  <c r="DN219" i="15"/>
  <c r="DN218" i="15"/>
  <c r="DN217" i="15"/>
  <c r="DN216" i="15"/>
  <c r="DN215" i="15"/>
  <c r="DN214" i="15"/>
  <c r="DN213" i="15"/>
  <c r="DN212" i="15"/>
  <c r="DN211" i="15"/>
  <c r="DN210" i="15"/>
  <c r="DN209" i="15"/>
  <c r="DN208" i="15"/>
  <c r="DN207" i="15"/>
  <c r="DN206" i="15"/>
  <c r="DN205" i="15"/>
  <c r="DN204" i="15"/>
  <c r="DN203" i="15"/>
  <c r="DN202" i="15"/>
  <c r="DN201" i="15"/>
  <c r="DN200" i="15"/>
  <c r="DN199" i="15"/>
  <c r="DN198" i="15"/>
  <c r="DN197" i="15"/>
  <c r="DN196" i="15"/>
  <c r="DN195" i="15"/>
  <c r="DN194" i="15"/>
  <c r="DN193" i="15"/>
  <c r="DN192" i="15"/>
  <c r="DN191" i="15"/>
  <c r="DN190" i="15"/>
  <c r="DN189" i="15"/>
  <c r="DN188" i="15"/>
  <c r="DN187" i="15"/>
  <c r="DN186" i="15"/>
  <c r="DN185" i="15"/>
  <c r="DN184" i="15"/>
  <c r="DN183" i="15"/>
  <c r="DN182" i="15"/>
  <c r="DN181" i="15"/>
  <c r="DN180" i="15"/>
  <c r="DN179" i="15"/>
  <c r="DN178" i="15"/>
  <c r="DN177" i="15"/>
  <c r="DN176" i="15"/>
  <c r="DN175" i="15"/>
  <c r="DN174" i="15"/>
  <c r="DN173" i="15"/>
  <c r="DN172" i="15"/>
  <c r="DN171" i="15"/>
  <c r="DN170" i="15"/>
  <c r="DN169" i="15"/>
  <c r="DN168" i="15"/>
  <c r="DN167" i="15"/>
  <c r="DN166" i="15"/>
  <c r="DN165" i="15"/>
  <c r="DN164" i="15"/>
  <c r="DN163" i="15"/>
  <c r="DN162" i="15"/>
  <c r="DN161" i="15"/>
  <c r="DN160" i="15"/>
  <c r="DN159" i="15"/>
  <c r="DN158" i="15"/>
  <c r="DN157" i="15"/>
  <c r="DN156" i="15"/>
  <c r="DN155" i="15"/>
  <c r="DN154" i="15"/>
  <c r="DN153" i="15"/>
  <c r="DN152" i="15"/>
  <c r="DN151" i="15"/>
  <c r="DN150" i="15"/>
  <c r="DB281" i="15"/>
  <c r="DB280" i="15"/>
  <c r="DB279" i="15"/>
  <c r="DB278" i="15"/>
  <c r="DB277" i="15"/>
  <c r="DB276" i="15"/>
  <c r="DB275" i="15"/>
  <c r="DB274" i="15"/>
  <c r="DB273" i="15"/>
  <c r="DB272" i="15"/>
  <c r="DB271" i="15"/>
  <c r="DB270" i="15"/>
  <c r="DB269" i="15"/>
  <c r="DB268" i="15"/>
  <c r="DB267" i="15"/>
  <c r="DB266" i="15"/>
  <c r="DB265" i="15"/>
  <c r="DB264" i="15"/>
  <c r="DB263" i="15"/>
  <c r="DB262" i="15"/>
  <c r="DB261" i="15"/>
  <c r="DB260" i="15"/>
  <c r="DB259" i="15"/>
  <c r="DB258" i="15"/>
  <c r="DB257" i="15"/>
  <c r="DB256" i="15"/>
  <c r="DB255" i="15"/>
  <c r="DB254" i="15"/>
  <c r="DB253" i="15"/>
  <c r="DB252" i="15"/>
  <c r="DB251" i="15"/>
  <c r="DB250" i="15"/>
  <c r="DB249" i="15"/>
  <c r="DB248" i="15"/>
  <c r="DB247" i="15"/>
  <c r="DB246" i="15"/>
  <c r="DB245" i="15"/>
  <c r="DB244" i="15"/>
  <c r="DB243" i="15"/>
  <c r="DB242" i="15"/>
  <c r="DB241" i="15"/>
  <c r="DB240" i="15"/>
  <c r="DB239" i="15"/>
  <c r="DB238" i="15"/>
  <c r="DB237" i="15"/>
  <c r="DB236" i="15"/>
  <c r="DB235" i="15"/>
  <c r="DB234" i="15"/>
  <c r="DB233" i="15"/>
  <c r="DB232" i="15"/>
  <c r="DB231" i="15"/>
  <c r="DB230" i="15"/>
  <c r="DB229" i="15"/>
  <c r="DB228" i="15"/>
  <c r="DB227" i="15"/>
  <c r="DB226" i="15"/>
  <c r="DB225" i="15"/>
  <c r="DB224" i="15"/>
  <c r="DB223" i="15"/>
  <c r="DB222" i="15"/>
  <c r="DB221" i="15"/>
  <c r="DB220" i="15"/>
  <c r="DB219" i="15"/>
  <c r="DB218" i="15"/>
  <c r="DB217" i="15"/>
  <c r="DB216" i="15"/>
  <c r="DB215" i="15"/>
  <c r="DB214" i="15"/>
  <c r="DB213" i="15"/>
  <c r="DB212" i="15"/>
  <c r="DB211" i="15"/>
  <c r="DB210" i="15"/>
  <c r="DB209" i="15"/>
  <c r="DB208" i="15"/>
  <c r="DB207" i="15"/>
  <c r="DB206" i="15"/>
  <c r="DB205" i="15"/>
  <c r="DB204" i="15"/>
  <c r="DB203" i="15"/>
  <c r="DB202" i="15"/>
  <c r="DB201" i="15"/>
  <c r="DB200" i="15"/>
  <c r="DB199" i="15"/>
  <c r="DB198" i="15"/>
  <c r="DB197" i="15"/>
  <c r="DB196" i="15"/>
  <c r="DB195" i="15"/>
  <c r="DB194" i="15"/>
  <c r="DB193" i="15"/>
  <c r="DB192" i="15"/>
  <c r="DB191" i="15"/>
  <c r="DB190" i="15"/>
  <c r="DB189" i="15"/>
  <c r="DB188" i="15"/>
  <c r="DB187" i="15"/>
  <c r="DB186" i="15"/>
  <c r="DB185" i="15"/>
  <c r="DB184" i="15"/>
  <c r="DB183" i="15"/>
  <c r="DB182" i="15"/>
  <c r="DB181" i="15"/>
  <c r="DB180" i="15"/>
  <c r="DB179" i="15"/>
  <c r="DB178" i="15"/>
  <c r="DB177" i="15"/>
  <c r="DB176" i="15"/>
  <c r="DB175" i="15"/>
  <c r="DB174" i="15"/>
  <c r="DB173" i="15"/>
  <c r="DB172" i="15"/>
  <c r="DB171" i="15"/>
  <c r="DB170" i="15"/>
  <c r="DB169" i="15"/>
  <c r="DB168" i="15"/>
  <c r="DB167" i="15"/>
  <c r="DB166" i="15"/>
  <c r="DB165" i="15"/>
  <c r="DB164" i="15"/>
  <c r="DB163" i="15"/>
  <c r="DB162" i="15"/>
  <c r="DB161" i="15"/>
  <c r="DB160" i="15"/>
  <c r="DB159" i="15"/>
  <c r="DB158" i="15"/>
  <c r="DB157" i="15"/>
  <c r="DB156" i="15"/>
  <c r="DB155" i="15"/>
  <c r="DB154" i="15"/>
  <c r="DB153" i="15"/>
  <c r="DB152" i="15"/>
  <c r="DB151" i="15"/>
  <c r="DB150" i="15"/>
  <c r="CP281" i="15"/>
  <c r="CP280" i="15"/>
  <c r="CP279" i="15"/>
  <c r="CP278" i="15"/>
  <c r="CD278" i="15"/>
  <c r="CD277" i="15"/>
  <c r="CD276" i="15"/>
  <c r="CD275" i="15"/>
  <c r="CD274" i="15"/>
  <c r="CD273" i="15"/>
  <c r="CD272" i="15"/>
  <c r="CD271" i="15"/>
  <c r="CD270" i="15"/>
  <c r="CD269" i="15"/>
  <c r="CD268" i="15"/>
  <c r="CD267" i="15"/>
  <c r="CD266" i="15"/>
  <c r="CD265" i="15"/>
  <c r="CD264" i="15"/>
  <c r="CD263" i="15"/>
  <c r="CD262" i="15"/>
  <c r="CD261" i="15"/>
  <c r="CD260" i="15"/>
  <c r="CD259" i="15"/>
  <c r="CD258" i="15"/>
  <c r="CD257" i="15"/>
  <c r="CD256" i="15"/>
  <c r="CD255" i="15"/>
  <c r="CD254" i="15"/>
  <c r="CD253" i="15"/>
  <c r="CD252" i="15"/>
  <c r="CD251" i="15"/>
  <c r="CD250" i="15"/>
  <c r="CD249" i="15"/>
  <c r="CD248" i="15"/>
  <c r="CD247" i="15"/>
  <c r="CD246" i="15"/>
  <c r="CD245" i="15"/>
  <c r="CD244" i="15"/>
  <c r="CD243" i="15"/>
  <c r="CD242" i="15"/>
  <c r="CD241" i="15"/>
  <c r="CD240" i="15"/>
  <c r="CD239" i="15"/>
  <c r="CD238" i="15"/>
  <c r="CD237" i="15"/>
  <c r="CD236" i="15"/>
  <c r="CD235" i="15"/>
  <c r="CD234" i="15"/>
  <c r="CD233" i="15"/>
  <c r="CD232" i="15"/>
  <c r="CD231" i="15"/>
  <c r="CD230" i="15"/>
  <c r="CD229" i="15"/>
  <c r="CD228" i="15"/>
  <c r="CD227" i="15"/>
  <c r="CD226" i="15"/>
  <c r="CD225" i="15"/>
  <c r="CD224" i="15"/>
  <c r="CD223" i="15"/>
  <c r="CD222" i="15"/>
  <c r="CD221" i="15"/>
  <c r="CD220" i="15"/>
  <c r="CD219" i="15"/>
  <c r="CD218" i="15"/>
  <c r="CD217" i="15"/>
  <c r="CD216" i="15"/>
  <c r="CD215" i="15"/>
  <c r="CD214" i="15"/>
  <c r="CD213" i="15"/>
  <c r="CD212" i="15"/>
  <c r="CD211" i="15"/>
  <c r="CD210" i="15"/>
  <c r="CD209" i="15"/>
  <c r="CD208" i="15"/>
  <c r="CD207" i="15"/>
  <c r="CD206" i="15"/>
  <c r="CD205" i="15"/>
  <c r="CD204" i="15"/>
  <c r="CD203" i="15"/>
  <c r="CD202" i="15"/>
  <c r="CD201" i="15"/>
  <c r="CD200" i="15"/>
  <c r="CD199" i="15"/>
  <c r="CD198" i="15"/>
  <c r="CD197" i="15"/>
  <c r="CD196" i="15"/>
  <c r="CD195" i="15"/>
  <c r="CD194" i="15"/>
  <c r="CD193" i="15"/>
  <c r="CD192" i="15"/>
  <c r="CD191" i="15"/>
  <c r="CD190" i="15"/>
  <c r="CD189" i="15"/>
  <c r="CD188" i="15"/>
  <c r="CD187" i="15"/>
  <c r="CD186" i="15"/>
  <c r="CD185" i="15"/>
  <c r="CD184" i="15"/>
  <c r="CD183" i="15"/>
  <c r="CD182" i="15"/>
  <c r="CD181" i="15"/>
  <c r="CD180" i="15"/>
  <c r="CD179" i="15"/>
  <c r="CD178" i="15"/>
  <c r="CD177" i="15"/>
  <c r="CD176" i="15"/>
  <c r="CD175" i="15"/>
  <c r="CD174" i="15"/>
  <c r="CD173" i="15"/>
  <c r="CD172" i="15"/>
  <c r="CD171" i="15"/>
  <c r="CD170" i="15"/>
  <c r="CD169" i="15"/>
  <c r="CD168" i="15"/>
  <c r="CD167" i="15"/>
  <c r="CD166" i="15"/>
  <c r="CD165" i="15"/>
  <c r="CD164" i="15"/>
  <c r="CD163" i="15"/>
  <c r="CD162" i="15"/>
  <c r="CD161" i="15"/>
  <c r="CD160" i="15"/>
  <c r="CD159" i="15"/>
  <c r="CD158" i="15"/>
  <c r="CD157" i="15"/>
  <c r="CD156" i="15"/>
  <c r="CD155" i="15"/>
  <c r="CD154" i="15"/>
  <c r="CD153" i="15"/>
  <c r="CD152" i="15"/>
  <c r="CD151" i="15"/>
  <c r="CD150" i="15"/>
  <c r="BR278" i="15"/>
  <c r="BR277" i="15"/>
  <c r="BR276" i="15"/>
  <c r="BR275" i="15"/>
  <c r="BR274" i="15"/>
  <c r="BR273" i="15"/>
  <c r="BR272" i="15"/>
  <c r="BR271" i="15"/>
  <c r="BR270" i="15"/>
  <c r="BR269" i="15"/>
  <c r="BR268" i="15"/>
  <c r="BR267" i="15"/>
  <c r="BR266" i="15"/>
  <c r="BR265" i="15"/>
  <c r="BR264" i="15"/>
  <c r="BR263" i="15"/>
  <c r="BR262" i="15"/>
  <c r="BR261" i="15"/>
  <c r="BR260" i="15"/>
  <c r="BR259" i="15"/>
  <c r="BR258" i="15"/>
  <c r="BR257" i="15"/>
  <c r="BR256" i="15"/>
  <c r="BR255" i="15"/>
  <c r="BR254" i="15"/>
  <c r="BR253" i="15"/>
  <c r="BR252" i="15"/>
  <c r="BR251" i="15"/>
  <c r="BR250" i="15"/>
  <c r="BR249" i="15"/>
  <c r="BR248" i="15"/>
  <c r="BR247" i="15"/>
  <c r="BR246" i="15"/>
  <c r="BR245" i="15"/>
  <c r="BR244" i="15"/>
  <c r="BR243" i="15"/>
  <c r="BR242" i="15"/>
  <c r="BR241" i="15"/>
  <c r="BR240" i="15"/>
  <c r="BR239" i="15"/>
  <c r="BR238" i="15"/>
  <c r="BR237" i="15"/>
  <c r="BR236" i="15"/>
  <c r="BR235" i="15"/>
  <c r="BR234" i="15"/>
  <c r="BR233" i="15"/>
  <c r="BR232" i="15"/>
  <c r="BR231" i="15"/>
  <c r="BR230" i="15"/>
  <c r="BR229" i="15"/>
  <c r="BR228" i="15"/>
  <c r="BR227" i="15"/>
  <c r="BR226" i="15"/>
  <c r="BR225" i="15"/>
  <c r="BR224" i="15"/>
  <c r="BR223" i="15"/>
  <c r="BR222" i="15"/>
  <c r="BR221" i="15"/>
  <c r="BR220" i="15"/>
  <c r="BR219" i="15"/>
  <c r="BR218" i="15"/>
  <c r="BR217" i="15"/>
  <c r="BR216" i="15"/>
  <c r="BR215" i="15"/>
  <c r="BR214" i="15"/>
  <c r="BR213" i="15"/>
  <c r="BR212" i="15"/>
  <c r="BR211" i="15"/>
  <c r="BR210" i="15"/>
  <c r="BR209" i="15"/>
  <c r="BR208" i="15"/>
  <c r="BR207" i="15"/>
  <c r="BR206" i="15"/>
  <c r="BR205" i="15"/>
  <c r="BR204" i="15"/>
  <c r="BR203" i="15"/>
  <c r="BR202" i="15"/>
  <c r="BR201" i="15"/>
  <c r="BR200" i="15"/>
  <c r="BR199" i="15"/>
  <c r="BR198" i="15"/>
  <c r="BR197" i="15"/>
  <c r="BR196" i="15"/>
  <c r="BR195" i="15"/>
  <c r="BR194" i="15"/>
  <c r="BR193" i="15"/>
  <c r="BR192" i="15"/>
  <c r="BR191" i="15"/>
  <c r="BR190" i="15"/>
  <c r="BR189" i="15"/>
  <c r="BR188" i="15"/>
  <c r="BR187" i="15"/>
  <c r="BR186" i="15"/>
  <c r="BR185" i="15"/>
  <c r="BR184" i="15"/>
  <c r="BR183" i="15"/>
  <c r="BR182" i="15"/>
  <c r="BR181" i="15"/>
  <c r="BR180" i="15"/>
  <c r="BR179" i="15"/>
  <c r="BR178" i="15"/>
  <c r="BR177" i="15"/>
  <c r="BR176" i="15"/>
  <c r="BR175" i="15"/>
  <c r="BR174" i="15"/>
  <c r="BR173" i="15"/>
  <c r="BR172" i="15"/>
  <c r="BR171" i="15"/>
  <c r="BR170" i="15"/>
  <c r="BR169" i="15"/>
  <c r="BR168" i="15"/>
  <c r="BR167" i="15"/>
  <c r="BR166" i="15"/>
  <c r="BR165" i="15"/>
  <c r="BR164" i="15"/>
  <c r="BR163" i="15"/>
  <c r="BR162" i="15"/>
  <c r="BR161" i="15"/>
  <c r="BR160" i="15"/>
  <c r="BR159" i="15"/>
  <c r="BR158" i="15"/>
  <c r="BR157" i="15"/>
  <c r="BR156" i="15"/>
  <c r="BR155" i="15"/>
  <c r="BR154" i="15"/>
  <c r="BR153" i="15"/>
  <c r="BR152" i="15"/>
  <c r="BR151" i="15"/>
  <c r="BR150" i="15"/>
  <c r="BF281" i="15"/>
  <c r="BF280" i="15"/>
  <c r="BF279" i="15"/>
  <c r="BF278" i="15"/>
  <c r="BF277" i="15"/>
  <c r="BF276" i="15"/>
  <c r="BF258" i="15"/>
  <c r="BF257" i="15"/>
  <c r="BF256" i="15"/>
  <c r="BF255" i="15"/>
  <c r="BF254" i="15"/>
  <c r="BF253" i="15"/>
  <c r="BF252" i="15"/>
  <c r="BF251" i="15"/>
  <c r="BF250" i="15"/>
  <c r="BF249" i="15"/>
  <c r="BF248" i="15"/>
  <c r="BF247" i="15"/>
  <c r="BF246" i="15"/>
  <c r="BF245" i="15"/>
  <c r="BF244" i="15"/>
  <c r="BF243" i="15"/>
  <c r="BF242" i="15"/>
  <c r="BF241" i="15"/>
  <c r="BF240" i="15"/>
  <c r="BF239" i="15"/>
  <c r="BF238" i="15"/>
  <c r="BF237" i="15"/>
  <c r="BF236" i="15"/>
  <c r="BF235" i="15"/>
  <c r="BF234" i="15"/>
  <c r="BF233" i="15"/>
  <c r="BF232" i="15"/>
  <c r="BF231" i="15"/>
  <c r="BF230" i="15"/>
  <c r="BF229" i="15"/>
  <c r="BF228" i="15"/>
  <c r="BF227" i="15"/>
  <c r="BF226" i="15"/>
  <c r="BF225" i="15"/>
  <c r="BF224" i="15"/>
  <c r="BF223" i="15"/>
  <c r="BF222" i="15"/>
  <c r="BF221" i="15"/>
  <c r="BF220" i="15"/>
  <c r="BF219" i="15"/>
  <c r="BF218" i="15"/>
  <c r="BF217" i="15"/>
  <c r="BF216" i="15"/>
  <c r="BF215" i="15"/>
  <c r="BF214" i="15"/>
  <c r="BF213" i="15"/>
  <c r="BF212" i="15"/>
  <c r="BF211" i="15"/>
  <c r="BF210" i="15"/>
  <c r="BF209" i="15"/>
  <c r="BF208" i="15"/>
  <c r="BF207" i="15"/>
  <c r="BF206" i="15"/>
  <c r="BF205" i="15"/>
  <c r="BF204" i="15"/>
  <c r="BF203" i="15"/>
  <c r="BF202" i="15"/>
  <c r="BF201" i="15"/>
  <c r="BF200" i="15"/>
  <c r="BF199" i="15"/>
  <c r="BF198" i="15"/>
  <c r="BF197" i="15"/>
  <c r="BF196" i="15"/>
  <c r="BF195" i="15"/>
  <c r="BF194" i="15"/>
  <c r="BF193" i="15"/>
  <c r="BF192" i="15"/>
  <c r="BF191" i="15"/>
  <c r="BF190" i="15"/>
  <c r="BF189" i="15"/>
  <c r="BF188" i="15"/>
  <c r="BF187" i="15"/>
  <c r="BF186" i="15"/>
  <c r="BF185" i="15"/>
  <c r="BF184" i="15"/>
  <c r="BF183" i="15"/>
  <c r="BF182" i="15"/>
  <c r="BF181" i="15"/>
  <c r="BF180" i="15"/>
  <c r="BF179" i="15"/>
  <c r="BF178" i="15"/>
  <c r="BF177" i="15"/>
  <c r="BF176" i="15"/>
  <c r="BF175" i="15"/>
  <c r="BF174" i="15"/>
  <c r="BF173" i="15"/>
  <c r="BF172" i="15"/>
  <c r="BF171" i="15"/>
  <c r="BF170" i="15"/>
  <c r="BF169" i="15"/>
  <c r="BF168" i="15"/>
  <c r="BF167" i="15"/>
  <c r="BF166" i="15"/>
  <c r="BF165" i="15"/>
  <c r="BF164" i="15"/>
  <c r="BF163" i="15"/>
  <c r="BF162" i="15"/>
  <c r="BF161" i="15"/>
  <c r="BF160" i="15"/>
  <c r="BF159" i="15"/>
  <c r="BF158" i="15"/>
  <c r="BF157" i="15"/>
  <c r="BF156" i="15"/>
  <c r="BF155" i="15"/>
  <c r="BF154" i="15"/>
  <c r="BF153" i="15"/>
  <c r="BF152" i="15"/>
  <c r="BF151" i="15"/>
  <c r="BF150" i="15"/>
  <c r="AT281" i="15"/>
  <c r="AT280" i="15"/>
  <c r="AT279" i="15"/>
  <c r="AT278" i="15"/>
  <c r="AT277" i="15"/>
  <c r="AT276" i="15"/>
  <c r="AT275" i="15"/>
  <c r="AT274" i="15"/>
  <c r="AT273" i="15"/>
  <c r="AT272" i="15"/>
  <c r="AT271" i="15"/>
  <c r="AT270" i="15"/>
  <c r="AT269" i="15"/>
  <c r="AT268" i="15"/>
  <c r="AT267" i="15"/>
  <c r="AT266" i="15"/>
  <c r="AT265" i="15"/>
  <c r="AT264" i="15"/>
  <c r="AT263" i="15"/>
  <c r="AT262" i="15"/>
  <c r="AT261" i="15"/>
  <c r="AT260" i="15"/>
  <c r="AT259" i="15"/>
  <c r="AT258" i="15"/>
  <c r="AT257" i="15"/>
  <c r="AT256" i="15"/>
  <c r="AT255" i="15"/>
  <c r="AT254" i="15"/>
  <c r="AT253" i="15"/>
  <c r="AT252" i="15"/>
  <c r="AT251" i="15"/>
  <c r="AT250" i="15"/>
  <c r="AT249" i="15"/>
  <c r="AT248" i="15"/>
  <c r="AT247" i="15"/>
  <c r="AT246" i="15"/>
  <c r="AT245" i="15"/>
  <c r="AT244" i="15"/>
  <c r="AT243" i="15"/>
  <c r="AT242" i="15"/>
  <c r="AT241" i="15"/>
  <c r="AT240" i="15"/>
  <c r="AT239" i="15"/>
  <c r="AT238" i="15"/>
  <c r="AT237" i="15"/>
  <c r="AT236" i="15"/>
  <c r="AT235" i="15"/>
  <c r="AT234" i="15"/>
  <c r="AT233" i="15"/>
  <c r="AT232" i="15"/>
  <c r="AT231" i="15"/>
  <c r="AT230" i="15"/>
  <c r="AT229" i="15"/>
  <c r="AT228" i="15"/>
  <c r="AT227" i="15"/>
  <c r="AT226" i="15"/>
  <c r="AT225" i="15"/>
  <c r="AT224" i="15"/>
  <c r="AT223" i="15"/>
  <c r="AT222" i="15"/>
  <c r="AT221" i="15"/>
  <c r="AT220" i="15"/>
  <c r="AT219" i="15"/>
  <c r="AT218" i="15"/>
  <c r="AT217" i="15"/>
  <c r="AT216" i="15"/>
  <c r="AT215" i="15"/>
  <c r="AT214" i="15"/>
  <c r="AT213" i="15"/>
  <c r="AT212" i="15"/>
  <c r="AT211" i="15"/>
  <c r="AT210" i="15"/>
  <c r="AT209" i="15"/>
  <c r="AT208" i="15"/>
  <c r="AT207" i="15"/>
  <c r="AT206" i="15"/>
  <c r="AT205" i="15"/>
  <c r="AT204" i="15"/>
  <c r="AT203" i="15"/>
  <c r="AT202" i="15"/>
  <c r="AT201" i="15"/>
  <c r="AT200" i="15"/>
  <c r="AT199" i="15"/>
  <c r="AT198" i="15"/>
  <c r="AT197" i="15"/>
  <c r="AT196" i="15"/>
  <c r="AT195" i="15"/>
  <c r="AT194" i="15"/>
  <c r="AT193" i="15"/>
  <c r="AT192" i="15"/>
  <c r="AT191" i="15"/>
  <c r="AT190" i="15"/>
  <c r="AT189" i="15"/>
  <c r="AT188" i="15"/>
  <c r="AT187" i="15"/>
  <c r="AT186" i="15"/>
  <c r="AT185" i="15"/>
  <c r="AT184" i="15"/>
  <c r="AT183" i="15"/>
  <c r="AT182" i="15"/>
  <c r="AT181" i="15"/>
  <c r="AT180" i="15"/>
  <c r="AT179" i="15"/>
  <c r="AT178" i="15"/>
  <c r="AT177" i="15"/>
  <c r="AT176" i="15"/>
  <c r="AT175" i="15"/>
  <c r="AT174" i="15"/>
  <c r="AT173" i="15"/>
  <c r="AT172" i="15"/>
  <c r="AT171" i="15"/>
  <c r="AT170" i="15"/>
  <c r="AT169" i="15"/>
  <c r="AT168" i="15"/>
  <c r="AT167" i="15"/>
  <c r="AT166" i="15"/>
  <c r="AT165" i="15"/>
  <c r="AT164" i="15"/>
  <c r="AT163" i="15"/>
  <c r="AT162" i="15"/>
  <c r="AT161" i="15"/>
  <c r="AT160" i="15"/>
  <c r="AT159" i="15"/>
  <c r="AT158" i="15"/>
  <c r="AT157" i="15"/>
  <c r="AT156" i="15"/>
  <c r="AT155" i="15"/>
  <c r="AT154" i="15"/>
  <c r="AT153" i="15"/>
  <c r="AT152" i="15"/>
  <c r="AT151" i="15"/>
  <c r="AT150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E279" i="16"/>
  <c r="AT281" i="17"/>
  <c r="AT280" i="17"/>
  <c r="AT279" i="17"/>
  <c r="AT278" i="17"/>
  <c r="AT277" i="17"/>
  <c r="AT276" i="17"/>
  <c r="AT275" i="17"/>
  <c r="AT274" i="17"/>
  <c r="AT273" i="17"/>
  <c r="AT272" i="17"/>
  <c r="AT271" i="17"/>
  <c r="AT270" i="17"/>
  <c r="AT269" i="17"/>
  <c r="AT268" i="17"/>
  <c r="AT267" i="17"/>
  <c r="AT266" i="17"/>
  <c r="AT265" i="17"/>
  <c r="AT264" i="17"/>
  <c r="AT263" i="17"/>
  <c r="AT262" i="17"/>
  <c r="AT261" i="17"/>
  <c r="AT260" i="17"/>
  <c r="AT259" i="17"/>
  <c r="AT258" i="17"/>
  <c r="AT257" i="17"/>
  <c r="AT256" i="17"/>
  <c r="AT255" i="17"/>
  <c r="AT254" i="17"/>
  <c r="AT253" i="17"/>
  <c r="AT252" i="17"/>
  <c r="AT251" i="17"/>
  <c r="AT250" i="17"/>
  <c r="AT249" i="17"/>
  <c r="AT248" i="17"/>
  <c r="AT247" i="17"/>
  <c r="AT246" i="17"/>
  <c r="AT245" i="17"/>
  <c r="AT244" i="17"/>
  <c r="AT243" i="17"/>
  <c r="AT242" i="17"/>
  <c r="AT241" i="17"/>
  <c r="AT240" i="17"/>
  <c r="AT239" i="17"/>
  <c r="AT238" i="17"/>
  <c r="AT237" i="17"/>
  <c r="AT236" i="17"/>
  <c r="AT235" i="17"/>
  <c r="AT234" i="17"/>
  <c r="AT233" i="17"/>
  <c r="AT232" i="17"/>
  <c r="AT231" i="17"/>
  <c r="AT230" i="17"/>
  <c r="AT229" i="17"/>
  <c r="AT228" i="17"/>
  <c r="AT227" i="17"/>
  <c r="AT226" i="17"/>
  <c r="AT225" i="17"/>
  <c r="AT224" i="17"/>
  <c r="AT223" i="17"/>
  <c r="AT222" i="17"/>
  <c r="AT221" i="17"/>
  <c r="AT220" i="17"/>
  <c r="AT219" i="17"/>
  <c r="AT218" i="17"/>
  <c r="AT217" i="17"/>
  <c r="AT216" i="17"/>
  <c r="AT215" i="17"/>
  <c r="AT214" i="17"/>
  <c r="AT213" i="17"/>
  <c r="AT212" i="17"/>
  <c r="AT211" i="17"/>
  <c r="AT210" i="17"/>
  <c r="AT209" i="17"/>
  <c r="AT208" i="17"/>
  <c r="AT207" i="17"/>
  <c r="AT206" i="17"/>
  <c r="AT205" i="17"/>
  <c r="AT204" i="17"/>
  <c r="AT203" i="17"/>
  <c r="AT202" i="17"/>
  <c r="AT201" i="17"/>
  <c r="AT200" i="17"/>
  <c r="AT199" i="17"/>
  <c r="AT198" i="17"/>
  <c r="AT197" i="17"/>
  <c r="AT196" i="17"/>
  <c r="AT195" i="17"/>
  <c r="AT194" i="17"/>
  <c r="AT193" i="17"/>
  <c r="AT192" i="17"/>
  <c r="AT191" i="17"/>
  <c r="AT190" i="17"/>
  <c r="AT189" i="17"/>
  <c r="AT188" i="17"/>
  <c r="AT187" i="17"/>
  <c r="AT186" i="17"/>
  <c r="AT185" i="17"/>
  <c r="AT184" i="17"/>
  <c r="AT183" i="17"/>
  <c r="AT182" i="17"/>
  <c r="AT181" i="17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3" i="17"/>
  <c r="AT162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H281" i="17"/>
  <c r="AH280" i="17"/>
  <c r="AH279" i="17"/>
  <c r="AH278" i="17"/>
  <c r="AH277" i="17"/>
  <c r="AH276" i="17"/>
  <c r="AH275" i="17"/>
  <c r="AH274" i="17"/>
  <c r="AH273" i="17"/>
  <c r="AH272" i="17"/>
  <c r="AH271" i="17"/>
  <c r="AH270" i="17"/>
  <c r="AH269" i="17"/>
  <c r="AH268" i="17"/>
  <c r="AH267" i="17"/>
  <c r="AH266" i="17"/>
  <c r="AH265" i="17"/>
  <c r="AH264" i="17"/>
  <c r="AH263" i="17"/>
  <c r="AH262" i="17"/>
  <c r="AH261" i="17"/>
  <c r="AH260" i="17"/>
  <c r="AH259" i="17"/>
  <c r="AH258" i="17"/>
  <c r="AH257" i="17"/>
  <c r="AH256" i="17"/>
  <c r="AH255" i="17"/>
  <c r="AH254" i="17"/>
  <c r="AH253" i="17"/>
  <c r="AH252" i="17"/>
  <c r="AH251" i="17"/>
  <c r="AH250" i="17"/>
  <c r="AH249" i="17"/>
  <c r="AH248" i="17"/>
  <c r="AH247" i="17"/>
  <c r="AH246" i="17"/>
  <c r="AH245" i="17"/>
  <c r="AH244" i="17"/>
  <c r="AH243" i="17"/>
  <c r="AH242" i="17"/>
  <c r="AH241" i="17"/>
  <c r="AH240" i="17"/>
  <c r="AH239" i="17"/>
  <c r="AH238" i="17"/>
  <c r="AH237" i="17"/>
  <c r="AH236" i="17"/>
  <c r="AH235" i="17"/>
  <c r="AH234" i="17"/>
  <c r="AH233" i="17"/>
  <c r="AH232" i="17"/>
  <c r="AH231" i="17"/>
  <c r="AH230" i="17"/>
  <c r="AH229" i="17"/>
  <c r="AH228" i="17"/>
  <c r="AH227" i="17"/>
  <c r="AH226" i="17"/>
  <c r="AH225" i="17"/>
  <c r="AH224" i="17"/>
  <c r="AH223" i="17"/>
  <c r="AH222" i="17"/>
  <c r="AH221" i="17"/>
  <c r="AH220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3" i="17"/>
  <c r="AH202" i="17"/>
  <c r="AH201" i="17"/>
  <c r="AH200" i="17"/>
  <c r="AH199" i="17"/>
  <c r="AH198" i="17"/>
  <c r="AH197" i="17"/>
  <c r="AH196" i="17"/>
  <c r="AH195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V281" i="17"/>
  <c r="V280" i="17"/>
  <c r="V279" i="17"/>
  <c r="V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BR281" i="16"/>
  <c r="BR280" i="16"/>
  <c r="BR279" i="16"/>
  <c r="BR278" i="16"/>
  <c r="BR277" i="16"/>
  <c r="BR276" i="16"/>
  <c r="BR275" i="16"/>
  <c r="BR274" i="16"/>
  <c r="BR273" i="16"/>
  <c r="BR272" i="16"/>
  <c r="BR271" i="16"/>
  <c r="BR270" i="16"/>
  <c r="BR269" i="16"/>
  <c r="BR268" i="16"/>
  <c r="BR267" i="16"/>
  <c r="BR266" i="16"/>
  <c r="BR265" i="16"/>
  <c r="BR264" i="16"/>
  <c r="BR263" i="16"/>
  <c r="BR262" i="16"/>
  <c r="BR261" i="16"/>
  <c r="BR260" i="16"/>
  <c r="BR259" i="16"/>
  <c r="BR258" i="16"/>
  <c r="BR257" i="16"/>
  <c r="BR256" i="16"/>
  <c r="BR255" i="16"/>
  <c r="BR254" i="16"/>
  <c r="BR253" i="16"/>
  <c r="BR252" i="16"/>
  <c r="BR251" i="16"/>
  <c r="BR250" i="16"/>
  <c r="BR249" i="16"/>
  <c r="BR248" i="16"/>
  <c r="BR247" i="16"/>
  <c r="BR246" i="16"/>
  <c r="BR245" i="16"/>
  <c r="BR244" i="16"/>
  <c r="BR243" i="16"/>
  <c r="BR242" i="16"/>
  <c r="BR241" i="16"/>
  <c r="BR240" i="16"/>
  <c r="BR239" i="16"/>
  <c r="BR238" i="16"/>
  <c r="BR237" i="16"/>
  <c r="BR236" i="16"/>
  <c r="BR235" i="16"/>
  <c r="BR234" i="16"/>
  <c r="BR233" i="16"/>
  <c r="BR232" i="16"/>
  <c r="BR231" i="16"/>
  <c r="BR230" i="16"/>
  <c r="BR229" i="16"/>
  <c r="BR228" i="16"/>
  <c r="BR227" i="16"/>
  <c r="BR226" i="16"/>
  <c r="BR225" i="16"/>
  <c r="BR224" i="16"/>
  <c r="BR223" i="16"/>
  <c r="BR222" i="16"/>
  <c r="BR221" i="16"/>
  <c r="BR220" i="16"/>
  <c r="BR219" i="16"/>
  <c r="BR218" i="16"/>
  <c r="BR217" i="16"/>
  <c r="BR216" i="16"/>
  <c r="BR215" i="16"/>
  <c r="BR214" i="16"/>
  <c r="BR213" i="16"/>
  <c r="BR212" i="16"/>
  <c r="BR211" i="16"/>
  <c r="BR210" i="16"/>
  <c r="BR209" i="16"/>
  <c r="BR208" i="16"/>
  <c r="BR207" i="16"/>
  <c r="BR206" i="16"/>
  <c r="BR205" i="16"/>
  <c r="BR204" i="16"/>
  <c r="BR203" i="16"/>
  <c r="BR202" i="16"/>
  <c r="BR201" i="16"/>
  <c r="BR200" i="16"/>
  <c r="BR199" i="16"/>
  <c r="BR198" i="16"/>
  <c r="BR197" i="16"/>
  <c r="BR196" i="16"/>
  <c r="BR195" i="16"/>
  <c r="BR194" i="16"/>
  <c r="BR193" i="16"/>
  <c r="BR192" i="16"/>
  <c r="BR191" i="16"/>
  <c r="BR190" i="16"/>
  <c r="BR189" i="16"/>
  <c r="BR188" i="16"/>
  <c r="BR187" i="16"/>
  <c r="BR186" i="16"/>
  <c r="BR185" i="16"/>
  <c r="BR184" i="16"/>
  <c r="BR183" i="16"/>
  <c r="BR182" i="16"/>
  <c r="BR181" i="16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3" i="16"/>
  <c r="BR162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F281" i="16"/>
  <c r="BF280" i="16"/>
  <c r="BF279" i="16"/>
  <c r="BF278" i="16"/>
  <c r="BF277" i="16"/>
  <c r="BF276" i="16"/>
  <c r="BF275" i="16"/>
  <c r="BF274" i="16"/>
  <c r="BF273" i="16"/>
  <c r="BF272" i="16"/>
  <c r="BF271" i="16"/>
  <c r="BF270" i="16"/>
  <c r="BF269" i="16"/>
  <c r="BF268" i="16"/>
  <c r="BF267" i="16"/>
  <c r="BF266" i="16"/>
  <c r="BF265" i="16"/>
  <c r="BF264" i="16"/>
  <c r="BF263" i="16"/>
  <c r="BF262" i="16"/>
  <c r="BF261" i="16"/>
  <c r="BF260" i="16"/>
  <c r="BF259" i="16"/>
  <c r="BF258" i="16"/>
  <c r="BF257" i="16"/>
  <c r="BF256" i="16"/>
  <c r="BF255" i="16"/>
  <c r="BF254" i="16"/>
  <c r="BF253" i="16"/>
  <c r="BF252" i="16"/>
  <c r="BF251" i="16"/>
  <c r="BF250" i="16"/>
  <c r="BF249" i="16"/>
  <c r="BF248" i="16"/>
  <c r="BF247" i="16"/>
  <c r="BF246" i="16"/>
  <c r="BF245" i="16"/>
  <c r="BF244" i="16"/>
  <c r="BF243" i="16"/>
  <c r="BF242" i="16"/>
  <c r="BF241" i="16"/>
  <c r="BF240" i="16"/>
  <c r="BF239" i="16"/>
  <c r="BF238" i="16"/>
  <c r="BF237" i="16"/>
  <c r="BF236" i="16"/>
  <c r="BF235" i="16"/>
  <c r="BF234" i="16"/>
  <c r="BF233" i="16"/>
  <c r="BF232" i="16"/>
  <c r="BF231" i="16"/>
  <c r="BF230" i="16"/>
  <c r="BF229" i="16"/>
  <c r="BF228" i="16"/>
  <c r="BF227" i="16"/>
  <c r="BF226" i="16"/>
  <c r="BF225" i="16"/>
  <c r="BF224" i="16"/>
  <c r="BF223" i="16"/>
  <c r="BF222" i="16"/>
  <c r="BF221" i="16"/>
  <c r="BF220" i="16"/>
  <c r="BF219" i="16"/>
  <c r="BF218" i="16"/>
  <c r="BF217" i="16"/>
  <c r="BF216" i="16"/>
  <c r="BF215" i="16"/>
  <c r="BF214" i="16"/>
  <c r="BF213" i="16"/>
  <c r="BF212" i="16"/>
  <c r="BF211" i="16"/>
  <c r="BF210" i="16"/>
  <c r="BF209" i="16"/>
  <c r="BF208" i="16"/>
  <c r="BF207" i="16"/>
  <c r="BF206" i="16"/>
  <c r="BF205" i="16"/>
  <c r="BF204" i="16"/>
  <c r="BF203" i="16"/>
  <c r="BF202" i="16"/>
  <c r="BF201" i="16"/>
  <c r="BF200" i="16"/>
  <c r="BF199" i="16"/>
  <c r="BF198" i="16"/>
  <c r="BF197" i="16"/>
  <c r="BF196" i="16"/>
  <c r="BF195" i="16"/>
  <c r="BF194" i="16"/>
  <c r="BF193" i="16"/>
  <c r="BF192" i="16"/>
  <c r="BF191" i="16"/>
  <c r="BF190" i="16"/>
  <c r="BF189" i="16"/>
  <c r="BF188" i="16"/>
  <c r="BF187" i="16"/>
  <c r="BF186" i="16"/>
  <c r="BF185" i="16"/>
  <c r="BF184" i="16"/>
  <c r="BF183" i="16"/>
  <c r="BF182" i="16"/>
  <c r="BF181" i="16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3" i="16"/>
  <c r="BF162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AT281" i="16"/>
  <c r="AT280" i="16"/>
  <c r="AT279" i="16"/>
  <c r="AT278" i="16"/>
  <c r="AT277" i="16"/>
  <c r="AT276" i="16"/>
  <c r="AT275" i="16"/>
  <c r="AT274" i="16"/>
  <c r="AT273" i="16"/>
  <c r="AT272" i="16"/>
  <c r="AT271" i="16"/>
  <c r="AT270" i="16"/>
  <c r="AT269" i="16"/>
  <c r="AT268" i="16"/>
  <c r="AT267" i="16"/>
  <c r="AT266" i="16"/>
  <c r="AT265" i="16"/>
  <c r="AT264" i="16"/>
  <c r="AT263" i="16"/>
  <c r="AT262" i="16"/>
  <c r="AT261" i="16"/>
  <c r="AT260" i="16"/>
  <c r="AT259" i="16"/>
  <c r="AT258" i="16"/>
  <c r="AT257" i="16"/>
  <c r="AT256" i="16"/>
  <c r="AT255" i="16"/>
  <c r="AT254" i="16"/>
  <c r="AT253" i="16"/>
  <c r="AT252" i="16"/>
  <c r="AT251" i="16"/>
  <c r="AT250" i="16"/>
  <c r="AT249" i="16"/>
  <c r="AT248" i="16"/>
  <c r="AT247" i="16"/>
  <c r="AT246" i="16"/>
  <c r="AT245" i="16"/>
  <c r="AT244" i="16"/>
  <c r="AT243" i="16"/>
  <c r="AT242" i="16"/>
  <c r="AT241" i="16"/>
  <c r="AT240" i="16"/>
  <c r="AT239" i="16"/>
  <c r="AT238" i="16"/>
  <c r="AT237" i="16"/>
  <c r="AT236" i="16"/>
  <c r="AT235" i="16"/>
  <c r="AT234" i="16"/>
  <c r="AT233" i="16"/>
  <c r="AT232" i="16"/>
  <c r="AT231" i="16"/>
  <c r="AT230" i="16"/>
  <c r="AT228" i="16"/>
  <c r="AT227" i="16"/>
  <c r="AT226" i="16"/>
  <c r="AT225" i="16"/>
  <c r="AT224" i="16"/>
  <c r="AT223" i="16"/>
  <c r="AT222" i="16"/>
  <c r="AT221" i="16"/>
  <c r="AT220" i="16"/>
  <c r="AT219" i="16"/>
  <c r="AT218" i="16"/>
  <c r="AT217" i="16"/>
  <c r="AT216" i="16"/>
  <c r="AT215" i="16"/>
  <c r="AT214" i="16"/>
  <c r="AT213" i="16"/>
  <c r="AT212" i="16"/>
  <c r="AT211" i="16"/>
  <c r="AT210" i="16"/>
  <c r="AT209" i="16"/>
  <c r="AT208" i="16"/>
  <c r="AT207" i="16"/>
  <c r="AT206" i="16"/>
  <c r="AT205" i="16"/>
  <c r="AT204" i="16"/>
  <c r="AT203" i="16"/>
  <c r="AT202" i="16"/>
  <c r="AT201" i="16"/>
  <c r="AT200" i="16"/>
  <c r="AT199" i="16"/>
  <c r="AT198" i="16"/>
  <c r="AT197" i="16"/>
  <c r="AT196" i="16"/>
  <c r="AT195" i="16"/>
  <c r="AT194" i="16"/>
  <c r="AT193" i="16"/>
  <c r="AT192" i="16"/>
  <c r="AT191" i="16"/>
  <c r="AT190" i="16"/>
  <c r="AT189" i="16"/>
  <c r="AT188" i="16"/>
  <c r="AT187" i="16"/>
  <c r="AT186" i="16"/>
  <c r="AT185" i="16"/>
  <c r="AT184" i="16"/>
  <c r="AT183" i="16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3" i="16"/>
  <c r="AT162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H281" i="16"/>
  <c r="AH280" i="16"/>
  <c r="AH279" i="16"/>
  <c r="AH278" i="16"/>
  <c r="AH277" i="16"/>
  <c r="AH276" i="16"/>
  <c r="AH275" i="16"/>
  <c r="AH274" i="16"/>
  <c r="AH273" i="16"/>
  <c r="AH272" i="16"/>
  <c r="AH271" i="16"/>
  <c r="AH270" i="16"/>
  <c r="AH269" i="16"/>
  <c r="AH268" i="16"/>
  <c r="AH267" i="16"/>
  <c r="AH266" i="16"/>
  <c r="AH265" i="16"/>
  <c r="AH264" i="16"/>
  <c r="AH263" i="16"/>
  <c r="AH262" i="16"/>
  <c r="AH261" i="16"/>
  <c r="AH260" i="16"/>
  <c r="AH259" i="16"/>
  <c r="AH258" i="16"/>
  <c r="AH257" i="16"/>
  <c r="AH256" i="16"/>
  <c r="AH255" i="16"/>
  <c r="AH254" i="16"/>
  <c r="AH253" i="16"/>
  <c r="AH252" i="16"/>
  <c r="AH251" i="16"/>
  <c r="AH250" i="16"/>
  <c r="AH249" i="16"/>
  <c r="AH248" i="16"/>
  <c r="AH247" i="16"/>
  <c r="AH246" i="16"/>
  <c r="AH245" i="16"/>
  <c r="AH244" i="16"/>
  <c r="AH243" i="16"/>
  <c r="AH242" i="16"/>
  <c r="AH241" i="16"/>
  <c r="AH240" i="16"/>
  <c r="AH239" i="16"/>
  <c r="AH238" i="16"/>
  <c r="AH237" i="16"/>
  <c r="AH236" i="16"/>
  <c r="AH235" i="16"/>
  <c r="AH234" i="16"/>
  <c r="AH233" i="16"/>
  <c r="AH232" i="16"/>
  <c r="AH231" i="16"/>
  <c r="AH228" i="16"/>
  <c r="AH227" i="16"/>
  <c r="AH226" i="16"/>
  <c r="AH225" i="16"/>
  <c r="AH224" i="16"/>
  <c r="AH223" i="16"/>
  <c r="AH222" i="16"/>
  <c r="AH221" i="16"/>
  <c r="AH220" i="16"/>
  <c r="AH219" i="16"/>
  <c r="AH218" i="16"/>
  <c r="AH217" i="16"/>
  <c r="AH216" i="16"/>
  <c r="AH215" i="16"/>
  <c r="AH214" i="16"/>
  <c r="AH213" i="16"/>
  <c r="AH212" i="16"/>
  <c r="AH211" i="16"/>
  <c r="AH210" i="16"/>
  <c r="AH209" i="16"/>
  <c r="AH208" i="16"/>
  <c r="AH207" i="16"/>
  <c r="AH206" i="16"/>
  <c r="AH205" i="16"/>
  <c r="AH204" i="16"/>
  <c r="AH203" i="16"/>
  <c r="AH202" i="16"/>
  <c r="AH201" i="16"/>
  <c r="AH200" i="16"/>
  <c r="AH199" i="16"/>
  <c r="AH198" i="16"/>
  <c r="AH197" i="16"/>
  <c r="AH196" i="16"/>
  <c r="AH195" i="16"/>
  <c r="AH194" i="16"/>
  <c r="AH193" i="16"/>
  <c r="AH192" i="16"/>
  <c r="AH191" i="16"/>
  <c r="AH190" i="16"/>
  <c r="AH189" i="16"/>
  <c r="AH188" i="16"/>
  <c r="AH187" i="16"/>
  <c r="AH186" i="16"/>
  <c r="AH185" i="16"/>
  <c r="AH184" i="16"/>
  <c r="AH183" i="16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2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AT257" i="14"/>
  <c r="AT256" i="14"/>
  <c r="AT255" i="14"/>
  <c r="AT254" i="14"/>
  <c r="AT253" i="14"/>
  <c r="AT252" i="14"/>
  <c r="AT251" i="14"/>
  <c r="AT250" i="14"/>
  <c r="AT249" i="14"/>
  <c r="AT248" i="14"/>
  <c r="AT247" i="14"/>
  <c r="AT246" i="14"/>
  <c r="AH257" i="14"/>
  <c r="AH256" i="14"/>
  <c r="AH255" i="14"/>
  <c r="AH254" i="14"/>
  <c r="AH253" i="14"/>
  <c r="AH252" i="14"/>
  <c r="AH251" i="14"/>
  <c r="AH250" i="14"/>
  <c r="AH249" i="14"/>
  <c r="AH248" i="14"/>
  <c r="AH247" i="14"/>
  <c r="AH246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AQ257" i="14"/>
  <c r="AQ256" i="14"/>
  <c r="AQ255" i="14"/>
  <c r="AQ254" i="14"/>
  <c r="AQ253" i="14"/>
  <c r="AQ252" i="14"/>
  <c r="AQ251" i="14"/>
  <c r="AQ250" i="14"/>
  <c r="AQ249" i="14"/>
  <c r="AQ248" i="14"/>
  <c r="AQ247" i="14"/>
  <c r="AQ246" i="14"/>
  <c r="AE257" i="14"/>
  <c r="AE256" i="14"/>
  <c r="AE255" i="14"/>
  <c r="AE254" i="14"/>
  <c r="AE253" i="14"/>
  <c r="AE252" i="14"/>
  <c r="AE251" i="14"/>
  <c r="AE250" i="14"/>
  <c r="AE249" i="14"/>
  <c r="AE248" i="14"/>
  <c r="AE247" i="14"/>
  <c r="AE246" i="14"/>
  <c r="S257" i="14"/>
  <c r="S256" i="14"/>
  <c r="S255" i="14"/>
  <c r="S254" i="14"/>
  <c r="S253" i="14"/>
  <c r="S252" i="14"/>
  <c r="S251" i="14"/>
  <c r="S250" i="14"/>
  <c r="S249" i="14"/>
  <c r="S248" i="14"/>
  <c r="S247" i="14"/>
  <c r="S246" i="14"/>
  <c r="AT269" i="14"/>
  <c r="AT268" i="14"/>
  <c r="AT267" i="14"/>
  <c r="AT266" i="14"/>
  <c r="AT265" i="14"/>
  <c r="AT264" i="14"/>
  <c r="AT263" i="14"/>
  <c r="AT262" i="14"/>
  <c r="AT261" i="14"/>
  <c r="AT260" i="14"/>
  <c r="AT259" i="14"/>
  <c r="AT258" i="14"/>
  <c r="AH269" i="14"/>
  <c r="AH268" i="14"/>
  <c r="AH267" i="14"/>
  <c r="AH266" i="14"/>
  <c r="AH265" i="14"/>
  <c r="AH264" i="14"/>
  <c r="AH263" i="14"/>
  <c r="AH262" i="14"/>
  <c r="AH261" i="14"/>
  <c r="AH260" i="14"/>
  <c r="AH259" i="14"/>
  <c r="AH258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AQ269" i="14"/>
  <c r="AQ268" i="14"/>
  <c r="AQ267" i="14"/>
  <c r="AQ266" i="14"/>
  <c r="AQ265" i="14"/>
  <c r="AQ264" i="14"/>
  <c r="AQ263" i="14"/>
  <c r="AQ262" i="14"/>
  <c r="AE269" i="14"/>
  <c r="AE268" i="14"/>
  <c r="AE267" i="14"/>
  <c r="AE266" i="14"/>
  <c r="AE265" i="14"/>
  <c r="AE264" i="14"/>
  <c r="AE263" i="14"/>
  <c r="AE262" i="14"/>
  <c r="S269" i="14"/>
  <c r="S268" i="14"/>
  <c r="S267" i="14"/>
  <c r="S266" i="14"/>
  <c r="S265" i="14"/>
  <c r="S264" i="14"/>
  <c r="S263" i="14"/>
  <c r="S262" i="14"/>
  <c r="AQ276" i="14"/>
  <c r="AQ275" i="14"/>
  <c r="AQ274" i="14"/>
  <c r="AQ273" i="14"/>
  <c r="AQ272" i="14"/>
  <c r="AQ271" i="14"/>
  <c r="AQ270" i="14"/>
  <c r="AE276" i="14"/>
  <c r="AE275" i="14"/>
  <c r="AE274" i="14"/>
  <c r="AE273" i="14"/>
  <c r="AE272" i="14"/>
  <c r="AE271" i="14"/>
  <c r="AE270" i="14"/>
  <c r="S270" i="14"/>
  <c r="S271" i="14"/>
  <c r="S272" i="14"/>
  <c r="S273" i="14"/>
  <c r="G277" i="13"/>
  <c r="G276" i="13"/>
  <c r="G275" i="13"/>
  <c r="G274" i="13"/>
  <c r="G277" i="12"/>
  <c r="G276" i="12"/>
  <c r="G275" i="12"/>
  <c r="G274" i="12"/>
  <c r="G276" i="1"/>
  <c r="G275" i="1"/>
  <c r="G274" i="1"/>
  <c r="S276" i="14"/>
  <c r="S275" i="14"/>
  <c r="S274" i="14"/>
  <c r="AT281" i="14"/>
  <c r="AT280" i="14"/>
  <c r="AT279" i="14"/>
  <c r="AT278" i="14"/>
  <c r="AT277" i="14"/>
  <c r="AT276" i="14"/>
  <c r="AT275" i="14"/>
  <c r="AT274" i="14"/>
  <c r="AT273" i="14"/>
  <c r="AT272" i="14"/>
  <c r="AT271" i="14"/>
  <c r="AT270" i="14"/>
  <c r="AH281" i="14"/>
  <c r="AH280" i="14"/>
  <c r="AH279" i="14"/>
  <c r="AH278" i="14"/>
  <c r="AH277" i="14"/>
  <c r="AH276" i="14"/>
  <c r="AH275" i="14"/>
  <c r="AH274" i="14"/>
  <c r="AH273" i="14"/>
  <c r="AH272" i="14"/>
  <c r="AH271" i="14"/>
  <c r="AH270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G273" i="13"/>
  <c r="G273" i="12"/>
  <c r="G273" i="1"/>
  <c r="G272" i="13"/>
  <c r="G272" i="12"/>
  <c r="G272" i="1"/>
  <c r="G271" i="13"/>
  <c r="G271" i="12"/>
  <c r="G271" i="1"/>
  <c r="G270" i="13"/>
  <c r="G270" i="12"/>
  <c r="G270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G269" i="13"/>
  <c r="G269" i="12"/>
  <c r="G269" i="1"/>
  <c r="G266" i="13"/>
  <c r="G266" i="12"/>
  <c r="G266" i="1"/>
  <c r="G265" i="13"/>
  <c r="G265" i="12"/>
  <c r="G265" i="1"/>
  <c r="G264" i="13"/>
  <c r="G264" i="12"/>
  <c r="G264" i="1"/>
  <c r="G263" i="13"/>
  <c r="G263" i="12"/>
  <c r="G263" i="1"/>
  <c r="G262" i="13"/>
  <c r="G262" i="12"/>
  <c r="G262" i="1"/>
  <c r="G261" i="1"/>
  <c r="G261" i="12"/>
  <c r="G261" i="13"/>
  <c r="G260" i="13"/>
  <c r="G260" i="12"/>
  <c r="G260" i="1"/>
  <c r="G259" i="1"/>
  <c r="G258" i="1"/>
  <c r="G259" i="12"/>
  <c r="G258" i="12"/>
  <c r="G259" i="13"/>
  <c r="G258" i="13"/>
  <c r="J269" i="1"/>
  <c r="J268" i="1"/>
  <c r="G268" i="1"/>
  <c r="J267" i="1"/>
  <c r="G267" i="1"/>
  <c r="J266" i="1"/>
  <c r="J265" i="1"/>
  <c r="J264" i="1"/>
  <c r="J263" i="1"/>
  <c r="J262" i="1"/>
  <c r="J261" i="1"/>
  <c r="J260" i="1"/>
  <c r="J259" i="1"/>
  <c r="J258" i="1"/>
  <c r="J269" i="12"/>
  <c r="J268" i="12"/>
  <c r="G268" i="12"/>
  <c r="J267" i="12"/>
  <c r="G267" i="12"/>
  <c r="J266" i="12"/>
  <c r="J265" i="12"/>
  <c r="J264" i="12"/>
  <c r="J263" i="12"/>
  <c r="J262" i="12"/>
  <c r="J261" i="12"/>
  <c r="J260" i="12"/>
  <c r="J259" i="12"/>
  <c r="J258" i="12"/>
  <c r="J269" i="13"/>
  <c r="J268" i="13"/>
  <c r="G268" i="13"/>
  <c r="J267" i="13"/>
  <c r="G267" i="13"/>
  <c r="J266" i="13"/>
  <c r="J265" i="13"/>
  <c r="J264" i="13"/>
  <c r="J263" i="13"/>
  <c r="J262" i="13"/>
  <c r="J261" i="13"/>
  <c r="J260" i="13"/>
  <c r="J259" i="13"/>
  <c r="J258" i="13"/>
  <c r="G257" i="14"/>
  <c r="G257" i="13"/>
  <c r="G257" i="1"/>
  <c r="G256" i="14"/>
  <c r="G255" i="14"/>
  <c r="G256" i="13"/>
  <c r="G255" i="13"/>
  <c r="G256" i="12"/>
  <c r="G255" i="12"/>
  <c r="G256" i="1"/>
  <c r="G255" i="1"/>
  <c r="G254" i="14"/>
  <c r="G253" i="14"/>
  <c r="G254" i="13"/>
  <c r="G253" i="13"/>
  <c r="G254" i="12"/>
  <c r="G253" i="12"/>
  <c r="G254" i="1"/>
  <c r="G253" i="1"/>
  <c r="G252" i="12"/>
  <c r="G252" i="13"/>
  <c r="G252" i="14"/>
  <c r="G252" i="1"/>
  <c r="G251" i="12"/>
  <c r="G251" i="13"/>
  <c r="G251" i="14"/>
  <c r="G251" i="1"/>
  <c r="G250" i="1"/>
  <c r="G250" i="12"/>
  <c r="G250" i="13"/>
  <c r="G250" i="14"/>
  <c r="G249" i="1"/>
  <c r="G248" i="1"/>
  <c r="G247" i="1"/>
  <c r="G246" i="1"/>
  <c r="G257" i="12"/>
  <c r="G249" i="12"/>
  <c r="G248" i="12"/>
  <c r="G247" i="12"/>
  <c r="G246" i="12"/>
  <c r="G249" i="13"/>
  <c r="G248" i="13"/>
  <c r="G247" i="13"/>
  <c r="G246" i="13"/>
  <c r="G249" i="14"/>
  <c r="G248" i="14"/>
  <c r="G247" i="14"/>
  <c r="G246" i="14"/>
  <c r="J257" i="1"/>
  <c r="J256" i="1"/>
  <c r="J255" i="1"/>
  <c r="J254" i="1"/>
  <c r="J253" i="1"/>
  <c r="J252" i="1"/>
  <c r="J251" i="1"/>
  <c r="J250" i="1"/>
  <c r="J249" i="1"/>
  <c r="J248" i="1"/>
  <c r="J247" i="1"/>
  <c r="J246" i="1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G245" i="1"/>
  <c r="G244" i="1"/>
  <c r="G243" i="1"/>
  <c r="G242" i="1"/>
  <c r="G245" i="12"/>
  <c r="G244" i="12"/>
  <c r="G243" i="12"/>
  <c r="G242" i="12"/>
  <c r="G245" i="13"/>
  <c r="G244" i="13"/>
  <c r="G243" i="13"/>
  <c r="G242" i="13"/>
  <c r="G241" i="1"/>
  <c r="G240" i="1"/>
  <c r="G241" i="12"/>
  <c r="G240" i="12"/>
  <c r="G241" i="13"/>
  <c r="G240" i="13"/>
  <c r="G239" i="13"/>
  <c r="G238" i="13"/>
  <c r="G237" i="13"/>
  <c r="G236" i="13"/>
  <c r="G235" i="13"/>
  <c r="G239" i="12"/>
  <c r="G238" i="12"/>
  <c r="G237" i="12"/>
  <c r="G236" i="12"/>
  <c r="G235" i="12"/>
  <c r="G239" i="1"/>
  <c r="G238" i="1"/>
  <c r="G237" i="1"/>
  <c r="G236" i="1"/>
  <c r="G235" i="1"/>
  <c r="G234" i="1"/>
  <c r="G234" i="12"/>
  <c r="G234" i="13"/>
  <c r="J245" i="1"/>
  <c r="J244" i="1"/>
  <c r="J243" i="1"/>
  <c r="J242" i="1"/>
  <c r="J241" i="1"/>
  <c r="J240" i="1"/>
  <c r="J239" i="1"/>
  <c r="J238" i="1"/>
  <c r="J237" i="1"/>
  <c r="J236" i="1"/>
  <c r="J235" i="1"/>
  <c r="J234" i="1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G233" i="13"/>
  <c r="G233" i="12"/>
  <c r="G233" i="1"/>
  <c r="G232" i="1"/>
  <c r="G232" i="12"/>
  <c r="G232" i="13"/>
  <c r="G231" i="1"/>
  <c r="G231" i="12"/>
  <c r="G231" i="13"/>
  <c r="G230" i="12"/>
  <c r="G230" i="1"/>
  <c r="G230" i="13"/>
  <c r="G229" i="13"/>
  <c r="G228" i="13"/>
  <c r="G227" i="13"/>
  <c r="G226" i="13"/>
  <c r="G225" i="13"/>
  <c r="G224" i="13"/>
  <c r="G223" i="13"/>
  <c r="G229" i="12"/>
  <c r="G228" i="12"/>
  <c r="G227" i="12"/>
  <c r="G226" i="12"/>
  <c r="G225" i="12"/>
  <c r="G224" i="12"/>
  <c r="G223" i="12"/>
  <c r="G229" i="1"/>
  <c r="G228" i="1"/>
  <c r="G227" i="1"/>
  <c r="G226" i="1"/>
  <c r="G225" i="1"/>
  <c r="G224" i="1"/>
  <c r="G223" i="1"/>
  <c r="G215" i="1"/>
  <c r="G216" i="1"/>
  <c r="G217" i="1"/>
  <c r="G218" i="1"/>
  <c r="G219" i="1"/>
  <c r="G220" i="1"/>
  <c r="G221" i="1"/>
  <c r="G222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G222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G222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G220" i="13"/>
  <c r="G219" i="13"/>
  <c r="G220" i="12"/>
  <c r="G219" i="12"/>
  <c r="G218" i="13"/>
  <c r="G218" i="12"/>
  <c r="G217" i="13"/>
  <c r="G217" i="12"/>
  <c r="G216" i="13"/>
  <c r="G215" i="13"/>
  <c r="G214" i="13"/>
  <c r="G216" i="12"/>
  <c r="G215" i="12"/>
  <c r="G214" i="12"/>
  <c r="G214" i="1"/>
  <c r="G114" i="14"/>
  <c r="J114" i="14"/>
  <c r="G115" i="14"/>
  <c r="J115" i="14"/>
  <c r="G116" i="14"/>
  <c r="J116" i="14"/>
  <c r="G117" i="14"/>
  <c r="J117" i="14"/>
  <c r="F118" i="14"/>
  <c r="F118" i="87" s="1"/>
  <c r="H118" i="14"/>
  <c r="I118" i="14"/>
  <c r="I118" i="87" s="1"/>
  <c r="F119" i="14"/>
  <c r="F119" i="87" s="1"/>
  <c r="H119" i="14"/>
  <c r="I119" i="14"/>
  <c r="I119" i="87" s="1"/>
  <c r="F120" i="14"/>
  <c r="F120" i="87" s="1"/>
  <c r="H120" i="14"/>
  <c r="H120" i="87" s="1"/>
  <c r="I120" i="14"/>
  <c r="I120" i="87" s="1"/>
  <c r="F121" i="14"/>
  <c r="F121" i="87" s="1"/>
  <c r="H121" i="14"/>
  <c r="H121" i="87" s="1"/>
  <c r="I121" i="14"/>
  <c r="I121" i="87" s="1"/>
  <c r="F122" i="14"/>
  <c r="H122" i="14"/>
  <c r="I122" i="14"/>
  <c r="I122" i="87" s="1"/>
  <c r="F123" i="14"/>
  <c r="H123" i="14"/>
  <c r="I123" i="14"/>
  <c r="F124" i="14"/>
  <c r="H124" i="14"/>
  <c r="I124" i="14"/>
  <c r="F125" i="14"/>
  <c r="H125" i="14"/>
  <c r="I125" i="14"/>
  <c r="F126" i="14"/>
  <c r="H126" i="14"/>
  <c r="I126" i="14"/>
  <c r="F127" i="14"/>
  <c r="H127" i="14"/>
  <c r="I127" i="14"/>
  <c r="F128" i="14"/>
  <c r="H128" i="14"/>
  <c r="I128" i="14"/>
  <c r="G129" i="14"/>
  <c r="J129" i="14"/>
  <c r="G130" i="14"/>
  <c r="J130" i="14"/>
  <c r="G131" i="14"/>
  <c r="J131" i="14"/>
  <c r="G132" i="14"/>
  <c r="J132" i="14"/>
  <c r="G133" i="14"/>
  <c r="J133" i="14"/>
  <c r="G213" i="13"/>
  <c r="G213" i="12"/>
  <c r="G213" i="1"/>
  <c r="G212" i="13"/>
  <c r="G211" i="13"/>
  <c r="G210" i="13"/>
  <c r="G212" i="12"/>
  <c r="G211" i="12"/>
  <c r="G210" i="12"/>
  <c r="G212" i="1"/>
  <c r="G211" i="1"/>
  <c r="G210" i="1"/>
  <c r="J221" i="13"/>
  <c r="G221" i="13"/>
  <c r="J220" i="13"/>
  <c r="J219" i="13"/>
  <c r="J218" i="13"/>
  <c r="J217" i="13"/>
  <c r="J216" i="13"/>
  <c r="J215" i="13"/>
  <c r="J214" i="13"/>
  <c r="J213" i="13"/>
  <c r="J212" i="13"/>
  <c r="J211" i="13"/>
  <c r="J210" i="13"/>
  <c r="J221" i="12"/>
  <c r="G221" i="12"/>
  <c r="J220" i="12"/>
  <c r="J219" i="12"/>
  <c r="J218" i="12"/>
  <c r="J217" i="12"/>
  <c r="J216" i="12"/>
  <c r="J215" i="12"/>
  <c r="J214" i="12"/>
  <c r="J213" i="12"/>
  <c r="J212" i="12"/>
  <c r="J211" i="12"/>
  <c r="J210" i="12"/>
  <c r="J214" i="1"/>
  <c r="J213" i="1"/>
  <c r="J212" i="1"/>
  <c r="J211" i="1"/>
  <c r="J210" i="1"/>
  <c r="G209" i="13"/>
  <c r="G208" i="13"/>
  <c r="G207" i="13"/>
  <c r="G209" i="12"/>
  <c r="G208" i="12"/>
  <c r="G207" i="12"/>
  <c r="G209" i="1"/>
  <c r="G208" i="1"/>
  <c r="G207" i="1"/>
  <c r="G206" i="13"/>
  <c r="G206" i="12"/>
  <c r="G206" i="1"/>
  <c r="G205" i="13"/>
  <c r="G204" i="13"/>
  <c r="G203" i="13"/>
  <c r="G202" i="13"/>
  <c r="G201" i="13"/>
  <c r="G200" i="13"/>
  <c r="G199" i="13"/>
  <c r="G198" i="13"/>
  <c r="G205" i="12"/>
  <c r="G204" i="12"/>
  <c r="G203" i="12"/>
  <c r="G202" i="12"/>
  <c r="G201" i="12"/>
  <c r="G200" i="12"/>
  <c r="G199" i="12"/>
  <c r="G198" i="12"/>
  <c r="G205" i="1"/>
  <c r="G204" i="1"/>
  <c r="G203" i="1"/>
  <c r="G202" i="1"/>
  <c r="G201" i="1"/>
  <c r="G200" i="1"/>
  <c r="G199" i="1"/>
  <c r="G198" i="1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209" i="1"/>
  <c r="J208" i="1"/>
  <c r="J207" i="1"/>
  <c r="J206" i="1"/>
  <c r="J205" i="1"/>
  <c r="J204" i="1"/>
  <c r="J203" i="1"/>
  <c r="J202" i="1"/>
  <c r="J201" i="1"/>
  <c r="J200" i="1"/>
  <c r="J199" i="1"/>
  <c r="J198" i="1"/>
  <c r="J122" i="16"/>
  <c r="G122" i="16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97" i="1"/>
  <c r="G196" i="1"/>
  <c r="G195" i="1"/>
  <c r="G194" i="1"/>
  <c r="G193" i="1"/>
  <c r="G192" i="1"/>
  <c r="G191" i="1"/>
  <c r="G190" i="1"/>
  <c r="G189" i="1"/>
  <c r="G188" i="1"/>
  <c r="G187" i="1"/>
  <c r="G186" i="1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97" i="1"/>
  <c r="J196" i="1"/>
  <c r="J195" i="1"/>
  <c r="J194" i="1"/>
  <c r="J193" i="1"/>
  <c r="J192" i="1"/>
  <c r="J191" i="1"/>
  <c r="J190" i="1"/>
  <c r="J189" i="1"/>
  <c r="J188" i="1"/>
  <c r="J187" i="1"/>
  <c r="J186" i="1"/>
  <c r="G6" i="13"/>
  <c r="J6" i="13"/>
  <c r="G7" i="13"/>
  <c r="J7" i="13"/>
  <c r="G8" i="13"/>
  <c r="J8" i="13"/>
  <c r="G9" i="13"/>
  <c r="J9" i="13"/>
  <c r="G10" i="13"/>
  <c r="J10" i="13"/>
  <c r="G11" i="13"/>
  <c r="J11" i="13"/>
  <c r="G12" i="13"/>
  <c r="J12" i="13"/>
  <c r="G13" i="13"/>
  <c r="J13" i="13"/>
  <c r="G14" i="13"/>
  <c r="J14" i="13"/>
  <c r="G15" i="13"/>
  <c r="J15" i="13"/>
  <c r="G16" i="13"/>
  <c r="J16" i="13"/>
  <c r="G17" i="13"/>
  <c r="J17" i="13"/>
  <c r="G18" i="13"/>
  <c r="J18" i="13"/>
  <c r="J19" i="13"/>
  <c r="J20" i="13"/>
  <c r="J21" i="13"/>
  <c r="J22" i="13"/>
  <c r="G23" i="13"/>
  <c r="J23" i="13"/>
  <c r="G24" i="13"/>
  <c r="J24" i="13"/>
  <c r="G25" i="13"/>
  <c r="J25" i="13"/>
  <c r="G26" i="13"/>
  <c r="J26" i="13"/>
  <c r="G27" i="13"/>
  <c r="J27" i="13"/>
  <c r="G28" i="13"/>
  <c r="J28" i="13"/>
  <c r="G29" i="13"/>
  <c r="J29" i="13"/>
  <c r="G30" i="13"/>
  <c r="J30" i="13"/>
  <c r="G31" i="13"/>
  <c r="J31" i="13"/>
  <c r="G32" i="13"/>
  <c r="J32" i="13"/>
  <c r="G33" i="13"/>
  <c r="J33" i="13"/>
  <c r="G34" i="13"/>
  <c r="J34" i="13"/>
  <c r="G35" i="13"/>
  <c r="J35" i="13"/>
  <c r="G36" i="13"/>
  <c r="J36" i="13"/>
  <c r="G37" i="13"/>
  <c r="J37" i="13"/>
  <c r="G38" i="13"/>
  <c r="J38" i="13"/>
  <c r="G39" i="13"/>
  <c r="J39" i="13"/>
  <c r="G40" i="13"/>
  <c r="J40" i="13"/>
  <c r="G41" i="13"/>
  <c r="J41" i="13"/>
  <c r="G42" i="13"/>
  <c r="J42" i="13"/>
  <c r="G43" i="13"/>
  <c r="J43" i="13"/>
  <c r="G44" i="13"/>
  <c r="J44" i="13"/>
  <c r="G45" i="13"/>
  <c r="J45" i="13"/>
  <c r="G46" i="13"/>
  <c r="J46" i="13"/>
  <c r="G47" i="13"/>
  <c r="J47" i="13"/>
  <c r="G48" i="13"/>
  <c r="J48" i="13"/>
  <c r="G49" i="13"/>
  <c r="J49" i="13"/>
  <c r="G50" i="13"/>
  <c r="J50" i="13"/>
  <c r="G51" i="13"/>
  <c r="J51" i="13"/>
  <c r="G52" i="13"/>
  <c r="J52" i="13"/>
  <c r="G53" i="13"/>
  <c r="J53" i="13"/>
  <c r="G54" i="13"/>
  <c r="J54" i="13"/>
  <c r="G55" i="13"/>
  <c r="J55" i="13"/>
  <c r="G56" i="13"/>
  <c r="J56" i="13"/>
  <c r="G57" i="13"/>
  <c r="J57" i="13"/>
  <c r="G58" i="13"/>
  <c r="J58" i="13"/>
  <c r="G59" i="13"/>
  <c r="J59" i="13"/>
  <c r="G60" i="13"/>
  <c r="J60" i="13"/>
  <c r="G61" i="13"/>
  <c r="J61" i="13"/>
  <c r="G62" i="13"/>
  <c r="J62" i="13"/>
  <c r="G63" i="13"/>
  <c r="J63" i="13"/>
  <c r="G64" i="13"/>
  <c r="J64" i="13"/>
  <c r="G65" i="13"/>
  <c r="J65" i="13"/>
  <c r="G66" i="13"/>
  <c r="J66" i="13"/>
  <c r="G67" i="13"/>
  <c r="J67" i="13"/>
  <c r="G68" i="13"/>
  <c r="J68" i="13"/>
  <c r="G69" i="13"/>
  <c r="J69" i="13"/>
  <c r="G70" i="13"/>
  <c r="J70" i="13"/>
  <c r="G71" i="13"/>
  <c r="J71" i="13"/>
  <c r="G72" i="13"/>
  <c r="J72" i="13"/>
  <c r="G73" i="13"/>
  <c r="J73" i="13"/>
  <c r="G74" i="13"/>
  <c r="J74" i="13"/>
  <c r="G75" i="13"/>
  <c r="J75" i="13"/>
  <c r="G76" i="13"/>
  <c r="J76" i="13"/>
  <c r="G77" i="13"/>
  <c r="J77" i="13"/>
  <c r="G78" i="13"/>
  <c r="J78" i="13"/>
  <c r="G79" i="13"/>
  <c r="J79" i="13"/>
  <c r="G80" i="13"/>
  <c r="J80" i="13"/>
  <c r="G81" i="13"/>
  <c r="J81" i="13"/>
  <c r="G82" i="13"/>
  <c r="J82" i="13"/>
  <c r="G83" i="13"/>
  <c r="J83" i="13"/>
  <c r="G84" i="13"/>
  <c r="J84" i="13"/>
  <c r="G85" i="13"/>
  <c r="J85" i="13"/>
  <c r="G86" i="13"/>
  <c r="J86" i="13"/>
  <c r="G87" i="13"/>
  <c r="J87" i="13"/>
  <c r="G88" i="13"/>
  <c r="J88" i="13"/>
  <c r="G89" i="13"/>
  <c r="J89" i="13"/>
  <c r="G90" i="13"/>
  <c r="J90" i="13"/>
  <c r="G91" i="13"/>
  <c r="J91" i="13"/>
  <c r="G92" i="13"/>
  <c r="J92" i="13"/>
  <c r="G93" i="13"/>
  <c r="J93" i="13"/>
  <c r="G94" i="13"/>
  <c r="J94" i="13"/>
  <c r="G95" i="13"/>
  <c r="J95" i="13"/>
  <c r="G96" i="13"/>
  <c r="J96" i="13"/>
  <c r="G97" i="13"/>
  <c r="J97" i="13"/>
  <c r="G98" i="13"/>
  <c r="J98" i="13"/>
  <c r="G99" i="13"/>
  <c r="J99" i="13"/>
  <c r="G100" i="13"/>
  <c r="J100" i="13"/>
  <c r="G101" i="13"/>
  <c r="J101" i="13"/>
  <c r="G102" i="13"/>
  <c r="J102" i="13"/>
  <c r="G103" i="13"/>
  <c r="J103" i="13"/>
  <c r="G104" i="13"/>
  <c r="J104" i="13"/>
  <c r="G105" i="13"/>
  <c r="J105" i="13"/>
  <c r="G106" i="13"/>
  <c r="J106" i="13"/>
  <c r="G107" i="13"/>
  <c r="J107" i="13"/>
  <c r="G108" i="13"/>
  <c r="J108" i="13"/>
  <c r="G109" i="13"/>
  <c r="J109" i="13"/>
  <c r="G110" i="13"/>
  <c r="J110" i="13"/>
  <c r="G111" i="13"/>
  <c r="J111" i="13"/>
  <c r="G112" i="13"/>
  <c r="J112" i="13"/>
  <c r="G113" i="13"/>
  <c r="J113" i="13"/>
  <c r="G114" i="13"/>
  <c r="J114" i="13"/>
  <c r="G115" i="13"/>
  <c r="J115" i="13"/>
  <c r="G116" i="13"/>
  <c r="J116" i="13"/>
  <c r="G117" i="13"/>
  <c r="J117" i="13"/>
  <c r="G118" i="13"/>
  <c r="J118" i="13"/>
  <c r="G119" i="13"/>
  <c r="J119" i="13"/>
  <c r="G120" i="13"/>
  <c r="J120" i="13"/>
  <c r="G121" i="13"/>
  <c r="J121" i="13"/>
  <c r="G122" i="13"/>
  <c r="J122" i="13"/>
  <c r="G123" i="13"/>
  <c r="J123" i="13"/>
  <c r="G124" i="13"/>
  <c r="J124" i="13"/>
  <c r="G125" i="13"/>
  <c r="J125" i="13"/>
  <c r="G126" i="13"/>
  <c r="J126" i="13"/>
  <c r="G127" i="13"/>
  <c r="J127" i="13"/>
  <c r="G128" i="13"/>
  <c r="J128" i="13"/>
  <c r="G129" i="13"/>
  <c r="J129" i="13"/>
  <c r="G130" i="13"/>
  <c r="J130" i="13"/>
  <c r="G131" i="13"/>
  <c r="J131" i="13"/>
  <c r="G132" i="13"/>
  <c r="J132" i="13"/>
  <c r="G133" i="13"/>
  <c r="J133" i="13"/>
  <c r="G134" i="13"/>
  <c r="J134" i="13"/>
  <c r="G135" i="13"/>
  <c r="J135" i="13"/>
  <c r="G136" i="13"/>
  <c r="J136" i="13"/>
  <c r="G137" i="13"/>
  <c r="J137" i="13"/>
  <c r="G138" i="13"/>
  <c r="J138" i="13"/>
  <c r="G139" i="13"/>
  <c r="J139" i="13"/>
  <c r="G140" i="13"/>
  <c r="J140" i="13"/>
  <c r="G141" i="13"/>
  <c r="J141" i="13"/>
  <c r="G142" i="13"/>
  <c r="J142" i="13"/>
  <c r="G143" i="13"/>
  <c r="J143" i="13"/>
  <c r="G144" i="13"/>
  <c r="J144" i="13"/>
  <c r="G145" i="13"/>
  <c r="J145" i="13"/>
  <c r="G146" i="13"/>
  <c r="J146" i="13"/>
  <c r="G147" i="13"/>
  <c r="J147" i="13"/>
  <c r="G148" i="13"/>
  <c r="J148" i="13"/>
  <c r="G149" i="13"/>
  <c r="J149" i="13"/>
  <c r="G156" i="13"/>
  <c r="J156" i="13"/>
  <c r="G157" i="13"/>
  <c r="J157" i="13"/>
  <c r="G158" i="13"/>
  <c r="J158" i="13"/>
  <c r="G159" i="13"/>
  <c r="J159" i="13"/>
  <c r="G160" i="13"/>
  <c r="J160" i="13"/>
  <c r="G161" i="13"/>
  <c r="J161" i="13"/>
  <c r="G162" i="13"/>
  <c r="J162" i="13"/>
  <c r="G163" i="13"/>
  <c r="J163" i="13"/>
  <c r="G164" i="13"/>
  <c r="J164" i="13"/>
  <c r="G165" i="13"/>
  <c r="J165" i="13"/>
  <c r="G166" i="13"/>
  <c r="J166" i="13"/>
  <c r="G167" i="13"/>
  <c r="J167" i="13"/>
  <c r="G168" i="13"/>
  <c r="J168" i="13"/>
  <c r="G169" i="13"/>
  <c r="J169" i="13"/>
  <c r="G170" i="13"/>
  <c r="J170" i="13"/>
  <c r="G171" i="13"/>
  <c r="J171" i="13"/>
  <c r="G172" i="13"/>
  <c r="J172" i="13"/>
  <c r="G173" i="13"/>
  <c r="J173" i="13"/>
  <c r="G174" i="13"/>
  <c r="J174" i="13"/>
  <c r="G175" i="13"/>
  <c r="J175" i="13"/>
  <c r="G176" i="13"/>
  <c r="J176" i="13"/>
  <c r="G177" i="13"/>
  <c r="J177" i="13"/>
  <c r="G178" i="13"/>
  <c r="J178" i="13"/>
  <c r="G179" i="13"/>
  <c r="J179" i="13"/>
  <c r="G180" i="13"/>
  <c r="J180" i="13"/>
  <c r="G181" i="13"/>
  <c r="J181" i="13"/>
  <c r="G182" i="13"/>
  <c r="J182" i="13"/>
  <c r="G183" i="13"/>
  <c r="J183" i="13"/>
  <c r="G184" i="13"/>
  <c r="J184" i="13"/>
  <c r="J185" i="13"/>
  <c r="G6" i="14"/>
  <c r="J6" i="14"/>
  <c r="G7" i="14"/>
  <c r="J7" i="14"/>
  <c r="G8" i="14"/>
  <c r="J8" i="14"/>
  <c r="G9" i="14"/>
  <c r="J9" i="14"/>
  <c r="G10" i="14"/>
  <c r="J10" i="14"/>
  <c r="G11" i="14"/>
  <c r="J11" i="14"/>
  <c r="G12" i="14"/>
  <c r="J12" i="14"/>
  <c r="G13" i="14"/>
  <c r="J13" i="14"/>
  <c r="G14" i="14"/>
  <c r="J14" i="14"/>
  <c r="G15" i="14"/>
  <c r="J15" i="14"/>
  <c r="G16" i="14"/>
  <c r="J16" i="14"/>
  <c r="G17" i="14"/>
  <c r="J17" i="14"/>
  <c r="G18" i="14"/>
  <c r="J18" i="14"/>
  <c r="G19" i="14"/>
  <c r="J19" i="14"/>
  <c r="G20" i="14"/>
  <c r="J20" i="14"/>
  <c r="G21" i="14"/>
  <c r="J21" i="14"/>
  <c r="F22" i="14"/>
  <c r="I22" i="14"/>
  <c r="G23" i="14"/>
  <c r="J23" i="14"/>
  <c r="G24" i="14"/>
  <c r="J24" i="14"/>
  <c r="G25" i="14"/>
  <c r="J25" i="14"/>
  <c r="G26" i="14"/>
  <c r="J26" i="14"/>
  <c r="G27" i="14"/>
  <c r="J27" i="14"/>
  <c r="G28" i="14"/>
  <c r="J28" i="14"/>
  <c r="G29" i="14"/>
  <c r="J29" i="14"/>
  <c r="F30" i="14"/>
  <c r="H30" i="14"/>
  <c r="I30" i="14"/>
  <c r="F31" i="14"/>
  <c r="H31" i="14"/>
  <c r="I31" i="14"/>
  <c r="G32" i="14"/>
  <c r="J32" i="14"/>
  <c r="G33" i="14"/>
  <c r="J33" i="14"/>
  <c r="G34" i="14"/>
  <c r="J34" i="14"/>
  <c r="G35" i="14"/>
  <c r="J35" i="14"/>
  <c r="G36" i="14"/>
  <c r="J36" i="14"/>
  <c r="F37" i="14"/>
  <c r="H37" i="14"/>
  <c r="I37" i="14"/>
  <c r="F38" i="14"/>
  <c r="H38" i="14"/>
  <c r="I38" i="14"/>
  <c r="G39" i="14"/>
  <c r="J39" i="14"/>
  <c r="G40" i="14"/>
  <c r="J40" i="14"/>
  <c r="G41" i="14"/>
  <c r="J41" i="14"/>
  <c r="G42" i="14"/>
  <c r="J42" i="14"/>
  <c r="G43" i="14"/>
  <c r="J43" i="14"/>
  <c r="G44" i="14"/>
  <c r="J44" i="14"/>
  <c r="G45" i="14"/>
  <c r="J45" i="14"/>
  <c r="G46" i="14"/>
  <c r="J46" i="14"/>
  <c r="G47" i="14"/>
  <c r="J47" i="14"/>
  <c r="G48" i="14"/>
  <c r="J48" i="14"/>
  <c r="G49" i="14"/>
  <c r="J49" i="14"/>
  <c r="G50" i="14"/>
  <c r="J50" i="14"/>
  <c r="G51" i="14"/>
  <c r="J51" i="14"/>
  <c r="G52" i="14"/>
  <c r="J52" i="14"/>
  <c r="G53" i="14"/>
  <c r="J53" i="14"/>
  <c r="G54" i="14"/>
  <c r="J54" i="14"/>
  <c r="G55" i="14"/>
  <c r="J55" i="14"/>
  <c r="G56" i="14"/>
  <c r="J56" i="14"/>
  <c r="G57" i="14"/>
  <c r="J57" i="14"/>
  <c r="G58" i="14"/>
  <c r="J58" i="14"/>
  <c r="G59" i="14"/>
  <c r="J59" i="14"/>
  <c r="G60" i="14"/>
  <c r="J60" i="14"/>
  <c r="G61" i="14"/>
  <c r="J61" i="14"/>
  <c r="G62" i="14"/>
  <c r="J62" i="14"/>
  <c r="G63" i="14"/>
  <c r="J63" i="14"/>
  <c r="G64" i="14"/>
  <c r="J64" i="14"/>
  <c r="G65" i="14"/>
  <c r="J65" i="14"/>
  <c r="G66" i="14"/>
  <c r="J66" i="14"/>
  <c r="G67" i="14"/>
  <c r="J67" i="14"/>
  <c r="G68" i="14"/>
  <c r="J68" i="14"/>
  <c r="G69" i="14"/>
  <c r="J69" i="14"/>
  <c r="G70" i="14"/>
  <c r="J70" i="14"/>
  <c r="G71" i="14"/>
  <c r="J71" i="14"/>
  <c r="G72" i="14"/>
  <c r="J72" i="14"/>
  <c r="G73" i="14"/>
  <c r="J73" i="14"/>
  <c r="G74" i="14"/>
  <c r="J74" i="14"/>
  <c r="G75" i="14"/>
  <c r="J75" i="14"/>
  <c r="G76" i="14"/>
  <c r="J76" i="14"/>
  <c r="G77" i="14"/>
  <c r="J77" i="14"/>
  <c r="G78" i="14"/>
  <c r="J78" i="14"/>
  <c r="G79" i="14"/>
  <c r="J79" i="14"/>
  <c r="G80" i="14"/>
  <c r="J80" i="14"/>
  <c r="G81" i="14"/>
  <c r="J81" i="14"/>
  <c r="G82" i="14"/>
  <c r="J82" i="14"/>
  <c r="G83" i="14"/>
  <c r="J83" i="14"/>
  <c r="G84" i="14"/>
  <c r="J84" i="14"/>
  <c r="G85" i="14"/>
  <c r="J85" i="14"/>
  <c r="G86" i="14"/>
  <c r="J86" i="14"/>
  <c r="G87" i="14"/>
  <c r="J87" i="14"/>
  <c r="G88" i="14"/>
  <c r="J88" i="14"/>
  <c r="G89" i="14"/>
  <c r="J89" i="14"/>
  <c r="G90" i="14"/>
  <c r="J90" i="14"/>
  <c r="G91" i="14"/>
  <c r="J91" i="14"/>
  <c r="G92" i="14"/>
  <c r="J92" i="14"/>
  <c r="G93" i="14"/>
  <c r="J93" i="14"/>
  <c r="G94" i="14"/>
  <c r="J94" i="14"/>
  <c r="G95" i="14"/>
  <c r="J95" i="14"/>
  <c r="G96" i="14"/>
  <c r="J96" i="14"/>
  <c r="G97" i="14"/>
  <c r="J97" i="14"/>
  <c r="G98" i="14"/>
  <c r="J98" i="14"/>
  <c r="G99" i="14"/>
  <c r="J99" i="14"/>
  <c r="G100" i="14"/>
  <c r="J100" i="14"/>
  <c r="G101" i="14"/>
  <c r="J101" i="14"/>
  <c r="G102" i="14"/>
  <c r="J102" i="14"/>
  <c r="G103" i="14"/>
  <c r="J103" i="14"/>
  <c r="G104" i="14"/>
  <c r="J104" i="14"/>
  <c r="G105" i="14"/>
  <c r="J105" i="14"/>
  <c r="G106" i="14"/>
  <c r="J106" i="14"/>
  <c r="G107" i="14"/>
  <c r="J107" i="14"/>
  <c r="G108" i="14"/>
  <c r="J108" i="14"/>
  <c r="G109" i="14"/>
  <c r="J109" i="14"/>
  <c r="G110" i="14"/>
  <c r="J110" i="14"/>
  <c r="G111" i="14"/>
  <c r="J111" i="14"/>
  <c r="G112" i="14"/>
  <c r="J112" i="14"/>
  <c r="G113" i="14"/>
  <c r="J113" i="14"/>
  <c r="G6" i="16"/>
  <c r="J6" i="16"/>
  <c r="G7" i="16"/>
  <c r="J7" i="16"/>
  <c r="G8" i="16"/>
  <c r="J8" i="16"/>
  <c r="G9" i="16"/>
  <c r="J9" i="16"/>
  <c r="G10" i="16"/>
  <c r="J10" i="16"/>
  <c r="G11" i="16"/>
  <c r="J11" i="16"/>
  <c r="G12" i="16"/>
  <c r="J12" i="16"/>
  <c r="G13" i="16"/>
  <c r="J13" i="16"/>
  <c r="G14" i="16"/>
  <c r="J14" i="16"/>
  <c r="G15" i="16"/>
  <c r="J15" i="16"/>
  <c r="G16" i="16"/>
  <c r="J16" i="16"/>
  <c r="G17" i="16"/>
  <c r="J17" i="16"/>
  <c r="G18" i="16"/>
  <c r="J18" i="16"/>
  <c r="G19" i="16"/>
  <c r="J19" i="16"/>
  <c r="G20" i="16"/>
  <c r="J20" i="16"/>
  <c r="G21" i="16"/>
  <c r="J21" i="16"/>
  <c r="G22" i="16"/>
  <c r="J22" i="16"/>
  <c r="G23" i="16"/>
  <c r="J23" i="16"/>
  <c r="G24" i="16"/>
  <c r="J24" i="16"/>
  <c r="G25" i="16"/>
  <c r="J25" i="16"/>
  <c r="G26" i="16"/>
  <c r="J26" i="16"/>
  <c r="G27" i="16"/>
  <c r="J27" i="16"/>
  <c r="G28" i="16"/>
  <c r="J28" i="16"/>
  <c r="G29" i="16"/>
  <c r="J29" i="16"/>
  <c r="G30" i="16"/>
  <c r="J30" i="16"/>
  <c r="G31" i="16"/>
  <c r="J31" i="16"/>
  <c r="G32" i="16"/>
  <c r="J32" i="16"/>
  <c r="G33" i="16"/>
  <c r="J33" i="16"/>
  <c r="H34" i="16"/>
  <c r="I34" i="16"/>
  <c r="G35" i="16"/>
  <c r="J35" i="16"/>
  <c r="G36" i="16"/>
  <c r="J36" i="16"/>
  <c r="G37" i="16"/>
  <c r="J37" i="16"/>
  <c r="H38" i="16"/>
  <c r="I38" i="16"/>
  <c r="G39" i="16"/>
  <c r="J39" i="16"/>
  <c r="G40" i="16"/>
  <c r="J40" i="16"/>
  <c r="G41" i="16"/>
  <c r="J41" i="16"/>
  <c r="G42" i="16"/>
  <c r="J42" i="16"/>
  <c r="G43" i="16"/>
  <c r="J43" i="16"/>
  <c r="G44" i="16"/>
  <c r="J44" i="16"/>
  <c r="G45" i="16"/>
  <c r="J45" i="16"/>
  <c r="G46" i="16"/>
  <c r="J46" i="16"/>
  <c r="G47" i="16"/>
  <c r="J47" i="16"/>
  <c r="G48" i="16"/>
  <c r="J48" i="16"/>
  <c r="G49" i="16"/>
  <c r="J49" i="16"/>
  <c r="G50" i="16"/>
  <c r="J50" i="16"/>
  <c r="G51" i="16"/>
  <c r="J51" i="16"/>
  <c r="G52" i="16"/>
  <c r="J52" i="16"/>
  <c r="G53" i="16"/>
  <c r="J53" i="16"/>
  <c r="G54" i="16"/>
  <c r="J54" i="16"/>
  <c r="G55" i="16"/>
  <c r="J55" i="16"/>
  <c r="G56" i="16"/>
  <c r="J56" i="16"/>
  <c r="G57" i="16"/>
  <c r="J57" i="16"/>
  <c r="G58" i="16"/>
  <c r="J58" i="16"/>
  <c r="G59" i="16"/>
  <c r="J59" i="16"/>
  <c r="G60" i="16"/>
  <c r="J60" i="16"/>
  <c r="G61" i="16"/>
  <c r="J61" i="16"/>
  <c r="G62" i="16"/>
  <c r="J62" i="16"/>
  <c r="G63" i="16"/>
  <c r="J63" i="16"/>
  <c r="G64" i="16"/>
  <c r="J64" i="16"/>
  <c r="G65" i="16"/>
  <c r="J65" i="16"/>
  <c r="G66" i="16"/>
  <c r="J66" i="16"/>
  <c r="G67" i="16"/>
  <c r="J67" i="16"/>
  <c r="G68" i="16"/>
  <c r="J68" i="16"/>
  <c r="G69" i="16"/>
  <c r="J69" i="16"/>
  <c r="G70" i="16"/>
  <c r="J70" i="16"/>
  <c r="G71" i="16"/>
  <c r="J71" i="16"/>
  <c r="G72" i="16"/>
  <c r="J72" i="16"/>
  <c r="G73" i="16"/>
  <c r="J73" i="16"/>
  <c r="G74" i="16"/>
  <c r="J74" i="16"/>
  <c r="G75" i="16"/>
  <c r="J75" i="16"/>
  <c r="G76" i="16"/>
  <c r="J76" i="16"/>
  <c r="G77" i="16"/>
  <c r="J77" i="16"/>
  <c r="G78" i="16"/>
  <c r="J78" i="16"/>
  <c r="G79" i="16"/>
  <c r="J79" i="16"/>
  <c r="G80" i="16"/>
  <c r="J80" i="16"/>
  <c r="G81" i="16"/>
  <c r="J81" i="16"/>
  <c r="G82" i="16"/>
  <c r="J82" i="16"/>
  <c r="G83" i="16"/>
  <c r="J83" i="16"/>
  <c r="G84" i="16"/>
  <c r="J84" i="16"/>
  <c r="G85" i="16"/>
  <c r="J85" i="16"/>
  <c r="G86" i="16"/>
  <c r="J86" i="16"/>
  <c r="G87" i="16"/>
  <c r="J87" i="16"/>
  <c r="G88" i="16"/>
  <c r="J88" i="16"/>
  <c r="G89" i="16"/>
  <c r="J89" i="16"/>
  <c r="G90" i="16"/>
  <c r="J90" i="16"/>
  <c r="G91" i="16"/>
  <c r="J91" i="16"/>
  <c r="G92" i="16"/>
  <c r="J92" i="16"/>
  <c r="G93" i="16"/>
  <c r="J93" i="16"/>
  <c r="G94" i="16"/>
  <c r="J94" i="16"/>
  <c r="G95" i="16"/>
  <c r="J95" i="16"/>
  <c r="G96" i="16"/>
  <c r="J96" i="16"/>
  <c r="G97" i="16"/>
  <c r="J97" i="16"/>
  <c r="G98" i="16"/>
  <c r="J98" i="16"/>
  <c r="G99" i="16"/>
  <c r="J99" i="16"/>
  <c r="G100" i="16"/>
  <c r="J100" i="16"/>
  <c r="G101" i="16"/>
  <c r="J101" i="16"/>
  <c r="G102" i="16"/>
  <c r="J102" i="16"/>
  <c r="G103" i="16"/>
  <c r="J103" i="16"/>
  <c r="G104" i="16"/>
  <c r="J104" i="16"/>
  <c r="G105" i="16"/>
  <c r="J105" i="16"/>
  <c r="G106" i="16"/>
  <c r="J106" i="16"/>
  <c r="G107" i="16"/>
  <c r="J107" i="16"/>
  <c r="G108" i="16"/>
  <c r="J108" i="16"/>
  <c r="G109" i="16"/>
  <c r="J109" i="16"/>
  <c r="G110" i="16"/>
  <c r="J110" i="16"/>
  <c r="G111" i="16"/>
  <c r="J111" i="16"/>
  <c r="G112" i="16"/>
  <c r="J112" i="16"/>
  <c r="G113" i="16"/>
  <c r="J113" i="16"/>
  <c r="G114" i="16"/>
  <c r="J114" i="16"/>
  <c r="G115" i="16"/>
  <c r="J115" i="16"/>
  <c r="G116" i="16"/>
  <c r="J116" i="16"/>
  <c r="G117" i="16"/>
  <c r="J117" i="16"/>
  <c r="G118" i="16"/>
  <c r="J118" i="16"/>
  <c r="G119" i="16"/>
  <c r="J119" i="16"/>
  <c r="G120" i="16"/>
  <c r="J120" i="16"/>
  <c r="G121" i="16"/>
  <c r="J121" i="16"/>
  <c r="H123" i="16"/>
  <c r="I123" i="16"/>
  <c r="H124" i="16"/>
  <c r="I124" i="16"/>
  <c r="H125" i="16"/>
  <c r="I125" i="16"/>
  <c r="H126" i="16"/>
  <c r="I126" i="16"/>
  <c r="H127" i="16"/>
  <c r="I127" i="16"/>
  <c r="H128" i="16"/>
  <c r="I128" i="16"/>
  <c r="G129" i="16"/>
  <c r="J129" i="16"/>
  <c r="G130" i="16"/>
  <c r="J130" i="16"/>
  <c r="G6" i="15"/>
  <c r="J6" i="15"/>
  <c r="G7" i="15"/>
  <c r="J7" i="15"/>
  <c r="G8" i="15"/>
  <c r="J8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J23" i="15"/>
  <c r="G24" i="15"/>
  <c r="J24" i="15"/>
  <c r="G25" i="15"/>
  <c r="J25" i="15"/>
  <c r="G26" i="15"/>
  <c r="J26" i="15"/>
  <c r="G27" i="15"/>
  <c r="J27" i="15"/>
  <c r="G28" i="15"/>
  <c r="J28" i="15"/>
  <c r="G29" i="15"/>
  <c r="J29" i="15"/>
  <c r="F30" i="15"/>
  <c r="H30" i="15"/>
  <c r="I30" i="15"/>
  <c r="F31" i="15"/>
  <c r="H31" i="15"/>
  <c r="H31" i="87" s="1"/>
  <c r="I31" i="15"/>
  <c r="G32" i="15"/>
  <c r="J32" i="15"/>
  <c r="G33" i="15"/>
  <c r="J33" i="15"/>
  <c r="G34" i="15"/>
  <c r="J34" i="15"/>
  <c r="G35" i="15"/>
  <c r="J35" i="15"/>
  <c r="G36" i="15"/>
  <c r="J36" i="15"/>
  <c r="F37" i="15"/>
  <c r="F37" i="87" s="1"/>
  <c r="H37" i="15"/>
  <c r="I37" i="15"/>
  <c r="F38" i="15"/>
  <c r="H38" i="15"/>
  <c r="I38" i="15"/>
  <c r="G39" i="15"/>
  <c r="J39" i="15"/>
  <c r="G40" i="15"/>
  <c r="J40" i="15"/>
  <c r="G41" i="15"/>
  <c r="J41" i="15"/>
  <c r="G42" i="15"/>
  <c r="J42" i="15"/>
  <c r="G43" i="15"/>
  <c r="J43" i="15"/>
  <c r="G44" i="15"/>
  <c r="J44" i="15"/>
  <c r="G45" i="15"/>
  <c r="J45" i="15"/>
  <c r="G46" i="15"/>
  <c r="J46" i="15"/>
  <c r="G47" i="15"/>
  <c r="J47" i="15"/>
  <c r="G48" i="15"/>
  <c r="J48" i="15"/>
  <c r="G49" i="15"/>
  <c r="J49" i="15"/>
  <c r="G50" i="15"/>
  <c r="J50" i="15"/>
  <c r="G51" i="15"/>
  <c r="J51" i="15"/>
  <c r="G52" i="15"/>
  <c r="J52" i="15"/>
  <c r="G53" i="15"/>
  <c r="J53" i="15"/>
  <c r="G54" i="15"/>
  <c r="J54" i="15"/>
  <c r="G55" i="15"/>
  <c r="J55" i="15"/>
  <c r="G56" i="15"/>
  <c r="J56" i="15"/>
  <c r="G57" i="15"/>
  <c r="J57" i="15"/>
  <c r="G58" i="15"/>
  <c r="J58" i="15"/>
  <c r="G59" i="15"/>
  <c r="J59" i="15"/>
  <c r="G60" i="15"/>
  <c r="J60" i="15"/>
  <c r="G61" i="15"/>
  <c r="J61" i="15"/>
  <c r="G62" i="15"/>
  <c r="J62" i="15"/>
  <c r="G63" i="15"/>
  <c r="J63" i="15"/>
  <c r="G64" i="15"/>
  <c r="J64" i="15"/>
  <c r="G65" i="15"/>
  <c r="J65" i="15"/>
  <c r="G66" i="15"/>
  <c r="J66" i="15"/>
  <c r="G67" i="15"/>
  <c r="J67" i="15"/>
  <c r="G68" i="15"/>
  <c r="J68" i="15"/>
  <c r="G69" i="15"/>
  <c r="J69" i="15"/>
  <c r="G70" i="15"/>
  <c r="J70" i="15"/>
  <c r="G71" i="15"/>
  <c r="J71" i="15"/>
  <c r="G72" i="15"/>
  <c r="J72" i="15"/>
  <c r="G73" i="15"/>
  <c r="J73" i="15"/>
  <c r="G74" i="15"/>
  <c r="J74" i="15"/>
  <c r="G75" i="15"/>
  <c r="J75" i="15"/>
  <c r="G76" i="15"/>
  <c r="J76" i="15"/>
  <c r="G77" i="15"/>
  <c r="J77" i="15"/>
  <c r="G78" i="15"/>
  <c r="J78" i="15"/>
  <c r="G79" i="15"/>
  <c r="J79" i="15"/>
  <c r="G80" i="15"/>
  <c r="J80" i="15"/>
  <c r="G81" i="15"/>
  <c r="J81" i="15"/>
  <c r="G82" i="15"/>
  <c r="J82" i="15"/>
  <c r="G83" i="15"/>
  <c r="J83" i="15"/>
  <c r="G84" i="15"/>
  <c r="J84" i="15"/>
  <c r="G85" i="15"/>
  <c r="J85" i="15"/>
  <c r="G86" i="15"/>
  <c r="J86" i="15"/>
  <c r="G87" i="15"/>
  <c r="J87" i="15"/>
  <c r="G88" i="15"/>
  <c r="J88" i="15"/>
  <c r="G89" i="15"/>
  <c r="J89" i="15"/>
  <c r="G90" i="15"/>
  <c r="J90" i="15"/>
  <c r="G91" i="15"/>
  <c r="J91" i="15"/>
  <c r="G92" i="15"/>
  <c r="J92" i="15"/>
  <c r="G93" i="15"/>
  <c r="J93" i="15"/>
  <c r="G94" i="15"/>
  <c r="J94" i="15"/>
  <c r="G95" i="15"/>
  <c r="J95" i="15"/>
  <c r="G96" i="15"/>
  <c r="J96" i="15"/>
  <c r="G97" i="15"/>
  <c r="J97" i="15"/>
  <c r="G98" i="15"/>
  <c r="J98" i="15"/>
  <c r="G99" i="15"/>
  <c r="J99" i="15"/>
  <c r="G100" i="15"/>
  <c r="J100" i="15"/>
  <c r="G101" i="15"/>
  <c r="J101" i="15"/>
  <c r="G102" i="15"/>
  <c r="J102" i="15"/>
  <c r="G103" i="15"/>
  <c r="J103" i="15"/>
  <c r="G104" i="15"/>
  <c r="J104" i="15"/>
  <c r="G105" i="15"/>
  <c r="J105" i="15"/>
  <c r="G106" i="15"/>
  <c r="J106" i="15"/>
  <c r="G107" i="15"/>
  <c r="J107" i="15"/>
  <c r="G108" i="15"/>
  <c r="J108" i="15"/>
  <c r="G109" i="15"/>
  <c r="J109" i="15"/>
  <c r="G110" i="15"/>
  <c r="J110" i="15"/>
  <c r="G111" i="15"/>
  <c r="J111" i="15"/>
  <c r="G112" i="15"/>
  <c r="J112" i="15"/>
  <c r="G113" i="15"/>
  <c r="J113" i="15"/>
  <c r="G114" i="15"/>
  <c r="J114" i="15"/>
  <c r="G115" i="15"/>
  <c r="J115" i="15"/>
  <c r="G116" i="15"/>
  <c r="J116" i="15"/>
  <c r="G117" i="15"/>
  <c r="J117" i="15"/>
  <c r="G118" i="15"/>
  <c r="J118" i="15"/>
  <c r="G119" i="15"/>
  <c r="J119" i="15"/>
  <c r="G120" i="15"/>
  <c r="J120" i="15"/>
  <c r="G121" i="15"/>
  <c r="J121" i="15"/>
  <c r="G122" i="15"/>
  <c r="J122" i="15"/>
  <c r="G123" i="15"/>
  <c r="J123" i="15"/>
  <c r="G124" i="15"/>
  <c r="J124" i="15"/>
  <c r="G125" i="15"/>
  <c r="J125" i="15"/>
  <c r="F126" i="15"/>
  <c r="H126" i="15"/>
  <c r="I126" i="15"/>
  <c r="F127" i="15"/>
  <c r="H127" i="15"/>
  <c r="I127" i="15"/>
  <c r="F128" i="15"/>
  <c r="H128" i="15"/>
  <c r="I128" i="15"/>
  <c r="G129" i="15"/>
  <c r="J129" i="15"/>
  <c r="G130" i="15"/>
  <c r="J130" i="15"/>
  <c r="G131" i="15"/>
  <c r="J131" i="15"/>
  <c r="G132" i="15"/>
  <c r="J132" i="15"/>
  <c r="G133" i="15"/>
  <c r="J133" i="15"/>
  <c r="G134" i="15"/>
  <c r="J134" i="15"/>
  <c r="G6" i="17"/>
  <c r="J6" i="17"/>
  <c r="F34" i="17"/>
  <c r="H34" i="17"/>
  <c r="I34" i="17"/>
  <c r="F38" i="17"/>
  <c r="H38" i="17"/>
  <c r="I38" i="17"/>
  <c r="F42" i="17"/>
  <c r="H42" i="17"/>
  <c r="I42" i="17"/>
  <c r="F122" i="17"/>
  <c r="F123" i="17"/>
  <c r="H123" i="17"/>
  <c r="I123" i="17"/>
  <c r="F124" i="17"/>
  <c r="H124" i="17"/>
  <c r="I124" i="17"/>
  <c r="F125" i="17"/>
  <c r="H125" i="17"/>
  <c r="I125" i="17"/>
  <c r="F126" i="17"/>
  <c r="H126" i="17"/>
  <c r="I126" i="17"/>
  <c r="F127" i="17"/>
  <c r="H127" i="17"/>
  <c r="I127" i="17"/>
  <c r="F128" i="17"/>
  <c r="H128" i="17"/>
  <c r="I128" i="17"/>
  <c r="G6" i="12"/>
  <c r="J6" i="12"/>
  <c r="G7" i="12"/>
  <c r="J7" i="12"/>
  <c r="G8" i="12"/>
  <c r="J8" i="12"/>
  <c r="G9" i="12"/>
  <c r="J9" i="12"/>
  <c r="G10" i="12"/>
  <c r="J10" i="12"/>
  <c r="G11" i="12"/>
  <c r="J11" i="12"/>
  <c r="G12" i="12"/>
  <c r="J12" i="12"/>
  <c r="G13" i="12"/>
  <c r="J13" i="12"/>
  <c r="G14" i="12"/>
  <c r="J14" i="12"/>
  <c r="G15" i="12"/>
  <c r="J15" i="12"/>
  <c r="G16" i="12"/>
  <c r="J16" i="12"/>
  <c r="G17" i="12"/>
  <c r="J17" i="12"/>
  <c r="G18" i="12"/>
  <c r="J18" i="12"/>
  <c r="G19" i="12"/>
  <c r="J19" i="12"/>
  <c r="G20" i="12"/>
  <c r="J20" i="12"/>
  <c r="G21" i="12"/>
  <c r="J21" i="12"/>
  <c r="G22" i="12"/>
  <c r="J22" i="12"/>
  <c r="G23" i="12"/>
  <c r="J23" i="12"/>
  <c r="G24" i="12"/>
  <c r="J24" i="12"/>
  <c r="G25" i="12"/>
  <c r="J25" i="12"/>
  <c r="G26" i="12"/>
  <c r="J26" i="12"/>
  <c r="G27" i="12"/>
  <c r="J27" i="12"/>
  <c r="G28" i="12"/>
  <c r="J28" i="12"/>
  <c r="G29" i="12"/>
  <c r="J29" i="12"/>
  <c r="G30" i="12"/>
  <c r="J30" i="12"/>
  <c r="G31" i="12"/>
  <c r="J31" i="12"/>
  <c r="G32" i="12"/>
  <c r="J32" i="12"/>
  <c r="G33" i="12"/>
  <c r="J33" i="12"/>
  <c r="G34" i="12"/>
  <c r="J34" i="12"/>
  <c r="G35" i="12"/>
  <c r="J35" i="12"/>
  <c r="G36" i="12"/>
  <c r="J36" i="12"/>
  <c r="G37" i="12"/>
  <c r="J37" i="12"/>
  <c r="G38" i="12"/>
  <c r="J38" i="12"/>
  <c r="G39" i="12"/>
  <c r="J39" i="12"/>
  <c r="G40" i="12"/>
  <c r="J40" i="12"/>
  <c r="G41" i="12"/>
  <c r="J41" i="12"/>
  <c r="G42" i="12"/>
  <c r="J42" i="12"/>
  <c r="G43" i="12"/>
  <c r="J43" i="12"/>
  <c r="G44" i="12"/>
  <c r="J44" i="12"/>
  <c r="G45" i="12"/>
  <c r="J45" i="12"/>
  <c r="G46" i="12"/>
  <c r="J46" i="12"/>
  <c r="G47" i="12"/>
  <c r="J47" i="12"/>
  <c r="G48" i="12"/>
  <c r="J48" i="12"/>
  <c r="G49" i="12"/>
  <c r="J49" i="12"/>
  <c r="G50" i="12"/>
  <c r="J50" i="12"/>
  <c r="G51" i="12"/>
  <c r="J51" i="12"/>
  <c r="G52" i="12"/>
  <c r="J52" i="12"/>
  <c r="G53" i="12"/>
  <c r="J53" i="12"/>
  <c r="G54" i="12"/>
  <c r="J54" i="12"/>
  <c r="G55" i="12"/>
  <c r="J55" i="12"/>
  <c r="G56" i="12"/>
  <c r="J56" i="12"/>
  <c r="G57" i="12"/>
  <c r="J57" i="12"/>
  <c r="G58" i="12"/>
  <c r="J58" i="12"/>
  <c r="G59" i="12"/>
  <c r="J59" i="12"/>
  <c r="G60" i="12"/>
  <c r="J60" i="12"/>
  <c r="G61" i="12"/>
  <c r="J61" i="12"/>
  <c r="G62" i="12"/>
  <c r="J62" i="12"/>
  <c r="G63" i="12"/>
  <c r="J63" i="12"/>
  <c r="G64" i="12"/>
  <c r="J64" i="12"/>
  <c r="G65" i="12"/>
  <c r="J65" i="12"/>
  <c r="G66" i="12"/>
  <c r="J66" i="12"/>
  <c r="G67" i="12"/>
  <c r="J67" i="12"/>
  <c r="G68" i="12"/>
  <c r="J68" i="12"/>
  <c r="G69" i="12"/>
  <c r="J69" i="12"/>
  <c r="G70" i="12"/>
  <c r="J70" i="12"/>
  <c r="G71" i="12"/>
  <c r="J71" i="12"/>
  <c r="G72" i="12"/>
  <c r="J72" i="12"/>
  <c r="G73" i="12"/>
  <c r="J73" i="12"/>
  <c r="G74" i="12"/>
  <c r="J74" i="12"/>
  <c r="G75" i="12"/>
  <c r="J75" i="12"/>
  <c r="G76" i="12"/>
  <c r="J76" i="12"/>
  <c r="G77" i="12"/>
  <c r="J77" i="12"/>
  <c r="G78" i="12"/>
  <c r="J78" i="12"/>
  <c r="G79" i="12"/>
  <c r="J79" i="12"/>
  <c r="G80" i="12"/>
  <c r="J80" i="12"/>
  <c r="G81" i="12"/>
  <c r="J81" i="12"/>
  <c r="G82" i="12"/>
  <c r="J82" i="12"/>
  <c r="G83" i="12"/>
  <c r="J83" i="12"/>
  <c r="G84" i="12"/>
  <c r="J84" i="12"/>
  <c r="G85" i="12"/>
  <c r="J85" i="12"/>
  <c r="G86" i="12"/>
  <c r="J86" i="12"/>
  <c r="G87" i="12"/>
  <c r="J87" i="12"/>
  <c r="G88" i="12"/>
  <c r="J88" i="12"/>
  <c r="G89" i="12"/>
  <c r="J89" i="12"/>
  <c r="G90" i="12"/>
  <c r="J90" i="12"/>
  <c r="G91" i="12"/>
  <c r="J91" i="12"/>
  <c r="G92" i="12"/>
  <c r="J92" i="12"/>
  <c r="G93" i="12"/>
  <c r="J93" i="12"/>
  <c r="G94" i="12"/>
  <c r="J94" i="12"/>
  <c r="G95" i="12"/>
  <c r="J95" i="12"/>
  <c r="G96" i="12"/>
  <c r="J96" i="12"/>
  <c r="G97" i="12"/>
  <c r="J97" i="12"/>
  <c r="G98" i="12"/>
  <c r="J98" i="12"/>
  <c r="G99" i="12"/>
  <c r="J99" i="12"/>
  <c r="G100" i="12"/>
  <c r="J100" i="12"/>
  <c r="G101" i="12"/>
  <c r="J101" i="12"/>
  <c r="G102" i="12"/>
  <c r="J102" i="12"/>
  <c r="G103" i="12"/>
  <c r="J103" i="12"/>
  <c r="G104" i="12"/>
  <c r="J104" i="12"/>
  <c r="G105" i="12"/>
  <c r="J105" i="12"/>
  <c r="G106" i="12"/>
  <c r="J106" i="12"/>
  <c r="G107" i="12"/>
  <c r="J107" i="12"/>
  <c r="G108" i="12"/>
  <c r="J108" i="12"/>
  <c r="G109" i="12"/>
  <c r="J109" i="12"/>
  <c r="G110" i="12"/>
  <c r="J110" i="12"/>
  <c r="G111" i="12"/>
  <c r="J111" i="12"/>
  <c r="G112" i="12"/>
  <c r="J112" i="12"/>
  <c r="G113" i="12"/>
  <c r="J113" i="12"/>
  <c r="G114" i="12"/>
  <c r="J114" i="12"/>
  <c r="G115" i="12"/>
  <c r="J115" i="12"/>
  <c r="G116" i="12"/>
  <c r="J116" i="12"/>
  <c r="G117" i="12"/>
  <c r="J117" i="12"/>
  <c r="G118" i="12"/>
  <c r="J118" i="12"/>
  <c r="G119" i="12"/>
  <c r="J119" i="12"/>
  <c r="G120" i="12"/>
  <c r="J120" i="12"/>
  <c r="G121" i="12"/>
  <c r="J121" i="12"/>
  <c r="G122" i="12"/>
  <c r="J122" i="12"/>
  <c r="G123" i="12"/>
  <c r="J123" i="12"/>
  <c r="G124" i="12"/>
  <c r="J124" i="12"/>
  <c r="G125" i="12"/>
  <c r="J125" i="12"/>
  <c r="G126" i="12"/>
  <c r="J126" i="12"/>
  <c r="G127" i="12"/>
  <c r="J127" i="12"/>
  <c r="G128" i="12"/>
  <c r="J128" i="12"/>
  <c r="G129" i="12"/>
  <c r="J129" i="12"/>
  <c r="G130" i="12"/>
  <c r="J130" i="12"/>
  <c r="G131" i="12"/>
  <c r="J131" i="12"/>
  <c r="G132" i="12"/>
  <c r="J132" i="12"/>
  <c r="G133" i="12"/>
  <c r="J133" i="12"/>
  <c r="G134" i="12"/>
  <c r="J134" i="12"/>
  <c r="G135" i="12"/>
  <c r="J135" i="12"/>
  <c r="G136" i="12"/>
  <c r="J136" i="12"/>
  <c r="G137" i="12"/>
  <c r="J137" i="12"/>
  <c r="G138" i="12"/>
  <c r="J138" i="12"/>
  <c r="G139" i="12"/>
  <c r="J139" i="12"/>
  <c r="G140" i="12"/>
  <c r="J140" i="12"/>
  <c r="G141" i="12"/>
  <c r="J141" i="12"/>
  <c r="G142" i="12"/>
  <c r="J142" i="12"/>
  <c r="G143" i="12"/>
  <c r="J143" i="12"/>
  <c r="G144" i="12"/>
  <c r="J144" i="12"/>
  <c r="G145" i="12"/>
  <c r="J145" i="12"/>
  <c r="G146" i="12"/>
  <c r="J146" i="12"/>
  <c r="G147" i="12"/>
  <c r="J147" i="12"/>
  <c r="G148" i="12"/>
  <c r="J148" i="12"/>
  <c r="G149" i="12"/>
  <c r="J149" i="12"/>
  <c r="G156" i="12"/>
  <c r="J156" i="12"/>
  <c r="G157" i="12"/>
  <c r="J157" i="12"/>
  <c r="G158" i="12"/>
  <c r="J158" i="12"/>
  <c r="G159" i="12"/>
  <c r="J159" i="12"/>
  <c r="G160" i="12"/>
  <c r="J160" i="12"/>
  <c r="G161" i="12"/>
  <c r="J161" i="12"/>
  <c r="G162" i="12"/>
  <c r="J162" i="12"/>
  <c r="G163" i="12"/>
  <c r="J163" i="12"/>
  <c r="G164" i="12"/>
  <c r="J164" i="12"/>
  <c r="G165" i="12"/>
  <c r="J165" i="12"/>
  <c r="G166" i="12"/>
  <c r="J166" i="12"/>
  <c r="G167" i="12"/>
  <c r="J167" i="12"/>
  <c r="G168" i="12"/>
  <c r="J168" i="12"/>
  <c r="G169" i="12"/>
  <c r="J169" i="12"/>
  <c r="G170" i="12"/>
  <c r="J170" i="12"/>
  <c r="G171" i="12"/>
  <c r="J171" i="12"/>
  <c r="G172" i="12"/>
  <c r="J172" i="12"/>
  <c r="G173" i="12"/>
  <c r="J173" i="12"/>
  <c r="G174" i="12"/>
  <c r="J174" i="12"/>
  <c r="G175" i="12"/>
  <c r="J175" i="12"/>
  <c r="G176" i="12"/>
  <c r="J176" i="12"/>
  <c r="G177" i="12"/>
  <c r="J177" i="12"/>
  <c r="G178" i="12"/>
  <c r="J178" i="12"/>
  <c r="G179" i="12"/>
  <c r="J179" i="12"/>
  <c r="G180" i="12"/>
  <c r="J180" i="12"/>
  <c r="G181" i="12"/>
  <c r="J181" i="12"/>
  <c r="G182" i="12"/>
  <c r="J182" i="12"/>
  <c r="G183" i="12"/>
  <c r="J183" i="12"/>
  <c r="G184" i="12"/>
  <c r="J184" i="12"/>
  <c r="J185" i="12"/>
  <c r="G6" i="1"/>
  <c r="J6" i="1"/>
  <c r="G7" i="1"/>
  <c r="J7" i="1"/>
  <c r="G8" i="1"/>
  <c r="J8" i="1"/>
  <c r="G9" i="1"/>
  <c r="J9" i="1"/>
  <c r="G10" i="1"/>
  <c r="J10" i="1"/>
  <c r="G11" i="1"/>
  <c r="J11" i="1"/>
  <c r="G12" i="1"/>
  <c r="J12" i="1"/>
  <c r="G13" i="1"/>
  <c r="J13" i="1"/>
  <c r="G14" i="1"/>
  <c r="J14" i="1"/>
  <c r="G15" i="1"/>
  <c r="J15" i="1"/>
  <c r="G16" i="1"/>
  <c r="J16" i="1"/>
  <c r="G17" i="1"/>
  <c r="J17" i="1"/>
  <c r="G18" i="1"/>
  <c r="J18" i="1"/>
  <c r="G19" i="1"/>
  <c r="J19" i="1"/>
  <c r="G20" i="1"/>
  <c r="J20" i="1"/>
  <c r="G21" i="1"/>
  <c r="J21" i="1"/>
  <c r="G22" i="1"/>
  <c r="J22" i="1"/>
  <c r="G23" i="1"/>
  <c r="J23" i="1"/>
  <c r="G24" i="1"/>
  <c r="J24" i="1"/>
  <c r="G25" i="1"/>
  <c r="J25" i="1"/>
  <c r="G26" i="1"/>
  <c r="J26" i="1"/>
  <c r="G27" i="1"/>
  <c r="J27" i="1"/>
  <c r="G28" i="1"/>
  <c r="J28" i="1"/>
  <c r="G29" i="1"/>
  <c r="J29" i="1"/>
  <c r="G30" i="1"/>
  <c r="J30" i="1"/>
  <c r="G31" i="1"/>
  <c r="J31" i="1"/>
  <c r="G32" i="1"/>
  <c r="J32" i="1"/>
  <c r="G33" i="1"/>
  <c r="J33" i="1"/>
  <c r="G34" i="1"/>
  <c r="J34" i="1"/>
  <c r="G35" i="1"/>
  <c r="J35" i="1"/>
  <c r="G36" i="1"/>
  <c r="J36" i="1"/>
  <c r="G37" i="1"/>
  <c r="J37" i="1"/>
  <c r="G38" i="1"/>
  <c r="J38" i="1"/>
  <c r="G39" i="1"/>
  <c r="J39" i="1"/>
  <c r="G40" i="1"/>
  <c r="J40" i="1"/>
  <c r="G41" i="1"/>
  <c r="J41" i="1"/>
  <c r="G42" i="1"/>
  <c r="J42" i="1"/>
  <c r="G43" i="1"/>
  <c r="J43" i="1"/>
  <c r="G44" i="1"/>
  <c r="J44" i="1"/>
  <c r="G45" i="1"/>
  <c r="J45" i="1"/>
  <c r="G46" i="1"/>
  <c r="J46" i="1"/>
  <c r="G47" i="1"/>
  <c r="J47" i="1"/>
  <c r="G48" i="1"/>
  <c r="J48" i="1"/>
  <c r="G49" i="1"/>
  <c r="J49" i="1"/>
  <c r="G50" i="1"/>
  <c r="J50" i="1"/>
  <c r="G51" i="1"/>
  <c r="J51" i="1"/>
  <c r="G52" i="1"/>
  <c r="J52" i="1"/>
  <c r="G53" i="1"/>
  <c r="J53" i="1"/>
  <c r="G54" i="1"/>
  <c r="J54" i="1"/>
  <c r="G55" i="1"/>
  <c r="J55" i="1"/>
  <c r="G56" i="1"/>
  <c r="J56" i="1"/>
  <c r="G57" i="1"/>
  <c r="J57" i="1"/>
  <c r="G58" i="1"/>
  <c r="J58" i="1"/>
  <c r="G59" i="1"/>
  <c r="J59" i="1"/>
  <c r="G60" i="1"/>
  <c r="J60" i="1"/>
  <c r="G61" i="1"/>
  <c r="J61" i="1"/>
  <c r="G62" i="1"/>
  <c r="J62" i="1"/>
  <c r="G63" i="1"/>
  <c r="J63" i="1"/>
  <c r="G64" i="1"/>
  <c r="J64" i="1"/>
  <c r="G65" i="1"/>
  <c r="J65" i="1"/>
  <c r="G66" i="1"/>
  <c r="J66" i="1"/>
  <c r="G67" i="1"/>
  <c r="J67" i="1"/>
  <c r="G68" i="1"/>
  <c r="J68" i="1"/>
  <c r="G69" i="1"/>
  <c r="J69" i="1"/>
  <c r="G70" i="1"/>
  <c r="J70" i="1"/>
  <c r="G71" i="1"/>
  <c r="J71" i="1"/>
  <c r="G72" i="1"/>
  <c r="J72" i="1"/>
  <c r="G73" i="1"/>
  <c r="J73" i="1"/>
  <c r="G74" i="1"/>
  <c r="J74" i="1"/>
  <c r="G75" i="1"/>
  <c r="J75" i="1"/>
  <c r="G76" i="1"/>
  <c r="J76" i="1"/>
  <c r="G77" i="1"/>
  <c r="J77" i="1"/>
  <c r="G78" i="1"/>
  <c r="J78" i="1"/>
  <c r="G79" i="1"/>
  <c r="J79" i="1"/>
  <c r="G80" i="1"/>
  <c r="J80" i="1"/>
  <c r="G81" i="1"/>
  <c r="J81" i="1"/>
  <c r="G82" i="1"/>
  <c r="J82" i="1"/>
  <c r="G83" i="1"/>
  <c r="J83" i="1"/>
  <c r="G84" i="1"/>
  <c r="J84" i="1"/>
  <c r="G85" i="1"/>
  <c r="J85" i="1"/>
  <c r="G86" i="1"/>
  <c r="J86" i="1"/>
  <c r="G87" i="1"/>
  <c r="J87" i="1"/>
  <c r="G88" i="1"/>
  <c r="J88" i="1"/>
  <c r="G89" i="1"/>
  <c r="J89" i="1"/>
  <c r="G90" i="1"/>
  <c r="J90" i="1"/>
  <c r="G91" i="1"/>
  <c r="J91" i="1"/>
  <c r="G92" i="1"/>
  <c r="J92" i="1"/>
  <c r="G93" i="1"/>
  <c r="J93" i="1"/>
  <c r="G94" i="1"/>
  <c r="J94" i="1"/>
  <c r="G95" i="1"/>
  <c r="J95" i="1"/>
  <c r="G96" i="1"/>
  <c r="J96" i="1"/>
  <c r="G97" i="1"/>
  <c r="J97" i="1"/>
  <c r="G98" i="1"/>
  <c r="J98" i="1"/>
  <c r="G99" i="1"/>
  <c r="J99" i="1"/>
  <c r="G100" i="1"/>
  <c r="J100" i="1"/>
  <c r="G101" i="1"/>
  <c r="J101" i="1"/>
  <c r="G102" i="1"/>
  <c r="J102" i="1"/>
  <c r="G103" i="1"/>
  <c r="J103" i="1"/>
  <c r="G104" i="1"/>
  <c r="J104" i="1"/>
  <c r="G105" i="1"/>
  <c r="J105" i="1"/>
  <c r="G106" i="1"/>
  <c r="J106" i="1"/>
  <c r="G107" i="1"/>
  <c r="J107" i="1"/>
  <c r="G108" i="1"/>
  <c r="J108" i="1"/>
  <c r="G109" i="1"/>
  <c r="J109" i="1"/>
  <c r="G110" i="1"/>
  <c r="J110" i="1"/>
  <c r="G111" i="1"/>
  <c r="J111" i="1"/>
  <c r="G112" i="1"/>
  <c r="J112" i="1"/>
  <c r="G113" i="1"/>
  <c r="J113" i="1"/>
  <c r="G114" i="1"/>
  <c r="J114" i="1"/>
  <c r="G115" i="1"/>
  <c r="J115" i="1"/>
  <c r="G116" i="1"/>
  <c r="J116" i="1"/>
  <c r="G117" i="1"/>
  <c r="J117" i="1"/>
  <c r="G118" i="1"/>
  <c r="J118" i="1"/>
  <c r="G119" i="1"/>
  <c r="J119" i="1"/>
  <c r="G120" i="1"/>
  <c r="J120" i="1"/>
  <c r="G121" i="1"/>
  <c r="J121" i="1"/>
  <c r="G122" i="1"/>
  <c r="J122" i="1"/>
  <c r="G123" i="1"/>
  <c r="J123" i="1"/>
  <c r="G124" i="1"/>
  <c r="J124" i="1"/>
  <c r="G125" i="1"/>
  <c r="J125" i="1"/>
  <c r="G126" i="1"/>
  <c r="J126" i="1"/>
  <c r="G127" i="1"/>
  <c r="J127" i="1"/>
  <c r="J128" i="1"/>
  <c r="G129" i="1"/>
  <c r="J129" i="1"/>
  <c r="G130" i="1"/>
  <c r="J130" i="1"/>
  <c r="G131" i="1"/>
  <c r="J131" i="1"/>
  <c r="G132" i="1"/>
  <c r="J132" i="1"/>
  <c r="G133" i="1"/>
  <c r="J133" i="1"/>
  <c r="G134" i="1"/>
  <c r="J134" i="1"/>
  <c r="G135" i="1"/>
  <c r="J135" i="1"/>
  <c r="G136" i="1"/>
  <c r="J136" i="1"/>
  <c r="G137" i="1"/>
  <c r="J137" i="1"/>
  <c r="G138" i="1"/>
  <c r="J138" i="1"/>
  <c r="G139" i="1"/>
  <c r="J139" i="1"/>
  <c r="G140" i="1"/>
  <c r="J140" i="1"/>
  <c r="G141" i="1"/>
  <c r="J141" i="1"/>
  <c r="G142" i="1"/>
  <c r="J142" i="1"/>
  <c r="G143" i="1"/>
  <c r="J143" i="1"/>
  <c r="G144" i="1"/>
  <c r="J144" i="1"/>
  <c r="G145" i="1"/>
  <c r="J145" i="1"/>
  <c r="G146" i="1"/>
  <c r="J146" i="1"/>
  <c r="G147" i="1"/>
  <c r="J147" i="1"/>
  <c r="G148" i="1"/>
  <c r="J148" i="1"/>
  <c r="G149" i="1"/>
  <c r="J149" i="1"/>
  <c r="G156" i="1"/>
  <c r="J156" i="1"/>
  <c r="G157" i="1"/>
  <c r="J157" i="1"/>
  <c r="G158" i="1"/>
  <c r="J158" i="1"/>
  <c r="G159" i="1"/>
  <c r="J159" i="1"/>
  <c r="G160" i="1"/>
  <c r="J160" i="1"/>
  <c r="G161" i="1"/>
  <c r="J161" i="1"/>
  <c r="G162" i="1"/>
  <c r="J162" i="1"/>
  <c r="G163" i="1"/>
  <c r="J163" i="1"/>
  <c r="G164" i="1"/>
  <c r="J164" i="1"/>
  <c r="G165" i="1"/>
  <c r="J165" i="1"/>
  <c r="G166" i="1"/>
  <c r="J166" i="1"/>
  <c r="G167" i="1"/>
  <c r="J167" i="1"/>
  <c r="G168" i="1"/>
  <c r="J168" i="1"/>
  <c r="G169" i="1"/>
  <c r="J169" i="1"/>
  <c r="G170" i="1"/>
  <c r="J170" i="1"/>
  <c r="G171" i="1"/>
  <c r="J171" i="1"/>
  <c r="G172" i="1"/>
  <c r="J172" i="1"/>
  <c r="G173" i="1"/>
  <c r="J173" i="1"/>
  <c r="G174" i="1"/>
  <c r="J174" i="1"/>
  <c r="G175" i="1"/>
  <c r="J175" i="1"/>
  <c r="G176" i="1"/>
  <c r="J176" i="1"/>
  <c r="G177" i="1"/>
  <c r="J177" i="1"/>
  <c r="G178" i="1"/>
  <c r="J178" i="1"/>
  <c r="G179" i="1"/>
  <c r="J179" i="1"/>
  <c r="G180" i="1"/>
  <c r="J180" i="1"/>
  <c r="G181" i="1"/>
  <c r="J181" i="1"/>
  <c r="G182" i="1"/>
  <c r="J182" i="1"/>
  <c r="G183" i="1"/>
  <c r="J183" i="1"/>
  <c r="G184" i="1"/>
  <c r="J184" i="1"/>
  <c r="J185" i="1"/>
  <c r="G22" i="14"/>
  <c r="J221" i="1"/>
  <c r="J217" i="1"/>
  <c r="J218" i="1"/>
  <c r="J219" i="1"/>
  <c r="J215" i="1"/>
  <c r="J220" i="1"/>
  <c r="J216" i="1"/>
  <c r="H350" i="14" l="1"/>
  <c r="I22" i="87"/>
  <c r="J22" i="87" s="1"/>
  <c r="I350" i="14"/>
  <c r="G37" i="14"/>
  <c r="F22" i="87"/>
  <c r="E22" i="87" s="1"/>
  <c r="F350" i="14"/>
  <c r="H37" i="87"/>
  <c r="G37" i="87" s="1"/>
  <c r="I31" i="87"/>
  <c r="J31" i="87" s="1"/>
  <c r="G350" i="13"/>
  <c r="J350" i="13"/>
  <c r="G350" i="12"/>
  <c r="J350" i="12"/>
  <c r="J350" i="1"/>
  <c r="G350" i="1"/>
  <c r="F350" i="17"/>
  <c r="I350" i="17"/>
  <c r="I350" i="16"/>
  <c r="H350" i="16"/>
  <c r="E350" i="16" s="1"/>
  <c r="H30" i="87"/>
  <c r="H350" i="15"/>
  <c r="F30" i="87"/>
  <c r="F350" i="15"/>
  <c r="I350" i="15"/>
  <c r="I128" i="87"/>
  <c r="I124" i="87"/>
  <c r="H127" i="87"/>
  <c r="F31" i="87"/>
  <c r="G31" i="87" s="1"/>
  <c r="I37" i="87"/>
  <c r="C37" i="87" s="1"/>
  <c r="I30" i="87"/>
  <c r="C30" i="87" s="1"/>
  <c r="E38" i="14"/>
  <c r="E31" i="14"/>
  <c r="E128" i="14"/>
  <c r="J128" i="17"/>
  <c r="E128" i="17"/>
  <c r="F127" i="87"/>
  <c r="G127" i="17"/>
  <c r="D125" i="17"/>
  <c r="C125" i="17"/>
  <c r="J124" i="17"/>
  <c r="E124" i="17"/>
  <c r="F123" i="87"/>
  <c r="G123" i="17"/>
  <c r="F42" i="87"/>
  <c r="G42" i="17"/>
  <c r="D34" i="17"/>
  <c r="C34" i="17"/>
  <c r="I127" i="87"/>
  <c r="I125" i="87"/>
  <c r="I123" i="87"/>
  <c r="C123" i="87" s="1"/>
  <c r="I38" i="87"/>
  <c r="I34" i="87"/>
  <c r="E37" i="14"/>
  <c r="E30" i="14"/>
  <c r="D22" i="87"/>
  <c r="E127" i="14"/>
  <c r="E123" i="14"/>
  <c r="D120" i="87"/>
  <c r="C120" i="87"/>
  <c r="E119" i="14"/>
  <c r="H119" i="87"/>
  <c r="G119" i="87" s="1"/>
  <c r="G281" i="17"/>
  <c r="F281" i="87"/>
  <c r="J281" i="17"/>
  <c r="E281" i="17"/>
  <c r="H281" i="87"/>
  <c r="D281" i="17"/>
  <c r="C281" i="17"/>
  <c r="I281" i="87"/>
  <c r="J277" i="17"/>
  <c r="E277" i="17"/>
  <c r="H277" i="87"/>
  <c r="C276" i="17"/>
  <c r="D276" i="17"/>
  <c r="I276" i="87"/>
  <c r="G274" i="17"/>
  <c r="F274" i="87"/>
  <c r="J273" i="17"/>
  <c r="E273" i="17"/>
  <c r="H273" i="87"/>
  <c r="C272" i="17"/>
  <c r="D272" i="17"/>
  <c r="I272" i="87"/>
  <c r="G270" i="17"/>
  <c r="F270" i="87"/>
  <c r="D258" i="17"/>
  <c r="C258" i="17"/>
  <c r="I258" i="87"/>
  <c r="G260" i="17"/>
  <c r="F260" i="87"/>
  <c r="J261" i="17"/>
  <c r="E261" i="17"/>
  <c r="H261" i="87"/>
  <c r="D262" i="17"/>
  <c r="C262" i="17"/>
  <c r="I262" i="87"/>
  <c r="G264" i="17"/>
  <c r="F264" i="87"/>
  <c r="J265" i="17"/>
  <c r="E265" i="17"/>
  <c r="H265" i="87"/>
  <c r="D266" i="17"/>
  <c r="C266" i="17"/>
  <c r="I266" i="87"/>
  <c r="G268" i="17"/>
  <c r="F268" i="87"/>
  <c r="J269" i="17"/>
  <c r="E269" i="17"/>
  <c r="H269" i="87"/>
  <c r="F128" i="87"/>
  <c r="G128" i="17"/>
  <c r="C126" i="17"/>
  <c r="D126" i="17"/>
  <c r="J125" i="17"/>
  <c r="E125" i="17"/>
  <c r="F124" i="87"/>
  <c r="G124" i="17"/>
  <c r="F122" i="87"/>
  <c r="C122" i="87" s="1"/>
  <c r="G122" i="17"/>
  <c r="C122" i="17"/>
  <c r="E122" i="17"/>
  <c r="D38" i="17"/>
  <c r="C38" i="17"/>
  <c r="J34" i="17"/>
  <c r="E34" i="17"/>
  <c r="H38" i="87"/>
  <c r="H34" i="87"/>
  <c r="E124" i="14"/>
  <c r="C121" i="87"/>
  <c r="D121" i="87"/>
  <c r="E120" i="87"/>
  <c r="J120" i="87"/>
  <c r="G278" i="17"/>
  <c r="F278" i="87"/>
  <c r="J278" i="17"/>
  <c r="E278" i="17"/>
  <c r="H278" i="87"/>
  <c r="D278" i="17"/>
  <c r="C278" i="17"/>
  <c r="I278" i="87"/>
  <c r="D277" i="17"/>
  <c r="C277" i="17"/>
  <c r="I277" i="87"/>
  <c r="G275" i="17"/>
  <c r="F275" i="87"/>
  <c r="J274" i="17"/>
  <c r="E274" i="17"/>
  <c r="H274" i="87"/>
  <c r="D273" i="17"/>
  <c r="C273" i="17"/>
  <c r="I273" i="87"/>
  <c r="G271" i="17"/>
  <c r="F271" i="87"/>
  <c r="J270" i="17"/>
  <c r="E270" i="17"/>
  <c r="H270" i="87"/>
  <c r="G259" i="17"/>
  <c r="F259" i="87"/>
  <c r="J260" i="17"/>
  <c r="E260" i="17"/>
  <c r="H260" i="87"/>
  <c r="D261" i="17"/>
  <c r="C261" i="17"/>
  <c r="I261" i="87"/>
  <c r="G263" i="17"/>
  <c r="F263" i="87"/>
  <c r="J264" i="17"/>
  <c r="E264" i="17"/>
  <c r="H264" i="87"/>
  <c r="D265" i="17"/>
  <c r="C265" i="17"/>
  <c r="I265" i="87"/>
  <c r="G267" i="17"/>
  <c r="F267" i="87"/>
  <c r="J268" i="17"/>
  <c r="E268" i="17"/>
  <c r="H268" i="87"/>
  <c r="D269" i="17"/>
  <c r="C269" i="17"/>
  <c r="I269" i="87"/>
  <c r="C127" i="17"/>
  <c r="D127" i="17"/>
  <c r="J126" i="17"/>
  <c r="E126" i="17"/>
  <c r="F125" i="87"/>
  <c r="G125" i="17"/>
  <c r="C123" i="17"/>
  <c r="D123" i="17"/>
  <c r="I42" i="87"/>
  <c r="D42" i="17"/>
  <c r="C42" i="17"/>
  <c r="J38" i="17"/>
  <c r="E38" i="17"/>
  <c r="F34" i="87"/>
  <c r="G34" i="17"/>
  <c r="I126" i="87"/>
  <c r="E121" i="87"/>
  <c r="J121" i="87"/>
  <c r="G120" i="87"/>
  <c r="C118" i="87"/>
  <c r="G279" i="17"/>
  <c r="F279" i="87"/>
  <c r="J279" i="17"/>
  <c r="E279" i="17"/>
  <c r="H279" i="87"/>
  <c r="D279" i="17"/>
  <c r="C279" i="17"/>
  <c r="I279" i="87"/>
  <c r="G276" i="17"/>
  <c r="F276" i="87"/>
  <c r="J275" i="17"/>
  <c r="E275" i="17"/>
  <c r="H275" i="87"/>
  <c r="D274" i="17"/>
  <c r="C274" i="17"/>
  <c r="I274" i="87"/>
  <c r="G272" i="17"/>
  <c r="F272" i="87"/>
  <c r="J271" i="17"/>
  <c r="E271" i="17"/>
  <c r="H271" i="87"/>
  <c r="D270" i="17"/>
  <c r="C270" i="17"/>
  <c r="I270" i="87"/>
  <c r="G258" i="17"/>
  <c r="F258" i="87"/>
  <c r="J259" i="17"/>
  <c r="E259" i="17"/>
  <c r="H259" i="87"/>
  <c r="C260" i="17"/>
  <c r="D260" i="17"/>
  <c r="I260" i="87"/>
  <c r="G262" i="17"/>
  <c r="F262" i="87"/>
  <c r="J263" i="17"/>
  <c r="E263" i="17"/>
  <c r="H263" i="87"/>
  <c r="C264" i="17"/>
  <c r="D264" i="17"/>
  <c r="I264" i="87"/>
  <c r="G266" i="17"/>
  <c r="F266" i="87"/>
  <c r="J267" i="17"/>
  <c r="E267" i="17"/>
  <c r="H267" i="87"/>
  <c r="C268" i="17"/>
  <c r="D268" i="17"/>
  <c r="I268" i="87"/>
  <c r="D128" i="17"/>
  <c r="C128" i="17"/>
  <c r="J127" i="17"/>
  <c r="E127" i="17"/>
  <c r="F126" i="87"/>
  <c r="G126" i="17"/>
  <c r="D124" i="17"/>
  <c r="C124" i="17"/>
  <c r="J123" i="17"/>
  <c r="E123" i="17"/>
  <c r="H42" i="87"/>
  <c r="J42" i="17"/>
  <c r="E42" i="17"/>
  <c r="F38" i="87"/>
  <c r="G38" i="17"/>
  <c r="H128" i="87"/>
  <c r="H126" i="87"/>
  <c r="H124" i="87"/>
  <c r="E126" i="14"/>
  <c r="E122" i="14"/>
  <c r="H122" i="87"/>
  <c r="D122" i="87" s="1"/>
  <c r="G121" i="87"/>
  <c r="C119" i="87"/>
  <c r="E118" i="14"/>
  <c r="H118" i="87"/>
  <c r="G280" i="17"/>
  <c r="F280" i="87"/>
  <c r="J280" i="17"/>
  <c r="E280" i="17"/>
  <c r="H280" i="87"/>
  <c r="C280" i="17"/>
  <c r="D280" i="17"/>
  <c r="I280" i="87"/>
  <c r="G277" i="17"/>
  <c r="F277" i="87"/>
  <c r="J276" i="17"/>
  <c r="E276" i="17"/>
  <c r="H276" i="87"/>
  <c r="D275" i="17"/>
  <c r="C275" i="17"/>
  <c r="I275" i="87"/>
  <c r="G273" i="17"/>
  <c r="F273" i="87"/>
  <c r="J272" i="17"/>
  <c r="E272" i="17"/>
  <c r="H272" i="87"/>
  <c r="D271" i="17"/>
  <c r="C271" i="17"/>
  <c r="I271" i="87"/>
  <c r="J258" i="17"/>
  <c r="E258" i="17"/>
  <c r="H258" i="87"/>
  <c r="D259" i="17"/>
  <c r="C259" i="17"/>
  <c r="I259" i="87"/>
  <c r="G261" i="17"/>
  <c r="F261" i="87"/>
  <c r="J262" i="17"/>
  <c r="E262" i="17"/>
  <c r="H262" i="87"/>
  <c r="D263" i="17"/>
  <c r="C263" i="17"/>
  <c r="I263" i="87"/>
  <c r="G265" i="17"/>
  <c r="F265" i="87"/>
  <c r="J266" i="17"/>
  <c r="E266" i="17"/>
  <c r="H266" i="87"/>
  <c r="D267" i="17"/>
  <c r="C267" i="17"/>
  <c r="I267" i="87"/>
  <c r="G269" i="17"/>
  <c r="F269" i="87"/>
  <c r="E125" i="16"/>
  <c r="H125" i="87"/>
  <c r="E123" i="16"/>
  <c r="H123" i="87"/>
  <c r="D124" i="14"/>
  <c r="C124" i="14"/>
  <c r="D120" i="14"/>
  <c r="C120" i="14"/>
  <c r="C38" i="14"/>
  <c r="D38" i="14"/>
  <c r="J22" i="14"/>
  <c r="C22" i="14"/>
  <c r="D22" i="14"/>
  <c r="C125" i="14"/>
  <c r="D125" i="14"/>
  <c r="C121" i="14"/>
  <c r="D121" i="14"/>
  <c r="E120" i="14"/>
  <c r="D31" i="14"/>
  <c r="C31" i="14"/>
  <c r="D127" i="14"/>
  <c r="C127" i="14"/>
  <c r="D123" i="14"/>
  <c r="C123" i="14"/>
  <c r="D119" i="14"/>
  <c r="C119" i="14"/>
  <c r="E22" i="14"/>
  <c r="C128" i="14"/>
  <c r="D128" i="14"/>
  <c r="C37" i="14"/>
  <c r="D37" i="14"/>
  <c r="C30" i="14"/>
  <c r="D30" i="14"/>
  <c r="J126" i="14"/>
  <c r="C126" i="14"/>
  <c r="D126" i="14"/>
  <c r="E125" i="14"/>
  <c r="C122" i="14"/>
  <c r="D122" i="14"/>
  <c r="G121" i="14"/>
  <c r="E121" i="14"/>
  <c r="C118" i="14"/>
  <c r="D118" i="14"/>
  <c r="J122" i="14"/>
  <c r="J38" i="14"/>
  <c r="G128" i="14"/>
  <c r="J125" i="14"/>
  <c r="G30" i="14"/>
  <c r="J37" i="14"/>
  <c r="J118" i="14"/>
  <c r="G31" i="14"/>
  <c r="J121" i="14"/>
  <c r="G125" i="14"/>
  <c r="G124" i="14"/>
  <c r="G120" i="14"/>
  <c r="G38" i="14"/>
  <c r="J128" i="14"/>
  <c r="J120" i="14"/>
  <c r="G119" i="14"/>
  <c r="J124" i="14"/>
  <c r="G126" i="14"/>
  <c r="J127" i="14"/>
  <c r="J123" i="14"/>
  <c r="G123" i="14"/>
  <c r="G127" i="14"/>
  <c r="J119" i="14"/>
  <c r="J30" i="14"/>
  <c r="G118" i="14"/>
  <c r="G122" i="14"/>
  <c r="E127" i="15"/>
  <c r="E38" i="15"/>
  <c r="E126" i="15"/>
  <c r="E30" i="15"/>
  <c r="D128" i="15"/>
  <c r="C128" i="15"/>
  <c r="E31" i="15"/>
  <c r="C38" i="15"/>
  <c r="D38" i="15"/>
  <c r="E128" i="15"/>
  <c r="D127" i="15"/>
  <c r="C127" i="15"/>
  <c r="E37" i="15"/>
  <c r="D31" i="15"/>
  <c r="C31" i="15"/>
  <c r="C126" i="15"/>
  <c r="D126" i="15"/>
  <c r="C37" i="15"/>
  <c r="D37" i="15"/>
  <c r="C30" i="15"/>
  <c r="D30" i="15"/>
  <c r="J127" i="15"/>
  <c r="G126" i="15"/>
  <c r="J37" i="15"/>
  <c r="J31" i="15"/>
  <c r="G127" i="15"/>
  <c r="G30" i="15"/>
  <c r="J126" i="15"/>
  <c r="J128" i="15"/>
  <c r="J30" i="15"/>
  <c r="D123" i="16"/>
  <c r="C123" i="16"/>
  <c r="E278" i="16"/>
  <c r="D279" i="16"/>
  <c r="C279" i="16"/>
  <c r="D277" i="16"/>
  <c r="C277" i="16"/>
  <c r="E274" i="16"/>
  <c r="D273" i="16"/>
  <c r="C273" i="16"/>
  <c r="E270" i="16"/>
  <c r="E259" i="16"/>
  <c r="D260" i="16"/>
  <c r="C260" i="16"/>
  <c r="E263" i="16"/>
  <c r="D264" i="16"/>
  <c r="C264" i="16"/>
  <c r="E267" i="16"/>
  <c r="D268" i="16"/>
  <c r="C268" i="16"/>
  <c r="D280" i="16"/>
  <c r="C280" i="16"/>
  <c r="D276" i="16"/>
  <c r="C276" i="16"/>
  <c r="D272" i="16"/>
  <c r="C272" i="16"/>
  <c r="E264" i="16"/>
  <c r="D127" i="16"/>
  <c r="C127" i="16"/>
  <c r="E126" i="16"/>
  <c r="C128" i="16"/>
  <c r="D128" i="16"/>
  <c r="E127" i="16"/>
  <c r="C124" i="16"/>
  <c r="D124" i="16"/>
  <c r="D38" i="16"/>
  <c r="C38" i="16"/>
  <c r="C278" i="16"/>
  <c r="D278" i="16"/>
  <c r="E281" i="16"/>
  <c r="E275" i="16"/>
  <c r="C274" i="16"/>
  <c r="D274" i="16"/>
  <c r="E271" i="16"/>
  <c r="C270" i="16"/>
  <c r="D270" i="16"/>
  <c r="E258" i="16"/>
  <c r="D259" i="16"/>
  <c r="C259" i="16"/>
  <c r="E262" i="16"/>
  <c r="D263" i="16"/>
  <c r="C263" i="16"/>
  <c r="E266" i="16"/>
  <c r="D267" i="16"/>
  <c r="C267" i="16"/>
  <c r="D126" i="16"/>
  <c r="C126" i="16"/>
  <c r="E34" i="16"/>
  <c r="E260" i="16"/>
  <c r="D261" i="16"/>
  <c r="C261" i="16"/>
  <c r="D265" i="16"/>
  <c r="C265" i="16"/>
  <c r="E268" i="16"/>
  <c r="D269" i="16"/>
  <c r="C269" i="16"/>
  <c r="E128" i="16"/>
  <c r="D125" i="16"/>
  <c r="C125" i="16"/>
  <c r="E124" i="16"/>
  <c r="E38" i="16"/>
  <c r="D34" i="16"/>
  <c r="C34" i="16"/>
  <c r="E280" i="16"/>
  <c r="C281" i="16"/>
  <c r="D281" i="16"/>
  <c r="E276" i="16"/>
  <c r="D275" i="16"/>
  <c r="C275" i="16"/>
  <c r="E272" i="16"/>
  <c r="D271" i="16"/>
  <c r="C271" i="16"/>
  <c r="C258" i="16"/>
  <c r="D258" i="16"/>
  <c r="E261" i="16"/>
  <c r="C262" i="16"/>
  <c r="D262" i="16"/>
  <c r="E265" i="16"/>
  <c r="C266" i="16"/>
  <c r="D266" i="16"/>
  <c r="E269" i="16"/>
  <c r="G127" i="16"/>
  <c r="J123" i="16"/>
  <c r="J34" i="16"/>
  <c r="J126" i="16"/>
  <c r="J31" i="14"/>
  <c r="G38" i="15"/>
  <c r="G31" i="15"/>
  <c r="G128" i="16"/>
  <c r="G123" i="16"/>
  <c r="G125" i="16"/>
  <c r="G124" i="16"/>
  <c r="G34" i="16"/>
  <c r="G126" i="16"/>
  <c r="J38" i="16"/>
  <c r="G38" i="16"/>
  <c r="J38" i="15"/>
  <c r="G37" i="15"/>
  <c r="G128" i="15"/>
  <c r="J125" i="16"/>
  <c r="J124" i="16"/>
  <c r="J128" i="16"/>
  <c r="J127" i="16"/>
  <c r="D31" i="87" l="1"/>
  <c r="G350" i="16"/>
  <c r="E350" i="14"/>
  <c r="G350" i="15"/>
  <c r="C350" i="17"/>
  <c r="J350" i="16"/>
  <c r="G22" i="87"/>
  <c r="E37" i="87"/>
  <c r="C124" i="87"/>
  <c r="C22" i="87"/>
  <c r="C350" i="14"/>
  <c r="D350" i="14"/>
  <c r="C38" i="87"/>
  <c r="E30" i="87"/>
  <c r="G30" i="87"/>
  <c r="C350" i="16"/>
  <c r="D350" i="16"/>
  <c r="J350" i="15"/>
  <c r="E350" i="15"/>
  <c r="F350" i="87"/>
  <c r="D37" i="87"/>
  <c r="I350" i="87"/>
  <c r="C350" i="15"/>
  <c r="D350" i="15"/>
  <c r="J30" i="87"/>
  <c r="D30" i="87"/>
  <c r="D38" i="87"/>
  <c r="D127" i="87"/>
  <c r="G126" i="87"/>
  <c r="J37" i="87"/>
  <c r="C125" i="87"/>
  <c r="C128" i="87"/>
  <c r="E127" i="87"/>
  <c r="J128" i="87"/>
  <c r="C31" i="87"/>
  <c r="E31" i="87"/>
  <c r="G34" i="87"/>
  <c r="G261" i="87"/>
  <c r="G265" i="87"/>
  <c r="G277" i="87"/>
  <c r="E124" i="87"/>
  <c r="C34" i="87"/>
  <c r="G273" i="87"/>
  <c r="G280" i="87"/>
  <c r="D119" i="87"/>
  <c r="G128" i="87"/>
  <c r="G124" i="87"/>
  <c r="G127" i="87"/>
  <c r="G278" i="87"/>
  <c r="E38" i="87"/>
  <c r="C126" i="87"/>
  <c r="D128" i="87"/>
  <c r="G38" i="87"/>
  <c r="C127" i="87"/>
  <c r="J124" i="87"/>
  <c r="J127" i="87"/>
  <c r="E128" i="87"/>
  <c r="D124" i="87"/>
  <c r="J38" i="87"/>
  <c r="D34" i="87"/>
  <c r="J126" i="87"/>
  <c r="J34" i="87"/>
  <c r="E126" i="87"/>
  <c r="D126" i="87"/>
  <c r="E34" i="87"/>
  <c r="C271" i="87"/>
  <c r="D271" i="87"/>
  <c r="D275" i="87"/>
  <c r="C275" i="87"/>
  <c r="C280" i="87"/>
  <c r="D280" i="87"/>
  <c r="E118" i="87"/>
  <c r="J118" i="87"/>
  <c r="G266" i="87"/>
  <c r="G262" i="87"/>
  <c r="G258" i="87"/>
  <c r="G272" i="87"/>
  <c r="G276" i="87"/>
  <c r="G279" i="87"/>
  <c r="D273" i="87"/>
  <c r="C273" i="87"/>
  <c r="D277" i="87"/>
  <c r="C277" i="87"/>
  <c r="G122" i="87"/>
  <c r="G268" i="87"/>
  <c r="G264" i="87"/>
  <c r="G260" i="87"/>
  <c r="G281" i="87"/>
  <c r="J281" i="87"/>
  <c r="E281" i="87"/>
  <c r="D266" i="87"/>
  <c r="J266" i="87"/>
  <c r="E266" i="87"/>
  <c r="E262" i="87"/>
  <c r="J262" i="87"/>
  <c r="J258" i="87"/>
  <c r="E258" i="87"/>
  <c r="E122" i="87"/>
  <c r="J122" i="87"/>
  <c r="J267" i="87"/>
  <c r="E267" i="87"/>
  <c r="E263" i="87"/>
  <c r="J263" i="87"/>
  <c r="J259" i="87"/>
  <c r="E259" i="87"/>
  <c r="J271" i="87"/>
  <c r="E271" i="87"/>
  <c r="J275" i="87"/>
  <c r="E275" i="87"/>
  <c r="J279" i="87"/>
  <c r="E279" i="87"/>
  <c r="G267" i="87"/>
  <c r="G263" i="87"/>
  <c r="G259" i="87"/>
  <c r="G269" i="87"/>
  <c r="J269" i="87"/>
  <c r="E269" i="87"/>
  <c r="J265" i="87"/>
  <c r="E265" i="87"/>
  <c r="J261" i="87"/>
  <c r="E261" i="87"/>
  <c r="G270" i="87"/>
  <c r="G274" i="87"/>
  <c r="C281" i="87"/>
  <c r="D281" i="87"/>
  <c r="G118" i="87"/>
  <c r="G42" i="87"/>
  <c r="D267" i="87"/>
  <c r="C267" i="87"/>
  <c r="D263" i="87"/>
  <c r="C263" i="87"/>
  <c r="D259" i="87"/>
  <c r="C259" i="87"/>
  <c r="D268" i="87"/>
  <c r="C268" i="87"/>
  <c r="D264" i="87"/>
  <c r="C264" i="87"/>
  <c r="D260" i="87"/>
  <c r="C260" i="87"/>
  <c r="C270" i="87"/>
  <c r="D270" i="87"/>
  <c r="C274" i="87"/>
  <c r="D274" i="87"/>
  <c r="D279" i="87"/>
  <c r="C279" i="87"/>
  <c r="D42" i="87"/>
  <c r="C42" i="87"/>
  <c r="J268" i="87"/>
  <c r="E268" i="87"/>
  <c r="J264" i="87"/>
  <c r="E264" i="87"/>
  <c r="J260" i="87"/>
  <c r="E260" i="87"/>
  <c r="G271" i="87"/>
  <c r="G275" i="87"/>
  <c r="E278" i="87"/>
  <c r="C266" i="87"/>
  <c r="C262" i="87"/>
  <c r="D262" i="87"/>
  <c r="C258" i="87"/>
  <c r="D258" i="87"/>
  <c r="J273" i="87"/>
  <c r="E273" i="87"/>
  <c r="E277" i="87"/>
  <c r="J277" i="87"/>
  <c r="J119" i="87"/>
  <c r="E119" i="87"/>
  <c r="E272" i="87"/>
  <c r="J272" i="87"/>
  <c r="J276" i="87"/>
  <c r="E276" i="87"/>
  <c r="E280" i="87"/>
  <c r="J280" i="87"/>
  <c r="E42" i="87"/>
  <c r="J42" i="87"/>
  <c r="D118" i="87"/>
  <c r="C269" i="87"/>
  <c r="D269" i="87"/>
  <c r="D265" i="87"/>
  <c r="C265" i="87"/>
  <c r="D261" i="87"/>
  <c r="C261" i="87"/>
  <c r="J270" i="87"/>
  <c r="E270" i="87"/>
  <c r="E274" i="87"/>
  <c r="J274" i="87"/>
  <c r="J278" i="87"/>
  <c r="C278" i="87"/>
  <c r="D278" i="87"/>
  <c r="C272" i="87"/>
  <c r="D272" i="87"/>
  <c r="D276" i="87"/>
  <c r="C276" i="87"/>
  <c r="G125" i="87"/>
  <c r="E125" i="87"/>
  <c r="J125" i="87"/>
  <c r="D125" i="87"/>
  <c r="G123" i="87"/>
  <c r="E123" i="87"/>
  <c r="J123" i="87"/>
  <c r="D123" i="87"/>
  <c r="AE328" i="17"/>
  <c r="H328" i="17"/>
  <c r="H350" i="17" s="1"/>
  <c r="C350" i="87" l="1"/>
  <c r="E350" i="17"/>
  <c r="D350" i="17"/>
  <c r="J328" i="17"/>
  <c r="J350" i="17" s="1"/>
  <c r="E328" i="17"/>
  <c r="H328" i="87"/>
  <c r="H350" i="87" s="1"/>
  <c r="G328" i="17"/>
  <c r="G350" i="17" s="1"/>
  <c r="D328" i="17"/>
  <c r="J328" i="87" l="1"/>
  <c r="J350" i="87" s="1"/>
  <c r="E328" i="87"/>
  <c r="D328" i="87"/>
  <c r="G328" i="87"/>
  <c r="G350" i="87" s="1"/>
  <c r="E350" i="87" l="1"/>
  <c r="D350" i="87"/>
</calcChain>
</file>

<file path=xl/sharedStrings.xml><?xml version="1.0" encoding="utf-8"?>
<sst xmlns="http://schemas.openxmlformats.org/spreadsheetml/2006/main" count="7686" uniqueCount="107">
  <si>
    <t>Línea Urquiza</t>
  </si>
  <si>
    <t>Línea San Martin</t>
  </si>
  <si>
    <t>Línea Belgrano Norte</t>
  </si>
  <si>
    <t>Línea Belgrano Sur</t>
  </si>
  <si>
    <t>Línea Roca</t>
  </si>
  <si>
    <t>Línea Mitre</t>
  </si>
  <si>
    <t>Línea Sarmiento</t>
  </si>
  <si>
    <t>Cumplimiento del Servicio de Trenes</t>
  </si>
  <si>
    <t>Regularidad Absoluta</t>
  </si>
  <si>
    <t>Cumplimiento de Programa</t>
  </si>
  <si>
    <t>Regularidad Relativa</t>
  </si>
  <si>
    <t>Ramal Once-Moreno (eléctrico)</t>
  </si>
  <si>
    <t>Ramal Moreno-Mercedes (diesel)</t>
  </si>
  <si>
    <t>Ramal Merlo-Lobos (diesel)</t>
  </si>
  <si>
    <t>Ramal Retiro-Tigre (eléctrico)</t>
  </si>
  <si>
    <t>Ramal Retiro-José León Suarez (eléctrico)</t>
  </si>
  <si>
    <t>Ramal Retiro-Mitre (eléctrico)</t>
  </si>
  <si>
    <t>Ramal Victoria-Capilla (diesel)</t>
  </si>
  <si>
    <t>Ramal Villa Ballester-Zárate (diesel)</t>
  </si>
  <si>
    <t>Ramal Plaza Constitución-Ezeiza (eléctrico)</t>
  </si>
  <si>
    <t>Ramal Temperley-Haedo (diesel)</t>
  </si>
  <si>
    <t>Ramal Federico Lacroze-Gral. Lemos (eléctrico)</t>
  </si>
  <si>
    <t>Ramal Retiro-Villa Rosa (diesel)</t>
  </si>
  <si>
    <t>Ramal Buenos Aires-Mnos. C. G. Belgrano (diesel)</t>
  </si>
  <si>
    <t>Ramal P. Alsina-Marinos C. G. Belgrano (diesel)</t>
  </si>
  <si>
    <t>Línea Tren de la Costa</t>
  </si>
  <si>
    <t>Ramal Maipu-Delta (eléctrico)</t>
  </si>
  <si>
    <t>Trenes Corridos</t>
  </si>
  <si>
    <t xml:space="preserve">Sector Puente Alsina - Aldo Bonzi: El servicio se encuentra suspendido desde el 2 de agosto de 2017 por anegamiento de cambios en Puente Alsina. </t>
  </si>
  <si>
    <t>Ramal Alejandro Korn-Chascomus (diesel)</t>
  </si>
  <si>
    <t>Ramal Km.12-Libertad (diesel)</t>
  </si>
  <si>
    <r>
      <t xml:space="preserve">Ramal Plaza Constitución-Bosques (via Temperley) (desde 04/10/2017) (eléctrico) </t>
    </r>
    <r>
      <rPr>
        <b/>
        <sz val="10"/>
        <rFont val="Arial"/>
        <family val="2"/>
      </rPr>
      <t xml:space="preserve"> (anterior Const.-Temperley-Claypole)</t>
    </r>
  </si>
  <si>
    <r>
      <t>Ramal Ezeiza-Cañuelas/Monte/Lobos (diesel)</t>
    </r>
    <r>
      <rPr>
        <b/>
        <sz val="10"/>
        <rFont val="Arial"/>
        <family val="2"/>
      </rPr>
      <t xml:space="preserve"> (desde 2018) (aterior Ezeiza-Cañuelas)</t>
    </r>
  </si>
  <si>
    <t>Mes</t>
  </si>
  <si>
    <t>Año</t>
  </si>
  <si>
    <t xml:space="preserve"> Desde el 18/06/2019 el servicio se encuentra supendido por obras de mejoramiento de Vía en todo el ramal (ME-2019-64464627-APN-GLM#SOFSE).</t>
  </si>
  <si>
    <t>Observaciones</t>
  </si>
  <si>
    <t>Toda la Línea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</si>
  <si>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</si>
  <si>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</si>
  <si>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</si>
  <si>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</si>
  <si>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</si>
  <si>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</si>
  <si>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</si>
  <si>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</si>
  <si>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</si>
  <si>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</si>
  <si>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</si>
  <si>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</si>
  <si>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limitado entre Tigre y Nuñez desde el 04/02 hasta el 10/05 por obras viaducto.</t>
  </si>
  <si>
    <t>Dias 1,2,8 y 9 sin servicio por obras en el viaducto.</t>
  </si>
  <si>
    <t>Desde el día 26/09/2018, servicio suspendido por obras en puente ubicado en el Km 30 - Palo 5. Dicha situación continua sobre el final del mes.</t>
  </si>
  <si>
    <t>A partir del 17 de marzo la programación de lunes a viernes es de 14 trenes diarios.</t>
  </si>
  <si>
    <t>Trenes Programados</t>
  </si>
  <si>
    <t>Trenes Cancelados</t>
  </si>
  <si>
    <t>Trenes Puntuales</t>
  </si>
  <si>
    <t>Trenes Atrasados</t>
  </si>
  <si>
    <t>Servicios eléctricos hasta Glew y Diesel de Glew a A. Korn. En noviembre de 2006 todo el ramal es eléctrico.</t>
  </si>
  <si>
    <r>
      <t>Ramal Plaza Constitución-Glew-A. Korn (eléctrico)</t>
    </r>
    <r>
      <rPr>
        <sz val="12"/>
        <rFont val="Arial"/>
        <family val="2"/>
      </rPr>
      <t xml:space="preserve"> (Servicios eléctricos hasta Glew y Diesel de Glew a A. Korn. A partir de noviembre de 2006 todo el ramal es eléctrico.)</t>
    </r>
  </si>
  <si>
    <t>Plaza Constitución-Bosques (via Temperley) (desde 04/10/2017)</t>
  </si>
  <si>
    <t>A partir del 07/09/2015 dejan de correr los trenes Plaza Constitución-La Plata y Plaza Constitución-Bosques (Vía Quilmes), por obras de electrificación, todos los días de la semana.</t>
  </si>
  <si>
    <t>Se inaugura servicio eléctrico en el tramo Constitución-Quilmes</t>
  </si>
  <si>
    <t>El 13/06/2016 se inaugura servicio eléctrico en el tramo Constitución-Berazategui</t>
  </si>
  <si>
    <t>A partir del 11/03/2017 los servicios se extienden a Villa Elisa y City Bell</t>
  </si>
  <si>
    <t>A partir del 18/10/2017 quedan inaugurados los servicios entre Constitución y La Plata</t>
  </si>
  <si>
    <t>A partir del 07/09/2015 dejan de correr los trenes en Plaza Constitución-Bosques (Vía Quilmes), por obras de electrificación, todos los días de la semana.</t>
  </si>
  <si>
    <t>A partir del día 13/10/2018 comienzan a circular los servicios Plaza Constitución-Bosques por vía Quilmes ELECTRICOS</t>
  </si>
  <si>
    <t>Ramal Plaza Constitución-Bosques (Via Quilmes) (eléctrico desde el 13/10/2018)</t>
  </si>
  <si>
    <t>Ramal Plaza Constitución-La Plata (eléctrico desde el 18/10/17 todo el ramal)</t>
  </si>
  <si>
    <t>Servicio suspendido desde el 24/10/19 por el socavamiento de via en km.35</t>
  </si>
  <si>
    <t>Extensión del ramal Ezeiza-Cañuelas agregando las estación Abbott y Monte mas allá de Cañuelas. Estaciones en servicio desde Marzo/Septiembre de 2018</t>
  </si>
  <si>
    <t>Extensión del ramal Ezeiza-Cañuelas agregando las estación Uribelarrea, Empalme Lobos y Lobos mas allá de Cañuelas. Estaciones en servicio desde Noviembre de 2018</t>
  </si>
  <si>
    <t>A partir del día 02/12/2017 se comienza a prestar servicio</t>
  </si>
  <si>
    <t>Servicio suspendido desde el 20/03/2020 por la cuarentena Covid-19</t>
  </si>
  <si>
    <t>Servicios extendidos a Cabred desde el 25/05/2014</t>
  </si>
  <si>
    <t>Ramal Retiro-Pilar-Cabred (diesel)</t>
  </si>
  <si>
    <t>Con motivo de la revisión de los andenes provisorios, durantre junio se despacharon 2717 trenes especiales.</t>
  </si>
  <si>
    <t>Cancelación de trenes por robo de cables.</t>
  </si>
  <si>
    <t>A partir del día 01/03/2019 circulan como trenes programados los trenes que hasta ahora circulaban como especiales entre la estación de Libertad y el apeadero KM. 12.</t>
  </si>
  <si>
    <t>Servicios Especiales a partir del 19/03/2018</t>
  </si>
  <si>
    <t>TODA LA RED</t>
  </si>
  <si>
    <t>A partir de Mayo de 2015 se suman los servicios de Tren de la Costa</t>
  </si>
  <si>
    <t>Se redujeron los servicios por el aislamiento social preventivo y obligatorio COVID-19</t>
  </si>
  <si>
    <t>Se redujeron los servicios por el aislamiento social preventivo y obligatorio COVID-19.</t>
  </si>
  <si>
    <t>Desde el viernes 28/08 hasta el viernes 11/09 servicio interrumpido por usuarpación de terrenos. Se redujeron los servicios por el aislamiento social preventivo y obligatorio COVID-19.</t>
  </si>
  <si>
    <t>Suspendido por la cuarentena Covid-19</t>
  </si>
  <si>
    <t>Servicio G.Catán-20 de Junio suspendido por Cuarentena Covid-19</t>
  </si>
  <si>
    <t>Ramal Buenos Aires-G. Catán-20 de Junio (desde el 02/12/2019) (diesel)</t>
  </si>
  <si>
    <t>Alejandro Korn-Chascomús comenzará a funcionar el martes 24/11 y con servicio limitado hasta Brandsen debido a que “su municipio no ha permitido el ingreso de las formaciones” dada “la situación epidemiológica” en esa localidad.</t>
  </si>
  <si>
    <t>Servicios Cañuelas-Lobos y Cañuelas-Monte suspendidos por Cuarentena Covid-19</t>
  </si>
  <si>
    <t>Servicios Cañuelas-Lobos y Cañuelas-Monte reahbilitados a partir del 23/11</t>
  </si>
  <si>
    <t>Sin Datos</t>
  </si>
  <si>
    <t>Total</t>
  </si>
  <si>
    <t>SECTOR DIÉSEL GLEW-KORN</t>
  </si>
  <si>
    <t>SECTOR ELÉCTRICO CONSTITUCIÓN-GLEW</t>
  </si>
  <si>
    <t>Un incendio en el Puesto Central de Operaciones ocasionó una reducción en la cantidad de servicios</t>
  </si>
  <si>
    <r>
      <t xml:space="preserve">Ramal Bosques-Gutiérrez (diésel) </t>
    </r>
    <r>
      <rPr>
        <b/>
        <sz val="10"/>
        <rFont val="Arial"/>
        <family val="2"/>
      </rPr>
      <t xml:space="preserve">(desde 04/10/17) (anterior 1995-2015ago P. Constitución-Gutiérrez y P. Const.-TY-Bosques / 2015ago-2017oct Temperley-Bosques y Temperley-Claypole-Gutierrez) </t>
    </r>
  </si>
  <si>
    <t>A partir del 29/08/2015 P. Constitución-Gutiérrez y P. Const.-TY-Bosques no presta mas servicio.</t>
  </si>
  <si>
    <t>A partir del 04/10/2017 el servicio eléctrico se extiende cuatro estaciones mas hasta Bosques, incorporando las estaciones Ardigo, Florencio Varela, Zeballos y Bosques. Desde esa fecha el servicio diesel anterior de Temperley-Bosques y Temperley-Claypole-Gutierrez se reduce a Bosques-Gutierrez</t>
  </si>
  <si>
    <t>Original cero</t>
  </si>
  <si>
    <t>Se incorporaron los nuevos coches CCEE Chinos el 09/02/2015</t>
  </si>
  <si>
    <t>Se incorporaron los nuevos coches CCEE Chinos el 26/01/2015</t>
  </si>
  <si>
    <t>Se incorporaron los nuevos coches CCEE Chinos el 25/11/2014</t>
  </si>
  <si>
    <t>Reinaugurado el 13/04/2021</t>
  </si>
  <si>
    <t>A partir del 26/05/2021 se realizará el servicio en forma limitada entre las estaciones Mitre y Belgrano R, por obras en la parrilla de vias de la estación Retiro.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</si>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</sst>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\(&quot;$&quot;#,##0\)"/>
    <numFmt numFmtId="165" formatCode="&quot;$&quot;#,##0.00_);\(&quot;$&quot;#,##0.00\)"/>
    <numFmt numFmtId="166" formatCode="#,##0_ ;[Red]\-#,##0\ "/>
  </numFmts>
  <fonts count="24">
    <font>
      <sz val="12"/>
      <name val="Arial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Arial"/>
      <family val="2"/>
    </font>
    <font>
      <sz val="10"/>
      <name val="Abadi MT Condensed Light"/>
      <family val="2"/>
    </font>
    <font>
      <b/>
      <sz val="10"/>
      <name val="Abadi MT Condensed Light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Abadi MT Condensed Light"/>
      <family val="2"/>
    </font>
    <font>
      <i/>
      <sz val="9"/>
      <name val="Abadi MT Condensed Light"/>
    </font>
    <font>
      <b/>
      <sz val="10"/>
      <name val="Arial"/>
      <family val="2"/>
    </font>
    <font>
      <sz val="10"/>
      <name val="Abadi MT Condensed Light"/>
    </font>
    <font>
      <b/>
      <sz val="10"/>
      <color theme="0"/>
      <name val="Abadi MT Condensed Light"/>
    </font>
    <font>
      <sz val="10"/>
      <color theme="1"/>
      <name val="Abadi MT Condensed Light"/>
      <family val="2"/>
    </font>
    <font>
      <sz val="10"/>
      <color theme="1"/>
      <name val="Abadi MT Condensed Light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0"/>
      <name val="Abadi MT Condensed Light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59999389629810485"/>
      </patternFill>
    </fill>
    <fill>
      <patternFill patternType="solid">
        <fgColor rgb="FFFFC000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ck">
        <color theme="0"/>
      </bottom>
      <diagonal/>
    </border>
  </borders>
  <cellStyleXfs count="14">
    <xf numFmtId="0" fontId="0" fillId="0" borderId="0">
      <alignment vertical="top"/>
    </xf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0" borderId="1" applyNumberFormat="0" applyFont="0" applyFill="0" applyAlignment="0" applyProtection="0"/>
    <xf numFmtId="0" fontId="1" fillId="0" borderId="0"/>
    <xf numFmtId="0" fontId="7" fillId="0" borderId="0" applyNumberFormat="0" applyFont="0" applyFill="0" applyBorder="0" applyAlignment="0" applyProtection="0"/>
    <xf numFmtId="0" fontId="18" fillId="8" borderId="0" applyNumberFormat="0" applyBorder="0" applyAlignment="0" applyProtection="0"/>
  </cellStyleXfs>
  <cellXfs count="170">
    <xf numFmtId="0" fontId="0" fillId="0" borderId="0" xfId="0" applyAlignment="1"/>
    <xf numFmtId="0" fontId="4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/>
    <xf numFmtId="3" fontId="4" fillId="2" borderId="0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4" fillId="4" borderId="0" xfId="0" applyNumberFormat="1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6" fillId="0" borderId="0" xfId="0" applyFont="1" applyBorder="1" applyAlignment="1"/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/>
    <xf numFmtId="3" fontId="4" fillId="0" borderId="0" xfId="0" applyNumberFormat="1" applyFont="1" applyFill="1" applyBorder="1" applyAlignment="1">
      <alignment horizontal="center"/>
    </xf>
    <xf numFmtId="0" fontId="0" fillId="0" borderId="0" xfId="0" applyBorder="1" applyAlignment="1"/>
    <xf numFmtId="0" fontId="4" fillId="2" borderId="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10" fontId="4" fillId="0" borderId="0" xfId="8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10" fontId="4" fillId="0" borderId="0" xfId="8" applyFont="1" applyFill="1" applyBorder="1" applyAlignment="1">
      <alignment horizontal="center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/>
    <xf numFmtId="0" fontId="4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3" fillId="6" borderId="2" xfId="0" applyFont="1" applyFill="1" applyBorder="1" applyAlignment="1">
      <alignment horizontal="center" vertical="top" wrapText="1"/>
    </xf>
    <xf numFmtId="0" fontId="13" fillId="6" borderId="3" xfId="0" applyFont="1" applyFill="1" applyBorder="1" applyAlignment="1">
      <alignment horizontal="center" vertical="top" wrapText="1"/>
    </xf>
    <xf numFmtId="0" fontId="13" fillId="6" borderId="4" xfId="0" applyFont="1" applyFill="1" applyBorder="1" applyAlignment="1">
      <alignment horizontal="center" vertical="top" wrapText="1"/>
    </xf>
    <xf numFmtId="0" fontId="14" fillId="7" borderId="6" xfId="0" applyFont="1" applyFill="1" applyBorder="1" applyAlignment="1"/>
    <xf numFmtId="0" fontId="14" fillId="5" borderId="6" xfId="0" applyFont="1" applyFill="1" applyBorder="1" applyAlignment="1"/>
    <xf numFmtId="0" fontId="14" fillId="5" borderId="5" xfId="0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12" fillId="0" borderId="0" xfId="0" applyFont="1" applyBorder="1" applyAlignment="1"/>
    <xf numFmtId="0" fontId="15" fillId="7" borderId="6" xfId="0" applyFont="1" applyFill="1" applyBorder="1" applyAlignment="1"/>
    <xf numFmtId="0" fontId="15" fillId="5" borderId="6" xfId="0" applyFont="1" applyFill="1" applyBorder="1" applyAlignment="1"/>
    <xf numFmtId="0" fontId="12" fillId="0" borderId="0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/>
    </xf>
    <xf numFmtId="0" fontId="15" fillId="5" borderId="5" xfId="0" applyFont="1" applyFill="1" applyBorder="1" applyAlignment="1">
      <alignment horizontal="left"/>
    </xf>
    <xf numFmtId="10" fontId="12" fillId="0" borderId="0" xfId="8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10" fontId="12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4" fillId="2" borderId="0" xfId="0" applyFont="1" applyFill="1" applyBorder="1" applyAlignment="1"/>
    <xf numFmtId="0" fontId="14" fillId="7" borderId="0" xfId="0" applyFont="1" applyFill="1" applyBorder="1" applyAlignment="1"/>
    <xf numFmtId="0" fontId="14" fillId="7" borderId="0" xfId="0" applyFont="1" applyFill="1" applyBorder="1" applyAlignment="1">
      <alignment horizontal="left"/>
    </xf>
    <xf numFmtId="0" fontId="14" fillId="5" borderId="0" xfId="0" applyFont="1" applyFill="1" applyBorder="1" applyAlignment="1"/>
    <xf numFmtId="0" fontId="14" fillId="5" borderId="0" xfId="0" applyFont="1" applyFill="1" applyBorder="1" applyAlignment="1">
      <alignment horizontal="left"/>
    </xf>
    <xf numFmtId="0" fontId="15" fillId="7" borderId="0" xfId="0" applyFont="1" applyFill="1" applyBorder="1" applyAlignment="1"/>
    <xf numFmtId="0" fontId="15" fillId="7" borderId="0" xfId="0" applyFont="1" applyFill="1" applyBorder="1" applyAlignment="1">
      <alignment horizontal="left"/>
    </xf>
    <xf numFmtId="0" fontId="15" fillId="5" borderId="0" xfId="0" applyFont="1" applyFill="1" applyBorder="1" applyAlignment="1"/>
    <xf numFmtId="0" fontId="15" fillId="5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4" fontId="4" fillId="0" borderId="0" xfId="5" applyFont="1" applyFill="1" applyBorder="1" applyAlignment="1">
      <alignment horizontal="center"/>
    </xf>
    <xf numFmtId="4" fontId="4" fillId="0" borderId="0" xfId="5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 vertical="center"/>
    </xf>
    <xf numFmtId="3" fontId="4" fillId="0" borderId="0" xfId="5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/>
    <xf numFmtId="3" fontId="4" fillId="0" borderId="0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4" fontId="4" fillId="0" borderId="0" xfId="5" applyFont="1" applyFill="1" applyBorder="1"/>
    <xf numFmtId="0" fontId="5" fillId="0" borderId="0" xfId="0" applyFont="1" applyFill="1" applyBorder="1" applyAlignment="1">
      <alignment horizontal="center" vertical="center"/>
    </xf>
    <xf numFmtId="4" fontId="4" fillId="0" borderId="0" xfId="5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10" fontId="3" fillId="0" borderId="0" xfId="8" applyFont="1" applyAlignment="1">
      <alignment horizontal="center" vertical="center"/>
    </xf>
    <xf numFmtId="3" fontId="3" fillId="0" borderId="0" xfId="5" applyNumberFormat="1" applyFont="1" applyAlignment="1">
      <alignment horizontal="center" vertical="center"/>
    </xf>
    <xf numFmtId="10" fontId="12" fillId="0" borderId="0" xfId="8" applyFont="1" applyFill="1" applyBorder="1" applyAlignment="1">
      <alignment horizontal="center"/>
    </xf>
    <xf numFmtId="0" fontId="16" fillId="0" borderId="0" xfId="0" applyFont="1" applyAlignment="1"/>
    <xf numFmtId="10" fontId="16" fillId="0" borderId="0" xfId="8" applyFont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3" fontId="1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4" fillId="0" borderId="6" xfId="0" applyFont="1" applyFill="1" applyBorder="1" applyAlignment="1"/>
    <xf numFmtId="0" fontId="14" fillId="0" borderId="5" xfId="0" applyFont="1" applyFill="1" applyBorder="1" applyAlignment="1">
      <alignment horizontal="left"/>
    </xf>
    <xf numFmtId="0" fontId="15" fillId="0" borderId="6" xfId="0" applyFont="1" applyFill="1" applyBorder="1" applyAlignment="1"/>
    <xf numFmtId="0" fontId="15" fillId="0" borderId="5" xfId="0" applyFont="1" applyFill="1" applyBorder="1" applyAlignment="1">
      <alignment horizontal="left"/>
    </xf>
    <xf numFmtId="0" fontId="15" fillId="0" borderId="8" xfId="0" applyFont="1" applyFill="1" applyBorder="1" applyAlignment="1"/>
    <xf numFmtId="0" fontId="15" fillId="0" borderId="7" xfId="0" applyFont="1" applyFill="1" applyBorder="1" applyAlignment="1">
      <alignment horizontal="left"/>
    </xf>
    <xf numFmtId="0" fontId="12" fillId="0" borderId="0" xfId="0" applyFont="1" applyAlignment="1"/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10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3" fontId="12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left"/>
    </xf>
    <xf numFmtId="0" fontId="12" fillId="0" borderId="0" xfId="0" applyFont="1" applyFill="1" applyAlignment="1"/>
    <xf numFmtId="0" fontId="13" fillId="6" borderId="11" xfId="0" applyFont="1" applyFill="1" applyBorder="1" applyAlignment="1">
      <alignment horizontal="center" vertical="top" wrapText="1"/>
    </xf>
    <xf numFmtId="3" fontId="4" fillId="9" borderId="0" xfId="0" applyNumberFormat="1" applyFont="1" applyFill="1" applyBorder="1" applyAlignment="1">
      <alignment horizontal="center"/>
    </xf>
    <xf numFmtId="0" fontId="14" fillId="10" borderId="6" xfId="0" applyFont="1" applyFill="1" applyBorder="1" applyAlignment="1"/>
    <xf numFmtId="0" fontId="14" fillId="10" borderId="5" xfId="0" applyFont="1" applyFill="1" applyBorder="1" applyAlignment="1">
      <alignment horizontal="left"/>
    </xf>
    <xf numFmtId="10" fontId="4" fillId="9" borderId="0" xfId="8" applyFont="1" applyFill="1" applyBorder="1" applyAlignment="1">
      <alignment horizontal="center"/>
    </xf>
    <xf numFmtId="3" fontId="4" fillId="9" borderId="0" xfId="0" applyNumberFormat="1" applyFont="1" applyFill="1" applyBorder="1" applyAlignment="1">
      <alignment horizontal="center" vertical="center"/>
    </xf>
    <xf numFmtId="0" fontId="14" fillId="11" borderId="6" xfId="0" applyFont="1" applyFill="1" applyBorder="1" applyAlignment="1"/>
    <xf numFmtId="0" fontId="14" fillId="11" borderId="5" xfId="0" applyFont="1" applyFill="1" applyBorder="1" applyAlignment="1">
      <alignment horizontal="left"/>
    </xf>
    <xf numFmtId="3" fontId="4" fillId="9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top" wrapText="1"/>
    </xf>
    <xf numFmtId="0" fontId="20" fillId="0" borderId="0" xfId="0" applyFont="1" applyFill="1" applyAlignment="1"/>
    <xf numFmtId="0" fontId="15" fillId="0" borderId="10" xfId="0" applyFont="1" applyFill="1" applyBorder="1" applyAlignment="1">
      <alignment horizontal="left"/>
    </xf>
    <xf numFmtId="0" fontId="20" fillId="0" borderId="9" xfId="0" applyFont="1" applyFill="1" applyBorder="1" applyAlignment="1"/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15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Border="1" applyAlignment="1">
      <alignment vertical="center"/>
    </xf>
    <xf numFmtId="0" fontId="21" fillId="0" borderId="0" xfId="0" applyFont="1" applyAlignment="1"/>
    <xf numFmtId="3" fontId="21" fillId="0" borderId="0" xfId="5" applyNumberFormat="1" applyFont="1" applyAlignment="1">
      <alignment horizontal="center" vertical="center"/>
    </xf>
    <xf numFmtId="3" fontId="0" fillId="0" borderId="0" xfId="0" applyNumberFormat="1" applyBorder="1" applyAlignment="1"/>
    <xf numFmtId="3" fontId="12" fillId="0" borderId="0" xfId="0" applyNumberFormat="1" applyFont="1" applyFill="1" applyBorder="1" applyAlignment="1"/>
    <xf numFmtId="10" fontId="3" fillId="0" borderId="0" xfId="8" applyFont="1" applyAlignment="1"/>
    <xf numFmtId="0" fontId="22" fillId="0" borderId="0" xfId="0" applyFont="1" applyFill="1" applyBorder="1" applyAlignment="1"/>
    <xf numFmtId="0" fontId="22" fillId="0" borderId="0" xfId="0" applyFont="1" applyAlignment="1"/>
    <xf numFmtId="3" fontId="22" fillId="0" borderId="0" xfId="5" applyNumberFormat="1" applyFont="1" applyAlignment="1">
      <alignment horizontal="center" vertical="center"/>
    </xf>
    <xf numFmtId="0" fontId="15" fillId="7" borderId="8" xfId="0" applyFont="1" applyFill="1" applyBorder="1" applyAlignment="1"/>
    <xf numFmtId="0" fontId="15" fillId="7" borderId="7" xfId="0" applyFont="1" applyFill="1" applyBorder="1" applyAlignment="1">
      <alignment horizontal="left"/>
    </xf>
    <xf numFmtId="0" fontId="12" fillId="0" borderId="0" xfId="0" applyFont="1" applyFill="1" applyAlignment="1">
      <alignment vertical="center"/>
    </xf>
    <xf numFmtId="0" fontId="23" fillId="0" borderId="0" xfId="0" applyFont="1" applyFill="1" applyBorder="1" applyAlignment="1"/>
    <xf numFmtId="0" fontId="23" fillId="0" borderId="0" xfId="0" applyFont="1" applyAlignment="1"/>
    <xf numFmtId="10" fontId="23" fillId="0" borderId="0" xfId="8" applyFont="1" applyAlignment="1">
      <alignment horizontal="center" vertical="center"/>
    </xf>
    <xf numFmtId="3" fontId="23" fillId="0" borderId="0" xfId="5" applyNumberFormat="1" applyFont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19" fillId="8" borderId="0" xfId="13" applyFont="1" applyBorder="1" applyAlignment="1">
      <alignment horizontal="center"/>
    </xf>
    <xf numFmtId="0" fontId="8" fillId="0" borderId="0" xfId="0" applyFont="1" applyFill="1" applyBorder="1" applyAlignment="1">
      <alignment horizontal="left" vertical="top" wrapText="1"/>
    </xf>
    <xf numFmtId="4" fontId="4" fillId="0" borderId="0" xfId="5" applyFont="1" applyFill="1" applyBorder="1" applyAlignment="1">
      <alignment horizontal="center" vertical="center"/>
    </xf>
  </cellXfs>
  <cellStyles count="14">
    <cellStyle name="Cabecera 1" xfId="1" xr:uid="{00000000-0005-0000-0000-000000000000}"/>
    <cellStyle name="Cabecera 2" xfId="2" xr:uid="{00000000-0005-0000-0000-000001000000}"/>
    <cellStyle name="Énfasis2" xfId="13" builtinId="33"/>
    <cellStyle name="F3" xfId="12" xr:uid="{00000000-0005-0000-0000-000003000000}"/>
    <cellStyle name="Fecha" xfId="3" xr:uid="{00000000-0005-0000-0000-000004000000}"/>
    <cellStyle name="Fijo" xfId="4" xr:uid="{00000000-0005-0000-0000-000005000000}"/>
    <cellStyle name="Millares" xfId="5" builtinId="3"/>
    <cellStyle name="Monetario" xfId="6" xr:uid="{00000000-0005-0000-0000-000007000000}"/>
    <cellStyle name="Monetario0" xfId="7" xr:uid="{00000000-0005-0000-0000-000008000000}"/>
    <cellStyle name="Normal" xfId="0" builtinId="0"/>
    <cellStyle name="Normal 2" xfId="11" xr:uid="{00000000-0005-0000-0000-00000A000000}"/>
    <cellStyle name="Porcentaje" xfId="8" builtinId="5"/>
    <cellStyle name="Punto0" xfId="9" xr:uid="{00000000-0005-0000-0000-00000C000000}"/>
    <cellStyle name="Total" xfId="10" builtinId="25" customBuiltin="1"/>
  </cellStyles>
  <dxfs count="5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0000000}" name="RED" displayName="RED" ref="A5:K350" totalsRowCount="1" headerRowDxfId="516" dataDxfId="515" totalsRowDxfId="514" dataCellStyle="Millares">
  <autoFilter ref="A5:K349" xr:uid="{00000000-0009-0000-0100-00001F000000}"/>
  <tableColumns count="11">
    <tableColumn id="1" xr3:uid="{00000000-0010-0000-0000-000001000000}" name="Año" totalsRowLabel="Total" dataDxfId="513" totalsRowDxfId="512"/>
    <tableColumn id="2" xr3:uid="{00000000-0010-0000-0000-000002000000}" name="Mes" dataDxfId="511" totalsRowDxfId="510"/>
    <tableColumn id="3" xr3:uid="{00000000-0010-0000-0000-000003000000}" name="Regularidad Absoluta" totalsRowFunction="custom" dataDxfId="509" totalsRowDxfId="508" dataCellStyle="Porcentaje">
      <calculatedColumnFormula>+I6/F6</calculatedColumnFormula>
      <totalsRowFormula>+I350/F350</totalsRowFormula>
    </tableColumn>
    <tableColumn id="4" xr3:uid="{00000000-0010-0000-0000-000004000000}" name="Regularidad Relativa" totalsRowFunction="custom" dataDxfId="507" totalsRowDxfId="506" dataCellStyle="Porcentaje">
      <calculatedColumnFormula>+I6/H6</calculatedColumnFormula>
      <totalsRowFormula>+I350/H350</totalsRowFormula>
    </tableColumn>
    <tableColumn id="5" xr3:uid="{00000000-0010-0000-0000-000005000000}" name="Cumplimiento de Programa" totalsRowFunction="custom" dataDxfId="505" totalsRowDxfId="504" dataCellStyle="Porcentaje">
      <calculatedColumnFormula>+H6/F6</calculatedColumnFormula>
      <totalsRowFormula>+H350/F350</totalsRowFormula>
    </tableColumn>
    <tableColumn id="6" xr3:uid="{00000000-0010-0000-0000-000006000000}" name="Trenes Programados" totalsRowFunction="sum" dataDxfId="503" totalsRowDxfId="502" dataCellStyle="Millares">
      <calculatedColumnFormula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calculatedColumnFormula>
    </tableColumn>
    <tableColumn id="7" xr3:uid="{00000000-0010-0000-0000-000007000000}" name="Trenes Cancelados" totalsRowFunction="sum" dataDxfId="501" totalsRowDxfId="500" dataCellStyle="Millares">
      <calculatedColumnFormula>+F6-H6</calculatedColumnFormula>
    </tableColumn>
    <tableColumn id="8" xr3:uid="{00000000-0010-0000-0000-000008000000}" name="Trenes Corridos" totalsRowFunction="sum" dataDxfId="499" totalsRowDxfId="498" dataCellStyle="Millares">
      <calculatedColumnFormula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calculatedColumnFormula>
    </tableColumn>
    <tableColumn id="9" xr3:uid="{00000000-0010-0000-0000-000009000000}" name="Trenes Puntuales" totalsRowFunction="sum" dataDxfId="497" totalsRowDxfId="496" dataCellStyle="Millares">
      <calculatedColumnFormula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calculatedColumnFormula>
    </tableColumn>
    <tableColumn id="10" xr3:uid="{00000000-0010-0000-0000-00000A000000}" name="Trenes Atrasados" totalsRowFunction="sum" dataDxfId="495" totalsRowDxfId="494" dataCellStyle="Millares">
      <calculatedColumnFormula>+H6-I6</calculatedColumnFormula>
    </tableColumn>
    <tableColumn id="11" xr3:uid="{00000000-0010-0000-0000-00000B000000}" name="Observaciones" totalsRowFunction="count" dataDxfId="493" totalsRowDxfId="49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a9" displayName="Tabla9" ref="Y5:AI349" totalsRowShown="0" headerRowDxfId="364" dataDxfId="362" headerRowBorderDxfId="363">
  <autoFilter ref="Y5:AI349" xr:uid="{00000000-0009-0000-0100-000009000000}"/>
  <tableColumns count="11">
    <tableColumn id="1" xr3:uid="{00000000-0010-0000-0900-000001000000}" name="Año" dataDxfId="361"/>
    <tableColumn id="2" xr3:uid="{00000000-0010-0000-0900-000002000000}" name="Mes" dataDxfId="360"/>
    <tableColumn id="3" xr3:uid="{00000000-0010-0000-0900-000003000000}" name="Regularidad Absoluta" dataDxfId="359">
      <calculatedColumnFormula>AG6/AD6</calculatedColumnFormula>
    </tableColumn>
    <tableColumn id="4" xr3:uid="{00000000-0010-0000-0900-000004000000}" name="Regularidad Relativa" dataDxfId="358">
      <calculatedColumnFormula>AG6/AF6</calculatedColumnFormula>
    </tableColumn>
    <tableColumn id="5" xr3:uid="{00000000-0010-0000-0900-000005000000}" name="Cumplimiento de Programa" dataDxfId="357">
      <calculatedColumnFormula>AF6/AD6</calculatedColumnFormula>
    </tableColumn>
    <tableColumn id="6" xr3:uid="{00000000-0010-0000-0900-000006000000}" name="Trenes Programados" dataDxfId="356"/>
    <tableColumn id="7" xr3:uid="{00000000-0010-0000-0900-000007000000}" name="Trenes Cancelados" dataDxfId="355">
      <calculatedColumnFormula>AD6-AF6</calculatedColumnFormula>
    </tableColumn>
    <tableColumn id="8" xr3:uid="{00000000-0010-0000-0900-000008000000}" name="Trenes Corridos" dataDxfId="354"/>
    <tableColumn id="9" xr3:uid="{00000000-0010-0000-0900-000009000000}" name="Trenes Puntuales" dataDxfId="353"/>
    <tableColumn id="10" xr3:uid="{00000000-0010-0000-0900-00000A000000}" name="Trenes Atrasados" dataDxfId="352">
      <calculatedColumnFormula>AF6-AG6</calculatedColumnFormula>
    </tableColumn>
    <tableColumn id="11" xr3:uid="{00000000-0010-0000-0900-00000B000000}" name="Observaciones" dataDxfId="351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la10" displayName="Tabla10" ref="AK5:AU349" totalsRowShown="0" headerRowDxfId="350" headerRowBorderDxfId="349">
  <autoFilter ref="AK5:AU349" xr:uid="{00000000-0009-0000-0100-00000A000000}"/>
  <tableColumns count="11">
    <tableColumn id="1" xr3:uid="{00000000-0010-0000-0A00-000001000000}" name="Año" dataDxfId="348"/>
    <tableColumn id="2" xr3:uid="{00000000-0010-0000-0A00-000002000000}" name="Mes" dataDxfId="347"/>
    <tableColumn id="3" xr3:uid="{00000000-0010-0000-0A00-000003000000}" name="Regularidad Absoluta" dataDxfId="346">
      <calculatedColumnFormula>AS6/AP6</calculatedColumnFormula>
    </tableColumn>
    <tableColumn id="4" xr3:uid="{00000000-0010-0000-0A00-000004000000}" name="Regularidad Relativa" dataDxfId="345">
      <calculatedColumnFormula>AS6/AR6</calculatedColumnFormula>
    </tableColumn>
    <tableColumn id="5" xr3:uid="{00000000-0010-0000-0A00-000005000000}" name="Cumplimiento de Programa" dataDxfId="344">
      <calculatedColumnFormula>AR6/AP6</calculatedColumnFormula>
    </tableColumn>
    <tableColumn id="6" xr3:uid="{00000000-0010-0000-0A00-000006000000}" name="Trenes Programados" dataDxfId="343"/>
    <tableColumn id="7" xr3:uid="{00000000-0010-0000-0A00-000007000000}" name="Trenes Cancelados" dataDxfId="342">
      <calculatedColumnFormula>AP6-AR6</calculatedColumnFormula>
    </tableColumn>
    <tableColumn id="8" xr3:uid="{00000000-0010-0000-0A00-000008000000}" name="Trenes Corridos" dataDxfId="341"/>
    <tableColumn id="9" xr3:uid="{00000000-0010-0000-0A00-000009000000}" name="Trenes Puntuales" dataDxfId="340"/>
    <tableColumn id="10" xr3:uid="{00000000-0010-0000-0A00-00000A000000}" name="Trenes Atrasados" dataDxfId="339">
      <calculatedColumnFormula>AR6-AS6</calculatedColumnFormula>
    </tableColumn>
    <tableColumn id="11" xr3:uid="{00000000-0010-0000-0A00-00000B000000}" name="Observaciones" dataDxfId="338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URQ" displayName="URQ" ref="A5:K350" totalsRowCount="1" headerRowDxfId="337" dataDxfId="336">
  <autoFilter ref="A5:K349" xr:uid="{00000000-0009-0000-0100-00000B000000}"/>
  <tableColumns count="11">
    <tableColumn id="1" xr3:uid="{00000000-0010-0000-0B00-000001000000}" name="Año" totalsRowLabel="Total" dataDxfId="335" totalsRowDxfId="334"/>
    <tableColumn id="2" xr3:uid="{00000000-0010-0000-0B00-000002000000}" name="Mes" dataDxfId="333" totalsRowDxfId="332"/>
    <tableColumn id="3" xr3:uid="{00000000-0010-0000-0B00-000003000000}" name="Regularidad Absoluta" totalsRowFunction="custom" dataDxfId="331" totalsRowDxfId="330" dataCellStyle="Porcentaje">
      <calculatedColumnFormula>I6/F6</calculatedColumnFormula>
      <totalsRowFormula>I350/F350</totalsRowFormula>
    </tableColumn>
    <tableColumn id="4" xr3:uid="{00000000-0010-0000-0B00-000004000000}" name="Regularidad Relativa" totalsRowFunction="custom" dataDxfId="329" totalsRowDxfId="328" dataCellStyle="Porcentaje">
      <calculatedColumnFormula>I6/H6</calculatedColumnFormula>
      <totalsRowFormula>I350/H350</totalsRowFormula>
    </tableColumn>
    <tableColumn id="5" xr3:uid="{00000000-0010-0000-0B00-000005000000}" name="Cumplimiento de Programa" totalsRowFunction="custom" dataDxfId="327" totalsRowDxfId="326" dataCellStyle="Porcentaje">
      <calculatedColumnFormula>H6/F6</calculatedColumnFormula>
      <totalsRowFormula>H350/F350</totalsRowFormula>
    </tableColumn>
    <tableColumn id="6" xr3:uid="{00000000-0010-0000-0B00-000006000000}" name="Trenes Programados" totalsRowFunction="sum" dataDxfId="325" totalsRowDxfId="324"/>
    <tableColumn id="7" xr3:uid="{00000000-0010-0000-0B00-000007000000}" name="Trenes Cancelados" totalsRowFunction="sum" dataDxfId="323" totalsRowDxfId="322">
      <calculatedColumnFormula>+F6-H6</calculatedColumnFormula>
    </tableColumn>
    <tableColumn id="8" xr3:uid="{00000000-0010-0000-0B00-000008000000}" name="Trenes Corridos" totalsRowFunction="sum" dataDxfId="321" totalsRowDxfId="320"/>
    <tableColumn id="9" xr3:uid="{00000000-0010-0000-0B00-000009000000}" name="Trenes Puntuales" totalsRowFunction="sum" dataDxfId="319" totalsRowDxfId="318"/>
    <tableColumn id="10" xr3:uid="{00000000-0010-0000-0B00-00000A000000}" name="Trenes Atrasados" totalsRowFunction="sum" dataDxfId="317" totalsRowDxfId="316">
      <calculatedColumnFormula>H6-I6</calculatedColumnFormula>
    </tableColumn>
    <tableColumn id="11" xr3:uid="{00000000-0010-0000-0B00-00000B000000}" name="Observaciones" totalsRowFunction="count" dataDxfId="315" totalsRowDxfId="314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ROCA" displayName="ROCA" ref="A5:K350" totalsRowCount="1" headerRowDxfId="313" dataDxfId="311" headerRowBorderDxfId="312">
  <autoFilter ref="A5:K349" xr:uid="{00000000-0009-0000-0100-00000C000000}"/>
  <tableColumns count="11">
    <tableColumn id="1" xr3:uid="{00000000-0010-0000-0C00-000001000000}" name="Año" totalsRowLabel="Total" dataDxfId="310" totalsRowDxfId="309"/>
    <tableColumn id="2" xr3:uid="{00000000-0010-0000-0C00-000002000000}" name="Mes" dataDxfId="308" totalsRowDxfId="307"/>
    <tableColumn id="3" xr3:uid="{00000000-0010-0000-0C00-000003000000}" name="Regularidad Absoluta" totalsRowFunction="custom" dataDxfId="306" totalsRowDxfId="305" dataCellStyle="Porcentaje">
      <calculatedColumnFormula>I6/F6</calculatedColumnFormula>
      <totalsRowFormula>I350/F350</totalsRowFormula>
    </tableColumn>
    <tableColumn id="4" xr3:uid="{00000000-0010-0000-0C00-000004000000}" name="Regularidad Relativa" totalsRowFunction="custom" dataDxfId="304" totalsRowDxfId="303" dataCellStyle="Porcentaje">
      <calculatedColumnFormula>I6/H6</calculatedColumnFormula>
      <totalsRowFormula>I350/H350</totalsRowFormula>
    </tableColumn>
    <tableColumn id="5" xr3:uid="{00000000-0010-0000-0C00-000005000000}" name="Cumplimiento de Programa" totalsRowFunction="custom" dataDxfId="302" totalsRowDxfId="301" dataCellStyle="Porcentaje">
      <calculatedColumnFormula>H6/F6</calculatedColumnFormula>
      <totalsRowFormula>H350/F350</totalsRowFormula>
    </tableColumn>
    <tableColumn id="6" xr3:uid="{00000000-0010-0000-0C00-000006000000}" name="Trenes Programados" totalsRowFunction="sum" dataDxfId="300" totalsRowDxfId="299">
      <calculatedColumnFormula>+R6+AP6+BB6+BZ6+CL6+CX6+DJ6+BN6+DV6</calculatedColumnFormula>
    </tableColumn>
    <tableColumn id="7" xr3:uid="{00000000-0010-0000-0C00-000007000000}" name="Trenes Cancelados" totalsRowFunction="sum" dataDxfId="298" totalsRowDxfId="297">
      <calculatedColumnFormula>F6-H6</calculatedColumnFormula>
    </tableColumn>
    <tableColumn id="8" xr3:uid="{00000000-0010-0000-0C00-000008000000}" name="Trenes Corridos" totalsRowFunction="sum" dataDxfId="296" totalsRowDxfId="295">
      <calculatedColumnFormula>+T6+AR6+BD6+CB6+CN6+CZ6+DL6+BP6+DX6</calculatedColumnFormula>
    </tableColumn>
    <tableColumn id="9" xr3:uid="{00000000-0010-0000-0C00-000009000000}" name="Trenes Puntuales" totalsRowFunction="sum" dataDxfId="294" totalsRowDxfId="293">
      <calculatedColumnFormula>+U6+AS6+BE6+CC6+CO6+DA6+DM6+BQ6+DY6</calculatedColumnFormula>
    </tableColumn>
    <tableColumn id="10" xr3:uid="{00000000-0010-0000-0C00-00000A000000}" name="Trenes Atrasados" totalsRowFunction="sum" dataDxfId="292" totalsRowDxfId="291">
      <calculatedColumnFormula>H6-I6</calculatedColumnFormula>
    </tableColumn>
    <tableColumn id="11" xr3:uid="{00000000-0010-0000-0C00-00000B000000}" name="Observaciones" totalsRowFunction="count" dataDxfId="290" totalsRowDxfId="289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ROC_Co_Gl_Ko" displayName="ROC_Co_Gl_Ko" ref="M5:W349" totalsRowShown="0" headerRowDxfId="288" dataDxfId="286" headerRowBorderDxfId="287">
  <autoFilter ref="M5:W349" xr:uid="{00000000-0009-0000-0100-00000D000000}"/>
  <tableColumns count="11">
    <tableColumn id="1" xr3:uid="{00000000-0010-0000-0D00-000001000000}" name="Año" dataDxfId="285"/>
    <tableColumn id="2" xr3:uid="{00000000-0010-0000-0D00-000002000000}" name="Mes" dataDxfId="284"/>
    <tableColumn id="3" xr3:uid="{00000000-0010-0000-0D00-000003000000}" name="Regularidad Absoluta" dataDxfId="283">
      <calculatedColumnFormula>U6/R6</calculatedColumnFormula>
    </tableColumn>
    <tableColumn id="4" xr3:uid="{00000000-0010-0000-0D00-000004000000}" name="Regularidad Relativa" dataDxfId="282">
      <calculatedColumnFormula>U6/T6</calculatedColumnFormula>
    </tableColumn>
    <tableColumn id="5" xr3:uid="{00000000-0010-0000-0D00-000005000000}" name="Cumplimiento de Programa" dataDxfId="281">
      <calculatedColumnFormula>T6/R6</calculatedColumnFormula>
    </tableColumn>
    <tableColumn id="6" xr3:uid="{00000000-0010-0000-0D00-000006000000}" name="Trenes Programados" dataDxfId="280"/>
    <tableColumn id="7" xr3:uid="{00000000-0010-0000-0D00-000007000000}" name="Trenes Cancelados" dataDxfId="279">
      <calculatedColumnFormula>R6-T6</calculatedColumnFormula>
    </tableColumn>
    <tableColumn id="8" xr3:uid="{00000000-0010-0000-0D00-000008000000}" name="Trenes Corridos" dataDxfId="278"/>
    <tableColumn id="9" xr3:uid="{00000000-0010-0000-0D00-000009000000}" name="Trenes Puntuales" dataDxfId="277"/>
    <tableColumn id="10" xr3:uid="{00000000-0010-0000-0D00-00000A000000}" name="Trenes Atrasados" dataDxfId="276">
      <calculatedColumnFormula>T6-U6</calculatedColumnFormula>
    </tableColumn>
    <tableColumn id="11" xr3:uid="{00000000-0010-0000-0D00-00000B000000}" name="Observaciones" dataDxfId="275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E000000}" name="ROC_Co_Ez" displayName="ROC_Co_Ez" ref="AK5:AU349" totalsRowShown="0" headerRowDxfId="274" dataDxfId="272" headerRowBorderDxfId="273">
  <autoFilter ref="AK5:AU349" xr:uid="{00000000-0009-0000-0100-00000E000000}"/>
  <tableColumns count="11">
    <tableColumn id="1" xr3:uid="{00000000-0010-0000-0E00-000001000000}" name="Año" dataDxfId="271"/>
    <tableColumn id="2" xr3:uid="{00000000-0010-0000-0E00-000002000000}" name="Mes" dataDxfId="270"/>
    <tableColumn id="3" xr3:uid="{00000000-0010-0000-0E00-000003000000}" name="Regularidad Absoluta" dataDxfId="269">
      <calculatedColumnFormula>AS6/AP6</calculatedColumnFormula>
    </tableColumn>
    <tableColumn id="4" xr3:uid="{00000000-0010-0000-0E00-000004000000}" name="Regularidad Relativa" dataDxfId="268">
      <calculatedColumnFormula>AS6/AR6</calculatedColumnFormula>
    </tableColumn>
    <tableColumn id="5" xr3:uid="{00000000-0010-0000-0E00-000005000000}" name="Cumplimiento de Programa" dataDxfId="267">
      <calculatedColumnFormula>AR6/AP6</calculatedColumnFormula>
    </tableColumn>
    <tableColumn id="6" xr3:uid="{00000000-0010-0000-0E00-000006000000}" name="Trenes Programados" dataDxfId="266"/>
    <tableColumn id="7" xr3:uid="{00000000-0010-0000-0E00-000007000000}" name="Trenes Cancelados" dataDxfId="265">
      <calculatedColumnFormula>AP6-AR6</calculatedColumnFormula>
    </tableColumn>
    <tableColumn id="8" xr3:uid="{00000000-0010-0000-0E00-000008000000}" name="Trenes Corridos" dataDxfId="264"/>
    <tableColumn id="9" xr3:uid="{00000000-0010-0000-0E00-000009000000}" name="Trenes Puntuales" dataDxfId="263"/>
    <tableColumn id="10" xr3:uid="{00000000-0010-0000-0E00-00000A000000}" name="Trenes Atrasados" dataDxfId="262">
      <calculatedColumnFormula>AR6-AS6</calculatedColumnFormula>
    </tableColumn>
    <tableColumn id="11" xr3:uid="{00000000-0010-0000-0E00-00000B000000}" name="Observaciones" dataDxfId="261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F000000}" name="ROC_Co_Bo_VT" displayName="ROC_Co_Bo_VT" ref="AW5:BG349" totalsRowShown="0" headerRowDxfId="260" dataDxfId="258" headerRowBorderDxfId="259">
  <autoFilter ref="AW5:BG349" xr:uid="{00000000-0009-0000-0100-00000F000000}"/>
  <tableColumns count="11">
    <tableColumn id="1" xr3:uid="{00000000-0010-0000-0F00-000001000000}" name="Año" dataDxfId="257"/>
    <tableColumn id="2" xr3:uid="{00000000-0010-0000-0F00-000002000000}" name="Mes" dataDxfId="256"/>
    <tableColumn id="3" xr3:uid="{00000000-0010-0000-0F00-000003000000}" name="Regularidad Absoluta" dataDxfId="255">
      <calculatedColumnFormula>BE6/BB6</calculatedColumnFormula>
    </tableColumn>
    <tableColumn id="4" xr3:uid="{00000000-0010-0000-0F00-000004000000}" name="Regularidad Relativa" dataDxfId="254">
      <calculatedColumnFormula>BE6/BD6</calculatedColumnFormula>
    </tableColumn>
    <tableColumn id="5" xr3:uid="{00000000-0010-0000-0F00-000005000000}" name="Cumplimiento de Programa" dataDxfId="253">
      <calculatedColumnFormula>BD6/BB6</calculatedColumnFormula>
    </tableColumn>
    <tableColumn id="6" xr3:uid="{00000000-0010-0000-0F00-000006000000}" name="Trenes Programados" dataDxfId="252"/>
    <tableColumn id="7" xr3:uid="{00000000-0010-0000-0F00-000007000000}" name="Trenes Cancelados" dataDxfId="251">
      <calculatedColumnFormula>BB6-BD6</calculatedColumnFormula>
    </tableColumn>
    <tableColumn id="8" xr3:uid="{00000000-0010-0000-0F00-000008000000}" name="Trenes Corridos" dataDxfId="250"/>
    <tableColumn id="9" xr3:uid="{00000000-0010-0000-0F00-000009000000}" name="Trenes Puntuales" dataDxfId="249"/>
    <tableColumn id="10" xr3:uid="{00000000-0010-0000-0F00-00000A000000}" name="Trenes Atrasados" dataDxfId="248">
      <calculatedColumnFormula>BD6-BE6</calculatedColumnFormula>
    </tableColumn>
    <tableColumn id="11" xr3:uid="{00000000-0010-0000-0F00-00000B000000}" name="Observaciones" dataDxfId="24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0000000}" name="ROC_Co_LP" displayName="ROC_Co_LP" ref="BI5:BS349" totalsRowShown="0" headerRowDxfId="246" dataDxfId="244" headerRowBorderDxfId="245">
  <autoFilter ref="BI5:BS349" xr:uid="{00000000-0009-0000-0100-000010000000}"/>
  <tableColumns count="11">
    <tableColumn id="1" xr3:uid="{00000000-0010-0000-1000-000001000000}" name="Año" dataDxfId="243"/>
    <tableColumn id="2" xr3:uid="{00000000-0010-0000-1000-000002000000}" name="Mes" dataDxfId="242"/>
    <tableColumn id="3" xr3:uid="{00000000-0010-0000-1000-000003000000}" name="Regularidad Absoluta" dataDxfId="241">
      <calculatedColumnFormula>BQ6/BN6</calculatedColumnFormula>
    </tableColumn>
    <tableColumn id="4" xr3:uid="{00000000-0010-0000-1000-000004000000}" name="Regularidad Relativa" dataDxfId="240">
      <calculatedColumnFormula>BQ6/BP6</calculatedColumnFormula>
    </tableColumn>
    <tableColumn id="5" xr3:uid="{00000000-0010-0000-1000-000005000000}" name="Cumplimiento de Programa" dataDxfId="239">
      <calculatedColumnFormula>BP6/BN6</calculatedColumnFormula>
    </tableColumn>
    <tableColumn id="6" xr3:uid="{00000000-0010-0000-1000-000006000000}" name="Trenes Programados" dataDxfId="238"/>
    <tableColumn id="7" xr3:uid="{00000000-0010-0000-1000-000007000000}" name="Trenes Cancelados" dataDxfId="237">
      <calculatedColumnFormula>BN6-BP6</calculatedColumnFormula>
    </tableColumn>
    <tableColumn id="8" xr3:uid="{00000000-0010-0000-1000-000008000000}" name="Trenes Corridos" dataDxfId="236"/>
    <tableColumn id="9" xr3:uid="{00000000-0010-0000-1000-000009000000}" name="Trenes Puntuales" dataDxfId="235"/>
    <tableColumn id="10" xr3:uid="{00000000-0010-0000-1000-00000A000000}" name="Trenes Atrasados" dataDxfId="234">
      <calculatedColumnFormula>BP6-BQ6</calculatedColumnFormula>
    </tableColumn>
    <tableColumn id="11" xr3:uid="{00000000-0010-0000-1000-00000B000000}" name="Observaciones" dataDxfId="233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1000000}" name="ROC_Co_Bo_VQ" displayName="ROC_Co_Bo_VQ" ref="BU5:CE349" totalsRowShown="0" headerRowDxfId="232" dataDxfId="230" headerRowBorderDxfId="231">
  <autoFilter ref="BU5:CE349" xr:uid="{00000000-0009-0000-0100-000011000000}"/>
  <tableColumns count="11">
    <tableColumn id="1" xr3:uid="{00000000-0010-0000-1100-000001000000}" name="Año" dataDxfId="229"/>
    <tableColumn id="2" xr3:uid="{00000000-0010-0000-1100-000002000000}" name="Mes" dataDxfId="228"/>
    <tableColumn id="3" xr3:uid="{00000000-0010-0000-1100-000003000000}" name="Regularidad Absoluta" dataDxfId="227">
      <calculatedColumnFormula>CC6/BZ6</calculatedColumnFormula>
    </tableColumn>
    <tableColumn id="4" xr3:uid="{00000000-0010-0000-1100-000004000000}" name="Regularidad Relativa" dataDxfId="226">
      <calculatedColumnFormula>CC6/CB6</calculatedColumnFormula>
    </tableColumn>
    <tableColumn id="5" xr3:uid="{00000000-0010-0000-1100-000005000000}" name="Cumplimiento de Programa" dataDxfId="225">
      <calculatedColumnFormula>CB6/BZ6</calculatedColumnFormula>
    </tableColumn>
    <tableColumn id="6" xr3:uid="{00000000-0010-0000-1100-000006000000}" name="Trenes Programados" dataDxfId="224"/>
    <tableColumn id="7" xr3:uid="{00000000-0010-0000-1100-000007000000}" name="Trenes Cancelados" dataDxfId="223">
      <calculatedColumnFormula>BZ6-CB6</calculatedColumnFormula>
    </tableColumn>
    <tableColumn id="8" xr3:uid="{00000000-0010-0000-1100-000008000000}" name="Trenes Corridos" dataDxfId="222"/>
    <tableColumn id="9" xr3:uid="{00000000-0010-0000-1100-000009000000}" name="Trenes Puntuales" dataDxfId="221"/>
    <tableColumn id="10" xr3:uid="{00000000-0010-0000-1100-00000A000000}" name="Trenes Atrasados" dataDxfId="220">
      <calculatedColumnFormula>CB6-CC6</calculatedColumnFormula>
    </tableColumn>
    <tableColumn id="11" xr3:uid="{00000000-0010-0000-1100-00000B000000}" name="Observaciones" dataDxfId="219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2000000}" name="ROC_Bo_Gu" displayName="ROC_Bo_Gu" ref="CG5:CQ349" totalsRowShown="0" headerRowDxfId="218" dataDxfId="216" headerRowBorderDxfId="217">
  <autoFilter ref="CG5:CQ349" xr:uid="{00000000-0009-0000-0100-000013000000}"/>
  <tableColumns count="11">
    <tableColumn id="1" xr3:uid="{00000000-0010-0000-1200-000001000000}" name="Año" dataDxfId="215"/>
    <tableColumn id="2" xr3:uid="{00000000-0010-0000-1200-000002000000}" name="Mes" dataDxfId="214"/>
    <tableColumn id="3" xr3:uid="{00000000-0010-0000-1200-000003000000}" name="Regularidad Absoluta" dataDxfId="213">
      <calculatedColumnFormula>CO6/CL6</calculatedColumnFormula>
    </tableColumn>
    <tableColumn id="4" xr3:uid="{00000000-0010-0000-1200-000004000000}" name="Regularidad Relativa" dataDxfId="212">
      <calculatedColumnFormula>CO6/CN6</calculatedColumnFormula>
    </tableColumn>
    <tableColumn id="5" xr3:uid="{00000000-0010-0000-1200-000005000000}" name="Cumplimiento de Programa" dataDxfId="211">
      <calculatedColumnFormula>CN6/CL6</calculatedColumnFormula>
    </tableColumn>
    <tableColumn id="6" xr3:uid="{00000000-0010-0000-1200-000006000000}" name="Trenes Programados" dataDxfId="210"/>
    <tableColumn id="7" xr3:uid="{00000000-0010-0000-1200-000007000000}" name="Trenes Cancelados" dataDxfId="209">
      <calculatedColumnFormula>CL6-CN6</calculatedColumnFormula>
    </tableColumn>
    <tableColumn id="8" xr3:uid="{00000000-0010-0000-1200-000008000000}" name="Trenes Corridos" dataDxfId="208"/>
    <tableColumn id="9" xr3:uid="{00000000-0010-0000-1200-000009000000}" name="Trenes Puntuales" dataDxfId="207"/>
    <tableColumn id="10" xr3:uid="{00000000-0010-0000-1200-00000A000000}" name="Trenes Atrasados" dataDxfId="206">
      <calculatedColumnFormula>CN6-CO6</calculatedColumnFormula>
    </tableColumn>
    <tableColumn id="11" xr3:uid="{00000000-0010-0000-1200-00000B000000}" name="Observaciones" dataDxfId="205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MITRE" displayName="MITRE" ref="A5:K350" totalsRowCount="1" headerRowDxfId="491" dataDxfId="490">
  <autoFilter ref="A5:K349" xr:uid="{00000000-0009-0000-0100-000003000000}"/>
  <tableColumns count="11">
    <tableColumn id="1" xr3:uid="{00000000-0010-0000-0100-000001000000}" name="Año" totalsRowLabel="Total" dataDxfId="489" totalsRowDxfId="488"/>
    <tableColumn id="2" xr3:uid="{00000000-0010-0000-0100-000002000000}" name="Mes" dataDxfId="487" totalsRowDxfId="486"/>
    <tableColumn id="3" xr3:uid="{00000000-0010-0000-0100-000003000000}" name="Regularidad Absoluta" totalsRowFunction="custom" dataDxfId="485" totalsRowDxfId="484" dataCellStyle="Porcentaje">
      <calculatedColumnFormula>+MITRE[[#This Row],[Trenes Puntuales]]/MITRE[[#This Row],[Trenes Programados]]</calculatedColumnFormula>
      <totalsRowFormula>+MITRE[[#Totals],[Trenes Puntuales]]/MITRE[[#Totals],[Trenes Programados]]</totalsRowFormula>
    </tableColumn>
    <tableColumn id="4" xr3:uid="{00000000-0010-0000-0100-000004000000}" name="Regularidad Relativa" totalsRowFunction="custom" dataDxfId="483" totalsRowDxfId="482" dataCellStyle="Porcentaje">
      <calculatedColumnFormula>+MITRE[[#This Row],[Trenes Puntuales]]/MITRE[[#This Row],[Trenes Corridos]]</calculatedColumnFormula>
      <totalsRowFormula>+MITRE[[#Totals],[Trenes Puntuales]]/MITRE[[#Totals],[Trenes Corridos]]</totalsRowFormula>
    </tableColumn>
    <tableColumn id="5" xr3:uid="{00000000-0010-0000-0100-000005000000}" name="Cumplimiento de Programa" totalsRowFunction="custom" dataDxfId="481" totalsRowDxfId="480" dataCellStyle="Porcentaje">
      <calculatedColumnFormula>+MITRE[[#This Row],[Trenes Corridos]]/MITRE[[#This Row],[Trenes Programados]]</calculatedColumnFormula>
      <totalsRowFormula>+MITRE[[#Totals],[Trenes Corridos]]/MITRE[[#Totals],[Trenes Programados]]</totalsRowFormula>
    </tableColumn>
    <tableColumn id="6" xr3:uid="{00000000-0010-0000-0100-000006000000}" name="Trenes Programados" totalsRowFunction="sum" dataDxfId="479" totalsRowDxfId="478">
      <calculatedColumnFormula>+R6+AD6+AP6+BB6+BN6</calculatedColumnFormula>
    </tableColumn>
    <tableColumn id="7" xr3:uid="{00000000-0010-0000-0100-000007000000}" name="Trenes Cancelados" totalsRowFunction="sum" dataDxfId="477" totalsRowDxfId="476">
      <calculatedColumnFormula>F6-H6</calculatedColumnFormula>
    </tableColumn>
    <tableColumn id="8" xr3:uid="{00000000-0010-0000-0100-000008000000}" name="Trenes Corridos" totalsRowFunction="sum" dataDxfId="475" totalsRowDxfId="474">
      <calculatedColumnFormula>+T6+AF6+AR6+BD6+BP6</calculatedColumnFormula>
    </tableColumn>
    <tableColumn id="9" xr3:uid="{00000000-0010-0000-0100-000009000000}" name="Trenes Puntuales" totalsRowFunction="sum" dataDxfId="473" totalsRowDxfId="472">
      <calculatedColumnFormula>+U6+AG6+AS6+BE6+BQ6</calculatedColumnFormula>
    </tableColumn>
    <tableColumn id="10" xr3:uid="{00000000-0010-0000-0100-00000A000000}" name="Trenes Atrasados" totalsRowFunction="sum" dataDxfId="471" totalsRowDxfId="470">
      <calculatedColumnFormula>H6-I6</calculatedColumnFormula>
    </tableColumn>
    <tableColumn id="11" xr3:uid="{00000000-0010-0000-0100-00000B000000}" name="Observaciones" totalsRowFunction="count" dataDxfId="469" totalsRowDxfId="468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3000000}" name="ROC_Ty_Ha" displayName="ROC_Ty_Ha" ref="CS5:DC349" totalsRowShown="0" headerRowDxfId="204" dataDxfId="202" headerRowBorderDxfId="203">
  <autoFilter ref="CS5:DC349" xr:uid="{00000000-0009-0000-0100-000014000000}"/>
  <tableColumns count="11">
    <tableColumn id="1" xr3:uid="{00000000-0010-0000-1300-000001000000}" name="Año" dataDxfId="201"/>
    <tableColumn id="2" xr3:uid="{00000000-0010-0000-1300-000002000000}" name="Mes" dataDxfId="200"/>
    <tableColumn id="3" xr3:uid="{00000000-0010-0000-1300-000003000000}" name="Regularidad Absoluta" dataDxfId="199">
      <calculatedColumnFormula>DA6/CX6</calculatedColumnFormula>
    </tableColumn>
    <tableColumn id="4" xr3:uid="{00000000-0010-0000-1300-000004000000}" name="Regularidad Relativa" dataDxfId="198">
      <calculatedColumnFormula>DA6/CZ6</calculatedColumnFormula>
    </tableColumn>
    <tableColumn id="5" xr3:uid="{00000000-0010-0000-1300-000005000000}" name="Cumplimiento de Programa" dataDxfId="197">
      <calculatedColumnFormula>CZ6/CX6</calculatedColumnFormula>
    </tableColumn>
    <tableColumn id="6" xr3:uid="{00000000-0010-0000-1300-000006000000}" name="Trenes Programados" dataDxfId="196"/>
    <tableColumn id="7" xr3:uid="{00000000-0010-0000-1300-000007000000}" name="Trenes Cancelados" dataDxfId="195">
      <calculatedColumnFormula>CX6-CZ6</calculatedColumnFormula>
    </tableColumn>
    <tableColumn id="8" xr3:uid="{00000000-0010-0000-1300-000008000000}" name="Trenes Corridos" dataDxfId="194"/>
    <tableColumn id="9" xr3:uid="{00000000-0010-0000-1300-000009000000}" name="Trenes Puntuales" dataDxfId="193"/>
    <tableColumn id="10" xr3:uid="{00000000-0010-0000-1300-00000A000000}" name="Trenes Atrasados" dataDxfId="192">
      <calculatedColumnFormula>CZ6-DA6</calculatedColumnFormula>
    </tableColumn>
    <tableColumn id="11" xr3:uid="{00000000-0010-0000-1300-00000B000000}" name="Observaciones" dataDxfId="191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4000000}" name="ROC_Ez_Ca_Mo_Lo" displayName="ROC_Ez_Ca_Mo_Lo" ref="DE5:DO349" totalsRowShown="0" headerRowDxfId="190" dataDxfId="188" headerRowBorderDxfId="189">
  <autoFilter ref="DE5:DO349" xr:uid="{00000000-0009-0000-0100-000015000000}"/>
  <tableColumns count="11">
    <tableColumn id="1" xr3:uid="{00000000-0010-0000-1400-000001000000}" name="Año" dataDxfId="187"/>
    <tableColumn id="2" xr3:uid="{00000000-0010-0000-1400-000002000000}" name="Mes" dataDxfId="186"/>
    <tableColumn id="3" xr3:uid="{00000000-0010-0000-1400-000003000000}" name="Regularidad Absoluta" dataDxfId="185">
      <calculatedColumnFormula>DM6/DJ6</calculatedColumnFormula>
    </tableColumn>
    <tableColumn id="4" xr3:uid="{00000000-0010-0000-1400-000004000000}" name="Regularidad Relativa" dataDxfId="184">
      <calculatedColumnFormula>DM6/DL6</calculatedColumnFormula>
    </tableColumn>
    <tableColumn id="5" xr3:uid="{00000000-0010-0000-1400-000005000000}" name="Cumplimiento de Programa" dataDxfId="183">
      <calculatedColumnFormula>DL6/DJ6</calculatedColumnFormula>
    </tableColumn>
    <tableColumn id="6" xr3:uid="{00000000-0010-0000-1400-000006000000}" name="Trenes Programados" dataDxfId="182"/>
    <tableColumn id="7" xr3:uid="{00000000-0010-0000-1400-000007000000}" name="Trenes Cancelados" dataDxfId="181">
      <calculatedColumnFormula>DJ6-DL6</calculatedColumnFormula>
    </tableColumn>
    <tableColumn id="8" xr3:uid="{00000000-0010-0000-1400-000008000000}" name="Trenes Corridos" dataDxfId="180"/>
    <tableColumn id="9" xr3:uid="{00000000-0010-0000-1400-000009000000}" name="Trenes Puntuales" dataDxfId="179"/>
    <tableColumn id="10" xr3:uid="{00000000-0010-0000-1400-00000A000000}" name="Trenes Atrasados" dataDxfId="178">
      <calculatedColumnFormula>DL6-DM6</calculatedColumnFormula>
    </tableColumn>
    <tableColumn id="11" xr3:uid="{00000000-0010-0000-1400-00000B000000}" name="Observaciones" dataDxfId="177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5000000}" name="ROC_AK_Ch" displayName="ROC_AK_Ch" ref="DQ5:EA349" totalsRowShown="0" headerRowDxfId="176" dataDxfId="174" headerRowBorderDxfId="175">
  <autoFilter ref="DQ5:EA349" xr:uid="{00000000-0009-0000-0100-000016000000}"/>
  <tableColumns count="11">
    <tableColumn id="1" xr3:uid="{00000000-0010-0000-1500-000001000000}" name="Año" dataDxfId="173"/>
    <tableColumn id="2" xr3:uid="{00000000-0010-0000-1500-000002000000}" name="Mes" dataDxfId="172"/>
    <tableColumn id="3" xr3:uid="{00000000-0010-0000-1500-000003000000}" name="Regularidad Absoluta" dataDxfId="171">
      <calculatedColumnFormula>DY6/DV6</calculatedColumnFormula>
    </tableColumn>
    <tableColumn id="4" xr3:uid="{00000000-0010-0000-1500-000004000000}" name="Regularidad Relativa" dataDxfId="170">
      <calculatedColumnFormula>DY6/DX6</calculatedColumnFormula>
    </tableColumn>
    <tableColumn id="5" xr3:uid="{00000000-0010-0000-1500-000005000000}" name="Cumplimiento de Programa" dataDxfId="169">
      <calculatedColumnFormula>DX6/DV6</calculatedColumnFormula>
    </tableColumn>
    <tableColumn id="6" xr3:uid="{00000000-0010-0000-1500-000006000000}" name="Trenes Programados" dataDxfId="168"/>
    <tableColumn id="7" xr3:uid="{00000000-0010-0000-1500-000007000000}" name="Trenes Cancelados" dataDxfId="167">
      <calculatedColumnFormula>DV6-DX6</calculatedColumnFormula>
    </tableColumn>
    <tableColumn id="8" xr3:uid="{00000000-0010-0000-1500-000008000000}" name="Trenes Corridos" dataDxfId="166"/>
    <tableColumn id="9" xr3:uid="{00000000-0010-0000-1500-000009000000}" name="Trenes Puntuales" dataDxfId="165"/>
    <tableColumn id="10" xr3:uid="{00000000-0010-0000-1500-00000A000000}" name="Trenes Atrasados" dataDxfId="164">
      <calculatedColumnFormula>DX6-DY6</calculatedColumnFormula>
    </tableColumn>
    <tableColumn id="11" xr3:uid="{00000000-0010-0000-1500-00000B000000}" name="Observaciones" dataDxfId="163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6000000}" name="ROC_Co_Gw_Ko_Diesel" displayName="ROC_Co_Gw_Ko_Diesel" ref="Y5:AI349" totalsRowShown="0" headerRowDxfId="162" dataDxfId="160" headerRowBorderDxfId="161">
  <autoFilter ref="Y5:AI349" xr:uid="{00000000-0009-0000-0100-000020000000}"/>
  <tableColumns count="11">
    <tableColumn id="1" xr3:uid="{00000000-0010-0000-1600-000001000000}" name="Año" dataDxfId="159"/>
    <tableColumn id="2" xr3:uid="{00000000-0010-0000-1600-000002000000}" name="Mes" dataDxfId="158"/>
    <tableColumn id="3" xr3:uid="{00000000-0010-0000-1600-000003000000}" name="Regularidad Absoluta" dataDxfId="157">
      <calculatedColumnFormula>AG6/AD6</calculatedColumnFormula>
    </tableColumn>
    <tableColumn id="4" xr3:uid="{00000000-0010-0000-1600-000004000000}" name="Regularidad Relativa" dataDxfId="156">
      <calculatedColumnFormula>AG6/AF6</calculatedColumnFormula>
    </tableColumn>
    <tableColumn id="5" xr3:uid="{00000000-0010-0000-1600-000005000000}" name="Cumplimiento de Programa" dataDxfId="155">
      <calculatedColumnFormula>AF6/AD6</calculatedColumnFormula>
    </tableColumn>
    <tableColumn id="6" xr3:uid="{00000000-0010-0000-1600-000006000000}" name="Trenes Programados" dataDxfId="154"/>
    <tableColumn id="7" xr3:uid="{00000000-0010-0000-1600-000007000000}" name="Trenes Cancelados" dataDxfId="153">
      <calculatedColumnFormula>AD6-AF6</calculatedColumnFormula>
    </tableColumn>
    <tableColumn id="8" xr3:uid="{00000000-0010-0000-1600-000008000000}" name="Trenes Corridos" dataDxfId="152"/>
    <tableColumn id="9" xr3:uid="{00000000-0010-0000-1600-000009000000}" name="Trenes Puntuales" dataDxfId="151"/>
    <tableColumn id="10" xr3:uid="{00000000-0010-0000-1600-00000A000000}" name="Trenes Atrasados" dataDxfId="150">
      <calculatedColumnFormula>AF6-AG6</calculatedColumnFormula>
    </tableColumn>
    <tableColumn id="11" xr3:uid="{00000000-0010-0000-1600-00000B000000}" name="Observaciones" dataDxfId="149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7000000}" name="SM" displayName="SM" ref="A5:K350" totalsRowCount="1" headerRowDxfId="148" dataDxfId="146" totalsRowDxfId="145" headerRowBorderDxfId="147">
  <autoFilter ref="A5:K349" xr:uid="{00000000-0009-0000-0100-000017000000}"/>
  <tableColumns count="11">
    <tableColumn id="1" xr3:uid="{00000000-0010-0000-1700-000001000000}" name="Año" totalsRowLabel="Total" dataDxfId="144" totalsRowDxfId="143"/>
    <tableColumn id="2" xr3:uid="{00000000-0010-0000-1700-000002000000}" name="Mes" dataDxfId="142" totalsRowDxfId="141"/>
    <tableColumn id="3" xr3:uid="{00000000-0010-0000-1700-000003000000}" name="Regularidad Absoluta" totalsRowFunction="custom" dataDxfId="140" totalsRowDxfId="139" dataCellStyle="Porcentaje">
      <calculatedColumnFormula>I6/F6</calculatedColumnFormula>
      <totalsRowFormula>I350/F350</totalsRowFormula>
    </tableColumn>
    <tableColumn id="4" xr3:uid="{00000000-0010-0000-1700-000004000000}" name="Regularidad Relativa" totalsRowFunction="custom" dataDxfId="138" totalsRowDxfId="137" dataCellStyle="Porcentaje">
      <calculatedColumnFormula>I6/H6</calculatedColumnFormula>
      <totalsRowFormula>I350/H350</totalsRowFormula>
    </tableColumn>
    <tableColumn id="5" xr3:uid="{00000000-0010-0000-1700-000005000000}" name="Cumplimiento de Programa" totalsRowFunction="custom" dataDxfId="136" totalsRowDxfId="135" dataCellStyle="Porcentaje">
      <calculatedColumnFormula>H6/F6</calculatedColumnFormula>
      <totalsRowFormula>H350/F350</totalsRowFormula>
    </tableColumn>
    <tableColumn id="6" xr3:uid="{00000000-0010-0000-1700-000006000000}" name="Trenes Programados" totalsRowFunction="sum" dataDxfId="134" totalsRowDxfId="133"/>
    <tableColumn id="7" xr3:uid="{00000000-0010-0000-1700-000007000000}" name="Trenes Cancelados" totalsRowFunction="sum" dataDxfId="132" totalsRowDxfId="131">
      <calculatedColumnFormula>F6-H6</calculatedColumnFormula>
    </tableColumn>
    <tableColumn id="8" xr3:uid="{00000000-0010-0000-1700-000008000000}" name="Trenes Corridos" totalsRowFunction="sum" dataDxfId="130" totalsRowDxfId="129"/>
    <tableColumn id="9" xr3:uid="{00000000-0010-0000-1700-000009000000}" name="Trenes Puntuales" totalsRowFunction="sum" dataDxfId="128" totalsRowDxfId="127"/>
    <tableColumn id="10" xr3:uid="{00000000-0010-0000-1700-00000A000000}" name="Trenes Atrasados" totalsRowFunction="sum" dataDxfId="126" totalsRowDxfId="125">
      <calculatedColumnFormula>H6-I6</calculatedColumnFormula>
    </tableColumn>
    <tableColumn id="11" xr3:uid="{00000000-0010-0000-1700-00000B000000}" name="Observaciones" totalsRowFunction="count" dataDxfId="124" totalsRowDxfId="123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8000000}" name="BN" displayName="BN" ref="A5:K350" totalsRowCount="1" headerRowDxfId="122" dataDxfId="121" totalsRowDxfId="120">
  <autoFilter ref="A5:K349" xr:uid="{00000000-0009-0000-0100-000018000000}"/>
  <tableColumns count="11">
    <tableColumn id="1" xr3:uid="{00000000-0010-0000-1800-000001000000}" name="Año" totalsRowLabel="Total" dataDxfId="119" totalsRowDxfId="118"/>
    <tableColumn id="2" xr3:uid="{00000000-0010-0000-1800-000002000000}" name="Mes" dataDxfId="117" totalsRowDxfId="116"/>
    <tableColumn id="3" xr3:uid="{00000000-0010-0000-1800-000003000000}" name="Regularidad Absoluta" totalsRowFunction="custom" dataDxfId="115" totalsRowDxfId="114" dataCellStyle="Porcentaje">
      <calculatedColumnFormula>I6/F6</calculatedColumnFormula>
      <totalsRowFormula>I350/F350</totalsRowFormula>
    </tableColumn>
    <tableColumn id="4" xr3:uid="{00000000-0010-0000-1800-000004000000}" name="Regularidad Relativa" totalsRowFunction="custom" dataDxfId="113" totalsRowDxfId="112" dataCellStyle="Porcentaje">
      <calculatedColumnFormula>I6/H6</calculatedColumnFormula>
      <totalsRowFormula>I350/H350</totalsRowFormula>
    </tableColumn>
    <tableColumn id="5" xr3:uid="{00000000-0010-0000-1800-000005000000}" name="Cumplimiento de Programa" totalsRowFunction="custom" dataDxfId="111" totalsRowDxfId="110" dataCellStyle="Porcentaje">
      <calculatedColumnFormula>H6/F6</calculatedColumnFormula>
      <totalsRowFormula>H350/F350</totalsRowFormula>
    </tableColumn>
    <tableColumn id="6" xr3:uid="{00000000-0010-0000-1800-000006000000}" name="Trenes Programados" totalsRowFunction="sum" dataDxfId="109" totalsRowDxfId="108"/>
    <tableColumn id="7" xr3:uid="{00000000-0010-0000-1800-000007000000}" name="Trenes Cancelados" totalsRowFunction="sum" dataDxfId="107" totalsRowDxfId="106">
      <calculatedColumnFormula>+F6-H6</calculatedColumnFormula>
    </tableColumn>
    <tableColumn id="8" xr3:uid="{00000000-0010-0000-1800-000008000000}" name="Trenes Corridos" totalsRowFunction="sum" dataDxfId="105" totalsRowDxfId="104"/>
    <tableColumn id="9" xr3:uid="{00000000-0010-0000-1800-000009000000}" name="Trenes Puntuales" totalsRowFunction="sum" dataDxfId="103" totalsRowDxfId="102"/>
    <tableColumn id="10" xr3:uid="{00000000-0010-0000-1800-00000A000000}" name="Trenes Atrasados" totalsRowFunction="sum" dataDxfId="101" totalsRowDxfId="100">
      <calculatedColumnFormula>H6-I6</calculatedColumnFormula>
    </tableColumn>
    <tableColumn id="11" xr3:uid="{00000000-0010-0000-1800-00000B000000}" name="Observaciones" totalsRowFunction="count" dataDxfId="99" totalsRowDxfId="98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9000000}" name="BS" displayName="BS" ref="A5:K350" totalsRowCount="1" headerRowDxfId="97" dataDxfId="95" totalsRowDxfId="94" headerRowBorderDxfId="96">
  <autoFilter ref="A5:K349" xr:uid="{00000000-0009-0000-0100-000019000000}"/>
  <tableColumns count="11">
    <tableColumn id="1" xr3:uid="{00000000-0010-0000-1900-000001000000}" name="Año" totalsRowLabel="Total" totalsRowDxfId="93"/>
    <tableColumn id="2" xr3:uid="{00000000-0010-0000-1900-000002000000}" name="Mes" totalsRowDxfId="92"/>
    <tableColumn id="3" xr3:uid="{00000000-0010-0000-1900-000003000000}" name="Regularidad Absoluta" totalsRowFunction="custom" dataDxfId="91" totalsRowDxfId="90" dataCellStyle="Porcentaje">
      <calculatedColumnFormula>I6/F6</calculatedColumnFormula>
      <totalsRowFormula>I350/F350</totalsRowFormula>
    </tableColumn>
    <tableColumn id="4" xr3:uid="{00000000-0010-0000-1900-000004000000}" name="Regularidad Relativa" totalsRowFunction="custom" dataDxfId="89" totalsRowDxfId="88" dataCellStyle="Porcentaje">
      <calculatedColumnFormula>I6/H6</calculatedColumnFormula>
      <totalsRowFormula>I350/H350</totalsRowFormula>
    </tableColumn>
    <tableColumn id="5" xr3:uid="{00000000-0010-0000-1900-000005000000}" name="Cumplimiento de Programa" totalsRowFunction="custom" dataDxfId="87" totalsRowDxfId="86" dataCellStyle="Porcentaje">
      <calculatedColumnFormula>H6/F6</calculatedColumnFormula>
      <totalsRowFormula>H350/F350</totalsRowFormula>
    </tableColumn>
    <tableColumn id="6" xr3:uid="{00000000-0010-0000-1900-000006000000}" name="Trenes Programados" totalsRowFunction="sum" dataDxfId="85" totalsRowDxfId="84"/>
    <tableColumn id="7" xr3:uid="{00000000-0010-0000-1900-000007000000}" name="Trenes Cancelados" dataDxfId="83" totalsRowDxfId="82">
      <calculatedColumnFormula>F6-H6</calculatedColumnFormula>
    </tableColumn>
    <tableColumn id="8" xr3:uid="{00000000-0010-0000-1900-000008000000}" name="Trenes Corridos" totalsRowFunction="sum" dataDxfId="81" totalsRowDxfId="80"/>
    <tableColumn id="9" xr3:uid="{00000000-0010-0000-1900-000009000000}" name="Trenes Puntuales" totalsRowFunction="sum" dataDxfId="79" totalsRowDxfId="78"/>
    <tableColumn id="10" xr3:uid="{00000000-0010-0000-1900-00000A000000}" name="Trenes Atrasados" dataDxfId="77" totalsRowDxfId="76">
      <calculatedColumnFormula>H6-I6</calculatedColumnFormula>
    </tableColumn>
    <tableColumn id="11" xr3:uid="{00000000-0010-0000-1900-00000B000000}" name="Observaciones" totalsRowFunction="count" dataDxfId="75" totalsRowDxfId="74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A000000}" name="Tabla26" displayName="Tabla26" ref="M5:W349" totalsRowShown="0" headerRowDxfId="73" dataDxfId="71" headerRowBorderDxfId="72">
  <autoFilter ref="M5:W349" xr:uid="{00000000-0009-0000-0100-00001A000000}"/>
  <tableColumns count="11">
    <tableColumn id="1" xr3:uid="{00000000-0010-0000-1A00-000001000000}" name="Año"/>
    <tableColumn id="2" xr3:uid="{00000000-0010-0000-1A00-000002000000}" name="Mes"/>
    <tableColumn id="3" xr3:uid="{00000000-0010-0000-1A00-000003000000}" name="Regularidad Absoluta" dataDxfId="70" dataCellStyle="Porcentaje">
      <calculatedColumnFormula>U6/R6</calculatedColumnFormula>
    </tableColumn>
    <tableColumn id="4" xr3:uid="{00000000-0010-0000-1A00-000004000000}" name="Regularidad Relativa" dataDxfId="69" dataCellStyle="Porcentaje">
      <calculatedColumnFormula>U6/T6</calculatedColumnFormula>
    </tableColumn>
    <tableColumn id="5" xr3:uid="{00000000-0010-0000-1A00-000005000000}" name="Cumplimiento de Programa" dataDxfId="68" dataCellStyle="Porcentaje">
      <calculatedColumnFormula>T6/R6</calculatedColumnFormula>
    </tableColumn>
    <tableColumn id="6" xr3:uid="{00000000-0010-0000-1A00-000006000000}" name="Trenes Programados" dataDxfId="67"/>
    <tableColumn id="7" xr3:uid="{00000000-0010-0000-1A00-000007000000}" name="Trenes Cancelados" dataDxfId="66">
      <calculatedColumnFormula>R6-T6</calculatedColumnFormula>
    </tableColumn>
    <tableColumn id="8" xr3:uid="{00000000-0010-0000-1A00-000008000000}" name="Trenes Corridos" dataDxfId="65"/>
    <tableColumn id="9" xr3:uid="{00000000-0010-0000-1A00-000009000000}" name="Trenes Puntuales" dataDxfId="64"/>
    <tableColumn id="10" xr3:uid="{00000000-0010-0000-1A00-00000A000000}" name="Trenes Atrasados" dataDxfId="63">
      <calculatedColumnFormula>T6-U6</calculatedColumnFormula>
    </tableColumn>
    <tableColumn id="11" xr3:uid="{00000000-0010-0000-1A00-00000B000000}" name="Observaciones" dataDxfId="62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B000000}" name="Tabla27" displayName="Tabla27" ref="Y5:AI349" totalsRowShown="0" headerRowDxfId="61" dataDxfId="59" headerRowBorderDxfId="60">
  <autoFilter ref="Y5:AI349" xr:uid="{00000000-0009-0000-0100-00001B000000}"/>
  <tableColumns count="11">
    <tableColumn id="1" xr3:uid="{00000000-0010-0000-1B00-000001000000}" name="Año"/>
    <tableColumn id="2" xr3:uid="{00000000-0010-0000-1B00-000002000000}" name="Mes"/>
    <tableColumn id="3" xr3:uid="{00000000-0010-0000-1B00-000003000000}" name="Regularidad Absoluta" dataDxfId="58" dataCellStyle="Porcentaje">
      <calculatedColumnFormula>AG6/AD6</calculatedColumnFormula>
    </tableColumn>
    <tableColumn id="4" xr3:uid="{00000000-0010-0000-1B00-000004000000}" name="Regularidad Relativa" dataDxfId="57" dataCellStyle="Porcentaje">
      <calculatedColumnFormula>AG6/AF6</calculatedColumnFormula>
    </tableColumn>
    <tableColumn id="5" xr3:uid="{00000000-0010-0000-1B00-000005000000}" name="Cumplimiento de Programa" dataDxfId="56" dataCellStyle="Porcentaje">
      <calculatedColumnFormula>AF6/AD6</calculatedColumnFormula>
    </tableColumn>
    <tableColumn id="6" xr3:uid="{00000000-0010-0000-1B00-000006000000}" name="Trenes Programados" dataDxfId="55"/>
    <tableColumn id="7" xr3:uid="{00000000-0010-0000-1B00-000007000000}" name="Trenes Cancelados" dataDxfId="54">
      <calculatedColumnFormula>AD6-AF6</calculatedColumnFormula>
    </tableColumn>
    <tableColumn id="8" xr3:uid="{00000000-0010-0000-1B00-000008000000}" name="Trenes Corridos" dataDxfId="53"/>
    <tableColumn id="9" xr3:uid="{00000000-0010-0000-1B00-000009000000}" name="Trenes Puntuales" dataDxfId="52"/>
    <tableColumn id="10" xr3:uid="{00000000-0010-0000-1B00-00000A000000}" name="Trenes Atrasados" dataDxfId="51">
      <calculatedColumnFormula>AF6-AG6</calculatedColumnFormula>
    </tableColumn>
    <tableColumn id="11" xr3:uid="{00000000-0010-0000-1B00-00000B000000}" name="Observaciones" dataDxfId="50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a28" displayName="Tabla28" ref="AK5:AU349" totalsRowShown="0" headerRowDxfId="49" dataDxfId="47" headerRowBorderDxfId="48">
  <autoFilter ref="AK5:AU349" xr:uid="{00000000-0009-0000-0100-00001C000000}"/>
  <tableColumns count="11">
    <tableColumn id="1" xr3:uid="{00000000-0010-0000-1C00-000001000000}" name="Año"/>
    <tableColumn id="2" xr3:uid="{00000000-0010-0000-1C00-000002000000}" name="Mes"/>
    <tableColumn id="3" xr3:uid="{00000000-0010-0000-1C00-000003000000}" name="Regularidad Absoluta" dataDxfId="46" dataCellStyle="Porcentaje">
      <calculatedColumnFormula>AS6/AP6</calculatedColumnFormula>
    </tableColumn>
    <tableColumn id="4" xr3:uid="{00000000-0010-0000-1C00-000004000000}" name="Regularidad Relativa" dataDxfId="45" dataCellStyle="Porcentaje">
      <calculatedColumnFormula>AS6/AR6</calculatedColumnFormula>
    </tableColumn>
    <tableColumn id="5" xr3:uid="{00000000-0010-0000-1C00-000005000000}" name="Cumplimiento de Programa" dataDxfId="44" dataCellStyle="Porcentaje">
      <calculatedColumnFormula>AR6/AP6</calculatedColumnFormula>
    </tableColumn>
    <tableColumn id="6" xr3:uid="{00000000-0010-0000-1C00-000006000000}" name="Trenes Programados" dataDxfId="43"/>
    <tableColumn id="7" xr3:uid="{00000000-0010-0000-1C00-000007000000}" name="Trenes Cancelados" dataDxfId="42"/>
    <tableColumn id="8" xr3:uid="{00000000-0010-0000-1C00-000008000000}" name="Trenes Corridos" dataDxfId="41"/>
    <tableColumn id="9" xr3:uid="{00000000-0010-0000-1C00-000009000000}" name="Trenes Puntuales" dataDxfId="40"/>
    <tableColumn id="10" xr3:uid="{00000000-0010-0000-1C00-00000A000000}" name="Trenes Atrasados" dataDxfId="39"/>
    <tableColumn id="11" xr3:uid="{00000000-0010-0000-1C00-00000B000000}" name="Observaciones" dataDxfId="38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M5:W349" totalsRowShown="0" headerRowDxfId="467" dataDxfId="466">
  <autoFilter ref="M5:W349" xr:uid="{00000000-0009-0000-0100-000004000000}"/>
  <tableColumns count="11">
    <tableColumn id="1" xr3:uid="{00000000-0010-0000-0200-000001000000}" name="Año" dataDxfId="465"/>
    <tableColumn id="2" xr3:uid="{00000000-0010-0000-0200-000002000000}" name="Mes" dataDxfId="464"/>
    <tableColumn id="3" xr3:uid="{00000000-0010-0000-0200-000003000000}" name="Regularidad Absoluta" dataDxfId="463">
      <calculatedColumnFormula>+Tabla4[[#This Row],[Trenes Puntuales]]/Tabla4[[#This Row],[Trenes Programados]]</calculatedColumnFormula>
    </tableColumn>
    <tableColumn id="4" xr3:uid="{00000000-0010-0000-0200-000004000000}" name="Regularidad Relativa" dataDxfId="462">
      <calculatedColumnFormula>+Tabla4[[#This Row],[Trenes Puntuales]]/Tabla4[[#This Row],[Trenes Corridos]]</calculatedColumnFormula>
    </tableColumn>
    <tableColumn id="5" xr3:uid="{00000000-0010-0000-0200-000005000000}" name="Cumplimiento de Programa" dataDxfId="461">
      <calculatedColumnFormula>+Tabla4[[#This Row],[Trenes Corridos]]/Tabla4[[#This Row],[Trenes Programados]]</calculatedColumnFormula>
    </tableColumn>
    <tableColumn id="6" xr3:uid="{00000000-0010-0000-0200-000006000000}" name="Trenes Programados" dataDxfId="460"/>
    <tableColumn id="7" xr3:uid="{00000000-0010-0000-0200-000007000000}" name="Trenes Cancelados" dataDxfId="459">
      <calculatedColumnFormula>+R6-T6</calculatedColumnFormula>
    </tableColumn>
    <tableColumn id="8" xr3:uid="{00000000-0010-0000-0200-000008000000}" name="Trenes Corridos" dataDxfId="458"/>
    <tableColumn id="9" xr3:uid="{00000000-0010-0000-0200-000009000000}" name="Trenes Puntuales" dataDxfId="457"/>
    <tableColumn id="10" xr3:uid="{00000000-0010-0000-0200-00000A000000}" name="Trenes Atrasados" dataDxfId="456">
      <calculatedColumnFormula>+T6-U6</calculatedColumnFormula>
    </tableColumn>
    <tableColumn id="11" xr3:uid="{00000000-0010-0000-0200-00000B000000}" name="Observaciones" dataDxfId="455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D000000}" name="Tabla29" displayName="Tabla29" ref="AW5:BG349" totalsRowShown="0" headerRowDxfId="37" dataDxfId="35" headerRowBorderDxfId="36">
  <autoFilter ref="AW5:BG349" xr:uid="{00000000-0009-0000-0100-00001D000000}"/>
  <tableColumns count="11">
    <tableColumn id="1" xr3:uid="{00000000-0010-0000-1D00-000001000000}" name="Año"/>
    <tableColumn id="2" xr3:uid="{00000000-0010-0000-1D00-000002000000}" name="Mes"/>
    <tableColumn id="3" xr3:uid="{00000000-0010-0000-1D00-000003000000}" name="Regularidad Absoluta" dataDxfId="34" dataCellStyle="Porcentaje">
      <calculatedColumnFormula>BE6/BB6</calculatedColumnFormula>
    </tableColumn>
    <tableColumn id="4" xr3:uid="{00000000-0010-0000-1D00-000004000000}" name="Regularidad Relativa" dataDxfId="33" dataCellStyle="Porcentaje">
      <calculatedColumnFormula>BE6/BD6</calculatedColumnFormula>
    </tableColumn>
    <tableColumn id="5" xr3:uid="{00000000-0010-0000-1D00-000005000000}" name="Cumplimiento de Programa" dataDxfId="32" dataCellStyle="Porcentaje">
      <calculatedColumnFormula>BD6/BB6</calculatedColumnFormula>
    </tableColumn>
    <tableColumn id="6" xr3:uid="{00000000-0010-0000-1D00-000006000000}" name="Trenes Programados" dataDxfId="31"/>
    <tableColumn id="7" xr3:uid="{00000000-0010-0000-1D00-000007000000}" name="Trenes Cancelados" dataDxfId="30">
      <calculatedColumnFormula>BB6-BD6</calculatedColumnFormula>
    </tableColumn>
    <tableColumn id="8" xr3:uid="{00000000-0010-0000-1D00-000008000000}" name="Trenes Corridos" dataDxfId="29"/>
    <tableColumn id="9" xr3:uid="{00000000-0010-0000-1D00-000009000000}" name="Trenes Puntuales" dataDxfId="28"/>
    <tableColumn id="10" xr3:uid="{00000000-0010-0000-1D00-00000A000000}" name="Trenes Atrasados" dataDxfId="27">
      <calculatedColumnFormula>BD6-BE6</calculatedColumnFormula>
    </tableColumn>
    <tableColumn id="11" xr3:uid="{00000000-0010-0000-1D00-00000B000000}" name="Observaciones" dataDxfId="26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E000000}" name="TDC" displayName="TDC" ref="A5:K350" totalsRowCount="1" headerRowDxfId="25" dataDxfId="23" totalsRowDxfId="22" headerRowBorderDxfId="24">
  <autoFilter ref="A5:K349" xr:uid="{00000000-0009-0000-0100-00001E000000}"/>
  <tableColumns count="11">
    <tableColumn id="1" xr3:uid="{00000000-0010-0000-1E00-000001000000}" name="Año" totalsRowLabel="Total" dataDxfId="21" totalsRowDxfId="20"/>
    <tableColumn id="2" xr3:uid="{00000000-0010-0000-1E00-000002000000}" name="Mes" dataDxfId="19" totalsRowDxfId="18"/>
    <tableColumn id="3" xr3:uid="{00000000-0010-0000-1E00-000003000000}" name="Regularidad Absoluta" totalsRowFunction="average" dataDxfId="17" totalsRowDxfId="16" dataCellStyle="Porcentaje">
      <calculatedColumnFormula>I6/F6</calculatedColumnFormula>
    </tableColumn>
    <tableColumn id="4" xr3:uid="{00000000-0010-0000-1E00-000004000000}" name="Regularidad Relativa" totalsRowFunction="average" dataDxfId="15" totalsRowDxfId="14" dataCellStyle="Porcentaje">
      <calculatedColumnFormula>I6/H6</calculatedColumnFormula>
    </tableColumn>
    <tableColumn id="5" xr3:uid="{00000000-0010-0000-1E00-000005000000}" name="Cumplimiento de Programa" totalsRowFunction="average" dataDxfId="13" totalsRowDxfId="12" dataCellStyle="Porcentaje">
      <calculatedColumnFormula>H6/F6</calculatedColumnFormula>
    </tableColumn>
    <tableColumn id="6" xr3:uid="{00000000-0010-0000-1E00-000006000000}" name="Trenes Programados" totalsRowFunction="sum" dataDxfId="11" totalsRowDxfId="10"/>
    <tableColumn id="7" xr3:uid="{00000000-0010-0000-1E00-000007000000}" name="Trenes Cancelados" totalsRowFunction="sum" dataDxfId="9" totalsRowDxfId="8">
      <calculatedColumnFormula>F6-H6</calculatedColumnFormula>
    </tableColumn>
    <tableColumn id="8" xr3:uid="{00000000-0010-0000-1E00-000008000000}" name="Trenes Corridos" totalsRowFunction="sum" dataDxfId="7" totalsRowDxfId="6"/>
    <tableColumn id="9" xr3:uid="{00000000-0010-0000-1E00-000009000000}" name="Trenes Puntuales" totalsRowFunction="sum" dataDxfId="5" totalsRowDxfId="4"/>
    <tableColumn id="10" xr3:uid="{00000000-0010-0000-1E00-00000A000000}" name="Trenes Atrasados" totalsRowFunction="sum" dataDxfId="3" totalsRowDxfId="2">
      <calculatedColumnFormula>H6-I6</calculatedColumnFormula>
    </tableColumn>
    <tableColumn id="11" xr3:uid="{00000000-0010-0000-1E00-00000B000000}" name="Observaciones" totalsRowFunction="count" dataDxfId="1" totalsRow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Y5:AI349" totalsRowShown="0" headerRowDxfId="454" dataDxfId="453">
  <autoFilter ref="Y5:AI349" xr:uid="{00000000-0009-0000-0100-000005000000}"/>
  <tableColumns count="11">
    <tableColumn id="1" xr3:uid="{00000000-0010-0000-0300-000001000000}" name="Año" dataDxfId="452"/>
    <tableColumn id="2" xr3:uid="{00000000-0010-0000-0300-000002000000}" name="Mes" dataDxfId="451"/>
    <tableColumn id="3" xr3:uid="{00000000-0010-0000-0300-000003000000}" name="Regularidad Absoluta" dataDxfId="450">
      <calculatedColumnFormula>+Tabla5[[#This Row],[Trenes Puntuales]]/Tabla5[[#This Row],[Trenes Programados]]</calculatedColumnFormula>
    </tableColumn>
    <tableColumn id="4" xr3:uid="{00000000-0010-0000-0300-000004000000}" name="Regularidad Relativa" dataDxfId="449">
      <calculatedColumnFormula>+Tabla5[[#This Row],[Trenes Puntuales]]/Tabla5[[#This Row],[Trenes Corridos]]</calculatedColumnFormula>
    </tableColumn>
    <tableColumn id="5" xr3:uid="{00000000-0010-0000-0300-000005000000}" name="Cumplimiento de Programa" dataDxfId="448">
      <calculatedColumnFormula>+Tabla5[[#This Row],[Trenes Corridos]]/Tabla5[[#This Row],[Trenes Programados]]</calculatedColumnFormula>
    </tableColumn>
    <tableColumn id="6" xr3:uid="{00000000-0010-0000-0300-000006000000}" name="Trenes Programados" dataDxfId="447"/>
    <tableColumn id="7" xr3:uid="{00000000-0010-0000-0300-000007000000}" name="Trenes Cancelados" dataDxfId="446">
      <calculatedColumnFormula>+AD6-AF6</calculatedColumnFormula>
    </tableColumn>
    <tableColumn id="8" xr3:uid="{00000000-0010-0000-0300-000008000000}" name="Trenes Corridos" dataDxfId="445"/>
    <tableColumn id="9" xr3:uid="{00000000-0010-0000-0300-000009000000}" name="Trenes Puntuales" dataDxfId="444"/>
    <tableColumn id="10" xr3:uid="{00000000-0010-0000-0300-00000A000000}" name="Trenes Atrasados" dataDxfId="443">
      <calculatedColumnFormula>+AF6-AG6</calculatedColumnFormula>
    </tableColumn>
    <tableColumn id="11" xr3:uid="{00000000-0010-0000-0300-00000B000000}" name="Observaciones" dataDxfId="44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AK5:AU349" totalsRowShown="0" headerRowDxfId="441" dataDxfId="440">
  <autoFilter ref="AK5:AU349" xr:uid="{00000000-0009-0000-0100-000006000000}"/>
  <tableColumns count="11">
    <tableColumn id="1" xr3:uid="{00000000-0010-0000-0400-000001000000}" name="Año" dataDxfId="439"/>
    <tableColumn id="2" xr3:uid="{00000000-0010-0000-0400-000002000000}" name="Mes" dataDxfId="438"/>
    <tableColumn id="3" xr3:uid="{00000000-0010-0000-0400-000003000000}" name="Regularidad Absoluta" dataDxfId="437">
      <calculatedColumnFormula>+Tabla6[[#This Row],[Trenes Puntuales]]/Tabla6[[#This Row],[Trenes Programados]]</calculatedColumnFormula>
    </tableColumn>
    <tableColumn id="4" xr3:uid="{00000000-0010-0000-0400-000004000000}" name="Regularidad Relativa" dataDxfId="436">
      <calculatedColumnFormula>+Tabla6[[#This Row],[Trenes Puntuales]]/Tabla6[[#This Row],[Trenes Corridos]]</calculatedColumnFormula>
    </tableColumn>
    <tableColumn id="5" xr3:uid="{00000000-0010-0000-0400-000005000000}" name="Cumplimiento de Programa" dataDxfId="435">
      <calculatedColumnFormula>+Tabla6[[#This Row],[Trenes Corridos]]/Tabla6[[#This Row],[Trenes Programados]]</calculatedColumnFormula>
    </tableColumn>
    <tableColumn id="6" xr3:uid="{00000000-0010-0000-0400-000006000000}" name="Trenes Programados" dataDxfId="434"/>
    <tableColumn id="7" xr3:uid="{00000000-0010-0000-0400-000007000000}" name="Trenes Cancelados" dataDxfId="433">
      <calculatedColumnFormula>+AP6-AR6</calculatedColumnFormula>
    </tableColumn>
    <tableColumn id="8" xr3:uid="{00000000-0010-0000-0400-000008000000}" name="Trenes Corridos" dataDxfId="432"/>
    <tableColumn id="9" xr3:uid="{00000000-0010-0000-0400-000009000000}" name="Trenes Puntuales" dataDxfId="431"/>
    <tableColumn id="10" xr3:uid="{00000000-0010-0000-0400-00000A000000}" name="Trenes Atrasados" dataDxfId="430">
      <calculatedColumnFormula>+AR6-AS6</calculatedColumnFormula>
    </tableColumn>
    <tableColumn id="11" xr3:uid="{00000000-0010-0000-0400-00000B000000}" name="Observaciones" dataDxfId="42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MIT_Vic_Cap" displayName="MIT_Vic_Cap" ref="AW5:BG349" totalsRowShown="0" headerRowDxfId="428" dataDxfId="427">
  <autoFilter ref="AW5:BG349" xr:uid="{00000000-0009-0000-0100-000007000000}"/>
  <tableColumns count="11">
    <tableColumn id="1" xr3:uid="{00000000-0010-0000-0500-000001000000}" name="Año" dataDxfId="426"/>
    <tableColumn id="2" xr3:uid="{00000000-0010-0000-0500-000002000000}" name="Mes" dataDxfId="425"/>
    <tableColumn id="3" xr3:uid="{00000000-0010-0000-0500-000003000000}" name="Regularidad Absoluta" dataDxfId="424">
      <calculatedColumnFormula>+MIT_Vic_Cap[[#This Row],[Trenes Puntuales]]/MIT_Vic_Cap[[#This Row],[Trenes Programados]]</calculatedColumnFormula>
    </tableColumn>
    <tableColumn id="4" xr3:uid="{00000000-0010-0000-0500-000004000000}" name="Regularidad Relativa" dataDxfId="423">
      <calculatedColumnFormula>+MIT_Vic_Cap[[#This Row],[Trenes Puntuales]]/MIT_Vic_Cap[[#This Row],[Trenes Corridos]]</calculatedColumnFormula>
    </tableColumn>
    <tableColumn id="5" xr3:uid="{00000000-0010-0000-0500-000005000000}" name="Cumplimiento de Programa" dataDxfId="422">
      <calculatedColumnFormula>+MIT_Vic_Cap[[#This Row],[Trenes Corridos]]/MIT_Vic_Cap[[#This Row],[Trenes Programados]]</calculatedColumnFormula>
    </tableColumn>
    <tableColumn id="6" xr3:uid="{00000000-0010-0000-0500-000006000000}" name="Trenes Programados" dataDxfId="421"/>
    <tableColumn id="7" xr3:uid="{00000000-0010-0000-0500-000007000000}" name="Trenes Cancelados" dataDxfId="420"/>
    <tableColumn id="8" xr3:uid="{00000000-0010-0000-0500-000008000000}" name="Trenes Corridos" dataDxfId="419"/>
    <tableColumn id="9" xr3:uid="{00000000-0010-0000-0500-000009000000}" name="Trenes Puntuales" dataDxfId="418"/>
    <tableColumn id="10" xr3:uid="{00000000-0010-0000-0500-00000A000000}" name="Trenes Atrasados" dataDxfId="417"/>
    <tableColumn id="11" xr3:uid="{00000000-0010-0000-0500-00000B000000}" name="Observaciones" dataDxfId="416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a8" displayName="Tabla8" ref="BI5:BS349" totalsRowShown="0" headerRowDxfId="415" dataDxfId="414">
  <autoFilter ref="BI5:BS349" xr:uid="{00000000-0009-0000-0100-000008000000}"/>
  <tableColumns count="11">
    <tableColumn id="1" xr3:uid="{00000000-0010-0000-0600-000001000000}" name="Año" dataDxfId="413"/>
    <tableColumn id="2" xr3:uid="{00000000-0010-0000-0600-000002000000}" name="Mes" dataDxfId="412"/>
    <tableColumn id="3" xr3:uid="{00000000-0010-0000-0600-000003000000}" name="Regularidad Absoluta" dataDxfId="411">
      <calculatedColumnFormula>+Tabla8[[#This Row],[Trenes Puntuales]]/Tabla8[[#This Row],[Trenes Programados]]</calculatedColumnFormula>
    </tableColumn>
    <tableColumn id="4" xr3:uid="{00000000-0010-0000-0600-000004000000}" name="Regularidad Relativa" dataDxfId="410">
      <calculatedColumnFormula>+Tabla8[[#This Row],[Trenes Puntuales]]/Tabla8[[#This Row],[Trenes Corridos]]</calculatedColumnFormula>
    </tableColumn>
    <tableColumn id="5" xr3:uid="{00000000-0010-0000-0600-000005000000}" name="Cumplimiento de Programa" dataDxfId="409">
      <calculatedColumnFormula>+Tabla8[[#This Row],[Trenes Corridos]]/Tabla8[[#This Row],[Trenes Programados]]</calculatedColumnFormula>
    </tableColumn>
    <tableColumn id="6" xr3:uid="{00000000-0010-0000-0600-000006000000}" name="Trenes Programados" dataDxfId="408"/>
    <tableColumn id="7" xr3:uid="{00000000-0010-0000-0600-000007000000}" name="Trenes Cancelados" dataDxfId="407">
      <calculatedColumnFormula>+BN6-BP6</calculatedColumnFormula>
    </tableColumn>
    <tableColumn id="8" xr3:uid="{00000000-0010-0000-0600-000008000000}" name="Trenes Corridos" dataDxfId="406"/>
    <tableColumn id="9" xr3:uid="{00000000-0010-0000-0600-000009000000}" name="Trenes Puntuales" dataDxfId="405"/>
    <tableColumn id="10" xr3:uid="{00000000-0010-0000-0600-00000A000000}" name="Trenes Atrasados" dataDxfId="404">
      <calculatedColumnFormula>+BP6-BQ6</calculatedColumnFormula>
    </tableColumn>
    <tableColumn id="11" xr3:uid="{00000000-0010-0000-0600-00000B000000}" name="Observaciones" dataDxfId="40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SARM" displayName="SARM" ref="A5:K350" totalsRowCount="1" headerRowDxfId="402" dataDxfId="401">
  <autoFilter ref="A5:K349" xr:uid="{00000000-0009-0000-0100-000001000000}"/>
  <tableColumns count="11">
    <tableColumn id="1" xr3:uid="{00000000-0010-0000-0700-000001000000}" name="Año" totalsRowLabel="Total" dataDxfId="400" totalsRowDxfId="399"/>
    <tableColumn id="2" xr3:uid="{00000000-0010-0000-0700-000002000000}" name="Mes" dataDxfId="398" totalsRowDxfId="397"/>
    <tableColumn id="3" xr3:uid="{00000000-0010-0000-0700-000003000000}" name="Regularidad Absoluta" totalsRowFunction="custom" dataDxfId="396" totalsRowDxfId="395" dataCellStyle="Porcentaje">
      <calculatedColumnFormula>I6/F6*100</calculatedColumnFormula>
      <totalsRowFormula>I350/F350</totalsRowFormula>
    </tableColumn>
    <tableColumn id="4" xr3:uid="{00000000-0010-0000-0700-000004000000}" name="Regularidad Relativa" totalsRowFunction="custom" dataDxfId="394" totalsRowDxfId="393" dataCellStyle="Porcentaje">
      <calculatedColumnFormula>I6/H6*100</calculatedColumnFormula>
      <totalsRowFormula>I350/H350</totalsRowFormula>
    </tableColumn>
    <tableColumn id="5" xr3:uid="{00000000-0010-0000-0700-000005000000}" name="Cumplimiento de Programa" totalsRowFunction="custom" dataDxfId="392" totalsRowDxfId="391" dataCellStyle="Porcentaje">
      <calculatedColumnFormula>H6/F6*100</calculatedColumnFormula>
      <totalsRowFormula>H350/F350</totalsRowFormula>
    </tableColumn>
    <tableColumn id="6" xr3:uid="{00000000-0010-0000-0700-000006000000}" name="Trenes Programados" totalsRowFunction="sum" dataDxfId="390" totalsRowDxfId="389">
      <calculatedColumnFormula>+R6+AD6+AP6</calculatedColumnFormula>
    </tableColumn>
    <tableColumn id="7" xr3:uid="{00000000-0010-0000-0700-000007000000}" name="Trenes Cancelados" totalsRowFunction="sum" dataDxfId="388" totalsRowDxfId="387">
      <calculatedColumnFormula>F6-H6</calculatedColumnFormula>
    </tableColumn>
    <tableColumn id="8" xr3:uid="{00000000-0010-0000-0700-000008000000}" name="Trenes Corridos" totalsRowFunction="sum" dataDxfId="386" totalsRowDxfId="385">
      <calculatedColumnFormula>+T6+AF6+AR6</calculatedColumnFormula>
    </tableColumn>
    <tableColumn id="9" xr3:uid="{00000000-0010-0000-0700-000009000000}" name="Trenes Puntuales" totalsRowFunction="sum" dataDxfId="384" totalsRowDxfId="383">
      <calculatedColumnFormula>+U6+AG6+AS6</calculatedColumnFormula>
    </tableColumn>
    <tableColumn id="10" xr3:uid="{00000000-0010-0000-0700-00000A000000}" name="Trenes Atrasados" totalsRowFunction="sum" dataDxfId="382" totalsRowDxfId="381">
      <calculatedColumnFormula>H6-I6</calculatedColumnFormula>
    </tableColumn>
    <tableColumn id="11" xr3:uid="{00000000-0010-0000-0700-00000B000000}" name="Observaciones" totalsRowFunction="count" dataDxfId="380" totalsRowDxfId="379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8000000}" name="Tabla2" displayName="Tabla2" ref="M5:W349" totalsRowShown="0" headerRowDxfId="378" dataDxfId="376" headerRowBorderDxfId="377">
  <autoFilter ref="M5:W349" xr:uid="{00000000-0009-0000-0100-000002000000}"/>
  <tableColumns count="11">
    <tableColumn id="1" xr3:uid="{00000000-0010-0000-0800-000001000000}" name="Año" dataDxfId="375"/>
    <tableColumn id="2" xr3:uid="{00000000-0010-0000-0800-000002000000}" name="Mes" dataDxfId="374"/>
    <tableColumn id="3" xr3:uid="{00000000-0010-0000-0800-000003000000}" name="Regularidad Absoluta" dataDxfId="373">
      <calculatedColumnFormula>U6/R6</calculatedColumnFormula>
    </tableColumn>
    <tableColumn id="4" xr3:uid="{00000000-0010-0000-0800-000004000000}" name="Regularidad Relativa" dataDxfId="372">
      <calculatedColumnFormula>U6/T6</calculatedColumnFormula>
    </tableColumn>
    <tableColumn id="5" xr3:uid="{00000000-0010-0000-0800-000005000000}" name="Cumplimiento de Programa" dataDxfId="371">
      <calculatedColumnFormula>T6/R6</calculatedColumnFormula>
    </tableColumn>
    <tableColumn id="6" xr3:uid="{00000000-0010-0000-0800-000006000000}" name="Trenes Programados" dataDxfId="370"/>
    <tableColumn id="7" xr3:uid="{00000000-0010-0000-0800-000007000000}" name="Trenes Cancelados" dataDxfId="369">
      <calculatedColumnFormula>R6-T6</calculatedColumnFormula>
    </tableColumn>
    <tableColumn id="8" xr3:uid="{00000000-0010-0000-0800-000008000000}" name="Trenes Corridos" dataDxfId="368"/>
    <tableColumn id="9" xr3:uid="{00000000-0010-0000-0800-000009000000}" name="Trenes Puntuales" dataDxfId="367"/>
    <tableColumn id="10" xr3:uid="{00000000-0010-0000-0800-00000A000000}" name="Trenes Atrasados" dataDxfId="366">
      <calculatedColumnFormula>T6-U6</calculatedColumnFormula>
    </tableColumn>
    <tableColumn id="11" xr3:uid="{00000000-0010-0000-0800-00000B000000}" name="Observaciones" dataDxfId="36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50"/>
  <sheetViews>
    <sheetView showGridLines="0" zoomScale="80" zoomScaleNormal="80" workbookViewId="0">
      <pane ySplit="5" topLeftCell="A324" activePane="bottomLeft" state="frozen"/>
      <selection pane="bottomLeft" activeCell="I357" sqref="I357"/>
    </sheetView>
  </sheetViews>
  <sheetFormatPr baseColWidth="10" defaultColWidth="11.5546875" defaultRowHeight="12.75"/>
  <cols>
    <col min="1" max="1" width="7.33203125" style="37" customWidth="1"/>
    <col min="2" max="2" width="8.77734375" style="37" customWidth="1"/>
    <col min="3" max="10" width="9.77734375" style="7" customWidth="1"/>
    <col min="11" max="11" width="36.44140625" style="37" customWidth="1"/>
    <col min="12" max="16384" width="11.5546875" style="37"/>
  </cols>
  <sheetData>
    <row r="1" spans="1:11" ht="20.25">
      <c r="A1" s="14" t="s">
        <v>7</v>
      </c>
    </row>
    <row r="2" spans="1:11" ht="20.25">
      <c r="A2" s="14" t="s">
        <v>81</v>
      </c>
    </row>
    <row r="3" spans="1:11">
      <c r="A3" s="98"/>
    </row>
    <row r="5" spans="1:11" ht="40.5" customHeight="1">
      <c r="A5" s="36" t="s">
        <v>34</v>
      </c>
      <c r="B5" s="36" t="s">
        <v>33</v>
      </c>
      <c r="C5" s="36" t="s">
        <v>8</v>
      </c>
      <c r="D5" s="36" t="s">
        <v>10</v>
      </c>
      <c r="E5" s="36" t="s">
        <v>9</v>
      </c>
      <c r="F5" s="36" t="s">
        <v>54</v>
      </c>
      <c r="G5" s="36" t="s">
        <v>55</v>
      </c>
      <c r="H5" s="36" t="s">
        <v>27</v>
      </c>
      <c r="I5" s="36" t="s">
        <v>56</v>
      </c>
      <c r="J5" s="36" t="s">
        <v>57</v>
      </c>
      <c r="K5" s="36" t="s">
        <v>36</v>
      </c>
    </row>
    <row r="6" spans="1:11">
      <c r="A6" s="37">
        <v>1993</v>
      </c>
      <c r="B6" s="37" t="s">
        <v>38</v>
      </c>
      <c r="C6" s="99">
        <f>+I6/F6</f>
        <v>0.79986183576635705</v>
      </c>
      <c r="D6" s="99">
        <f>+I6/H6</f>
        <v>0.90395085571055822</v>
      </c>
      <c r="E6" s="99">
        <f>+H6/F6</f>
        <v>0.88485101896122309</v>
      </c>
      <c r="F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55007</v>
      </c>
      <c r="G6" s="100">
        <f>+F6-H6</f>
        <v>6334</v>
      </c>
      <c r="H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48673</v>
      </c>
      <c r="I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43998</v>
      </c>
      <c r="J6" s="100">
        <f>+H6-I6</f>
        <v>4675</v>
      </c>
    </row>
    <row r="7" spans="1:11">
      <c r="A7" s="37">
        <v>1993</v>
      </c>
      <c r="B7" s="37" t="s">
        <v>39</v>
      </c>
      <c r="C7" s="99">
        <f t="shared" ref="C7:C70" si="0">+I7/F7</f>
        <v>0.77079019503441204</v>
      </c>
      <c r="D7" s="99">
        <f t="shared" ref="D7:D70" si="1">+I7/H7</f>
        <v>0.87774534022007633</v>
      </c>
      <c r="E7" s="99">
        <f t="shared" ref="E7:E70" si="2">+H7/F7</f>
        <v>0.87814786329842831</v>
      </c>
      <c r="F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50709</v>
      </c>
      <c r="G7" s="100">
        <f t="shared" ref="G7:G70" si="3">+F7-H7</f>
        <v>6179</v>
      </c>
      <c r="H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44530</v>
      </c>
      <c r="I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39086</v>
      </c>
      <c r="J7" s="100">
        <f t="shared" ref="J7:J70" si="4">+H7-I7</f>
        <v>5444</v>
      </c>
    </row>
    <row r="8" spans="1:11">
      <c r="A8" s="37">
        <v>1993</v>
      </c>
      <c r="B8" s="37" t="s">
        <v>40</v>
      </c>
      <c r="C8" s="99">
        <f t="shared" si="0"/>
        <v>0.74079445368044994</v>
      </c>
      <c r="D8" s="99">
        <f t="shared" si="1"/>
        <v>0.8676001491362525</v>
      </c>
      <c r="E8" s="99">
        <f t="shared" si="2"/>
        <v>0.85384316083619261</v>
      </c>
      <c r="F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56542</v>
      </c>
      <c r="G8" s="100">
        <f t="shared" si="3"/>
        <v>8264</v>
      </c>
      <c r="H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48278</v>
      </c>
      <c r="I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41886</v>
      </c>
      <c r="J8" s="100">
        <f t="shared" si="4"/>
        <v>6392</v>
      </c>
    </row>
    <row r="9" spans="1:11">
      <c r="A9" s="37">
        <v>1993</v>
      </c>
      <c r="B9" s="37" t="s">
        <v>41</v>
      </c>
      <c r="C9" s="99">
        <f t="shared" si="0"/>
        <v>0.77697721179624668</v>
      </c>
      <c r="D9" s="99">
        <f t="shared" si="1"/>
        <v>0.88654034074011134</v>
      </c>
      <c r="E9" s="99">
        <f t="shared" si="2"/>
        <v>0.87641495382782242</v>
      </c>
      <c r="F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53712</v>
      </c>
      <c r="G9" s="100">
        <f t="shared" si="3"/>
        <v>6638</v>
      </c>
      <c r="H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47074</v>
      </c>
      <c r="I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41733</v>
      </c>
      <c r="J9" s="100">
        <f t="shared" si="4"/>
        <v>5341</v>
      </c>
    </row>
    <row r="10" spans="1:11">
      <c r="A10" s="37">
        <v>1993</v>
      </c>
      <c r="B10" s="37" t="s">
        <v>42</v>
      </c>
      <c r="C10" s="99">
        <f t="shared" si="0"/>
        <v>0.77131150580295893</v>
      </c>
      <c r="D10" s="99">
        <f t="shared" si="1"/>
        <v>0.87471090366258775</v>
      </c>
      <c r="E10" s="99">
        <f t="shared" si="2"/>
        <v>0.88179020356705851</v>
      </c>
      <c r="F1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53938</v>
      </c>
      <c r="G10" s="100">
        <f t="shared" si="3"/>
        <v>6376</v>
      </c>
      <c r="H1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47562</v>
      </c>
      <c r="I1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41603</v>
      </c>
      <c r="J10" s="100">
        <f t="shared" si="4"/>
        <v>5959</v>
      </c>
    </row>
    <row r="11" spans="1:11">
      <c r="A11" s="37">
        <v>1993</v>
      </c>
      <c r="B11" s="37" t="s">
        <v>43</v>
      </c>
      <c r="C11" s="99">
        <f t="shared" si="0"/>
        <v>0.73427617217381569</v>
      </c>
      <c r="D11" s="99">
        <f t="shared" si="1"/>
        <v>0.86492604558141584</v>
      </c>
      <c r="E11" s="99">
        <f t="shared" si="2"/>
        <v>0.84894676940873559</v>
      </c>
      <c r="F1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53597</v>
      </c>
      <c r="G11" s="100">
        <f t="shared" si="3"/>
        <v>8096</v>
      </c>
      <c r="H1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45501</v>
      </c>
      <c r="I1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39355</v>
      </c>
      <c r="J11" s="100">
        <f t="shared" si="4"/>
        <v>6146</v>
      </c>
    </row>
    <row r="12" spans="1:11">
      <c r="A12" s="37">
        <v>1993</v>
      </c>
      <c r="B12" s="37" t="s">
        <v>44</v>
      </c>
      <c r="C12" s="99">
        <f t="shared" si="0"/>
        <v>0.75277697634160412</v>
      </c>
      <c r="D12" s="99">
        <f t="shared" si="1"/>
        <v>0.8793074395484034</v>
      </c>
      <c r="E12" s="99">
        <f t="shared" si="2"/>
        <v>0.85610213502596655</v>
      </c>
      <c r="F1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55456</v>
      </c>
      <c r="G12" s="100">
        <f t="shared" si="3"/>
        <v>7980</v>
      </c>
      <c r="H1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47476</v>
      </c>
      <c r="I1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41746</v>
      </c>
      <c r="J12" s="100">
        <f t="shared" si="4"/>
        <v>5730</v>
      </c>
    </row>
    <row r="13" spans="1:11">
      <c r="A13" s="37">
        <v>1993</v>
      </c>
      <c r="B13" s="37" t="s">
        <v>45</v>
      </c>
      <c r="C13" s="99">
        <f t="shared" si="0"/>
        <v>0.77831567409572522</v>
      </c>
      <c r="D13" s="99">
        <f t="shared" si="1"/>
        <v>0.8905355127294009</v>
      </c>
      <c r="E13" s="99">
        <f t="shared" si="2"/>
        <v>0.87398611618560462</v>
      </c>
      <c r="F1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54740</v>
      </c>
      <c r="G13" s="100">
        <f t="shared" si="3"/>
        <v>6898</v>
      </c>
      <c r="H1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47842</v>
      </c>
      <c r="I1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42605</v>
      </c>
      <c r="J13" s="100">
        <f t="shared" si="4"/>
        <v>5237</v>
      </c>
    </row>
    <row r="14" spans="1:11">
      <c r="A14" s="37">
        <v>1993</v>
      </c>
      <c r="B14" s="37" t="s">
        <v>46</v>
      </c>
      <c r="C14" s="99">
        <f t="shared" si="0"/>
        <v>0.79360368663594472</v>
      </c>
      <c r="D14" s="99">
        <f t="shared" si="1"/>
        <v>0.8960041623309053</v>
      </c>
      <c r="E14" s="99">
        <f t="shared" si="2"/>
        <v>0.88571428571428568</v>
      </c>
      <c r="F1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54250</v>
      </c>
      <c r="G14" s="100">
        <f t="shared" si="3"/>
        <v>6200</v>
      </c>
      <c r="H1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48050</v>
      </c>
      <c r="I1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43053</v>
      </c>
      <c r="J14" s="100">
        <f t="shared" si="4"/>
        <v>4997</v>
      </c>
    </row>
    <row r="15" spans="1:11">
      <c r="A15" s="37">
        <v>1993</v>
      </c>
      <c r="B15" s="37" t="s">
        <v>47</v>
      </c>
      <c r="C15" s="99">
        <f t="shared" si="0"/>
        <v>0.80477215446032713</v>
      </c>
      <c r="D15" s="99">
        <f t="shared" si="1"/>
        <v>0.90343032981557592</v>
      </c>
      <c r="E15" s="99">
        <f t="shared" si="2"/>
        <v>0.89079603362952331</v>
      </c>
      <c r="F1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54357</v>
      </c>
      <c r="G15" s="100">
        <f t="shared" si="3"/>
        <v>5936</v>
      </c>
      <c r="H1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48421</v>
      </c>
      <c r="I1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43745</v>
      </c>
      <c r="J15" s="100">
        <f t="shared" si="4"/>
        <v>4676</v>
      </c>
    </row>
    <row r="16" spans="1:11">
      <c r="A16" s="37">
        <v>1993</v>
      </c>
      <c r="B16" s="37" t="s">
        <v>48</v>
      </c>
      <c r="C16" s="99">
        <f t="shared" si="0"/>
        <v>0.78539553752535496</v>
      </c>
      <c r="D16" s="99">
        <f t="shared" si="1"/>
        <v>0.89714586624539228</v>
      </c>
      <c r="E16" s="99">
        <f t="shared" si="2"/>
        <v>0.87543794947446063</v>
      </c>
      <c r="F1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54230</v>
      </c>
      <c r="G16" s="100">
        <f t="shared" si="3"/>
        <v>6755</v>
      </c>
      <c r="H1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47475</v>
      </c>
      <c r="I1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42592</v>
      </c>
      <c r="J16" s="100">
        <f t="shared" si="4"/>
        <v>4883</v>
      </c>
    </row>
    <row r="17" spans="1:10">
      <c r="A17" s="37">
        <v>1993</v>
      </c>
      <c r="B17" s="37" t="s">
        <v>49</v>
      </c>
      <c r="C17" s="99">
        <f t="shared" si="0"/>
        <v>0.76251937844756101</v>
      </c>
      <c r="D17" s="99">
        <f t="shared" si="1"/>
        <v>0.89516231430143478</v>
      </c>
      <c r="E17" s="99">
        <f t="shared" si="2"/>
        <v>0.85182247539387823</v>
      </c>
      <c r="F1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55474</v>
      </c>
      <c r="G17" s="100">
        <f t="shared" si="3"/>
        <v>8220</v>
      </c>
      <c r="H1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47254</v>
      </c>
      <c r="I1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42300</v>
      </c>
      <c r="J17" s="100">
        <f t="shared" si="4"/>
        <v>4954</v>
      </c>
    </row>
    <row r="18" spans="1:10">
      <c r="A18" s="37">
        <v>1994</v>
      </c>
      <c r="B18" s="37" t="s">
        <v>38</v>
      </c>
      <c r="C18" s="99">
        <f t="shared" si="0"/>
        <v>0.78537986027287021</v>
      </c>
      <c r="D18" s="99">
        <f t="shared" si="1"/>
        <v>0.90759801331501633</v>
      </c>
      <c r="E18" s="99">
        <f t="shared" si="2"/>
        <v>0.86533889315629686</v>
      </c>
      <c r="F1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54678</v>
      </c>
      <c r="G18" s="100">
        <f t="shared" si="3"/>
        <v>7363</v>
      </c>
      <c r="H1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47315</v>
      </c>
      <c r="I1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42943</v>
      </c>
      <c r="J18" s="100">
        <f t="shared" si="4"/>
        <v>4372</v>
      </c>
    </row>
    <row r="19" spans="1:10">
      <c r="A19" s="37">
        <v>1994</v>
      </c>
      <c r="B19" s="37" t="s">
        <v>39</v>
      </c>
      <c r="C19" s="99">
        <f t="shared" si="0"/>
        <v>0.75436000631313127</v>
      </c>
      <c r="D19" s="99">
        <f t="shared" si="1"/>
        <v>0.87998250943569911</v>
      </c>
      <c r="E19" s="99">
        <f t="shared" si="2"/>
        <v>0.85724431818181823</v>
      </c>
      <c r="F1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50688</v>
      </c>
      <c r="G19" s="100">
        <f t="shared" si="3"/>
        <v>7236</v>
      </c>
      <c r="H1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43452</v>
      </c>
      <c r="I1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38237</v>
      </c>
      <c r="J19" s="100">
        <f t="shared" si="4"/>
        <v>5215</v>
      </c>
    </row>
    <row r="20" spans="1:10">
      <c r="A20" s="37">
        <v>1994</v>
      </c>
      <c r="B20" s="37" t="s">
        <v>40</v>
      </c>
      <c r="C20" s="99">
        <f t="shared" si="0"/>
        <v>0.72299095732491936</v>
      </c>
      <c r="D20" s="99">
        <f t="shared" si="1"/>
        <v>0.84954432477216235</v>
      </c>
      <c r="E20" s="99">
        <f t="shared" si="2"/>
        <v>0.85103382630307944</v>
      </c>
      <c r="F2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56731</v>
      </c>
      <c r="G20" s="100">
        <f t="shared" si="3"/>
        <v>8451</v>
      </c>
      <c r="H2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48280</v>
      </c>
      <c r="I2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41016</v>
      </c>
      <c r="J20" s="100">
        <f t="shared" si="4"/>
        <v>7264</v>
      </c>
    </row>
    <row r="21" spans="1:10">
      <c r="A21" s="37">
        <v>1994</v>
      </c>
      <c r="B21" s="37" t="s">
        <v>41</v>
      </c>
      <c r="C21" s="99">
        <f t="shared" si="0"/>
        <v>0.71785404814828768</v>
      </c>
      <c r="D21" s="99">
        <f t="shared" si="1"/>
        <v>0.84631784667318111</v>
      </c>
      <c r="E21" s="99">
        <f t="shared" si="2"/>
        <v>0.84820856723053162</v>
      </c>
      <c r="F2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53086</v>
      </c>
      <c r="G21" s="100">
        <f t="shared" si="3"/>
        <v>8058</v>
      </c>
      <c r="H2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45028</v>
      </c>
      <c r="I2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38108</v>
      </c>
      <c r="J21" s="100">
        <f t="shared" si="4"/>
        <v>6920</v>
      </c>
    </row>
    <row r="22" spans="1:10">
      <c r="A22" s="37">
        <v>1994</v>
      </c>
      <c r="B22" s="37" t="s">
        <v>42</v>
      </c>
      <c r="C22" s="99">
        <f t="shared" si="0"/>
        <v>0.76633094612724628</v>
      </c>
      <c r="D22" s="99">
        <f t="shared" si="1"/>
        <v>0.85276615429905167</v>
      </c>
      <c r="E22" s="99">
        <f t="shared" si="2"/>
        <v>0.89864137110031939</v>
      </c>
      <c r="F2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52921</v>
      </c>
      <c r="G22" s="100">
        <f t="shared" si="3"/>
        <v>5364</v>
      </c>
      <c r="H2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47557</v>
      </c>
      <c r="I2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40555</v>
      </c>
      <c r="J22" s="100">
        <f t="shared" si="4"/>
        <v>7002</v>
      </c>
    </row>
    <row r="23" spans="1:10">
      <c r="A23" s="37">
        <v>1994</v>
      </c>
      <c r="B23" s="37" t="s">
        <v>43</v>
      </c>
      <c r="C23" s="99">
        <f t="shared" si="0"/>
        <v>0.77715398716773598</v>
      </c>
      <c r="D23" s="99">
        <f t="shared" si="1"/>
        <v>0.87579083279535186</v>
      </c>
      <c r="E23" s="99">
        <f t="shared" si="2"/>
        <v>0.88737396883593034</v>
      </c>
      <c r="F2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52368</v>
      </c>
      <c r="G23" s="100">
        <f t="shared" si="3"/>
        <v>5898</v>
      </c>
      <c r="H2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46470</v>
      </c>
      <c r="I2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40698</v>
      </c>
      <c r="J23" s="100">
        <f t="shared" si="4"/>
        <v>5772</v>
      </c>
    </row>
    <row r="24" spans="1:10">
      <c r="A24" s="37">
        <v>1994</v>
      </c>
      <c r="B24" s="37" t="s">
        <v>44</v>
      </c>
      <c r="C24" s="99">
        <f t="shared" si="0"/>
        <v>0.81016837240013206</v>
      </c>
      <c r="D24" s="99">
        <f t="shared" si="1"/>
        <v>0.90172702404768712</v>
      </c>
      <c r="E24" s="99">
        <f t="shared" si="2"/>
        <v>0.89846300575914306</v>
      </c>
      <c r="F2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54522</v>
      </c>
      <c r="G24" s="100">
        <f t="shared" si="3"/>
        <v>5536</v>
      </c>
      <c r="H2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48986</v>
      </c>
      <c r="I2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44172</v>
      </c>
      <c r="J24" s="100">
        <f t="shared" si="4"/>
        <v>4814</v>
      </c>
    </row>
    <row r="25" spans="1:10">
      <c r="A25" s="37">
        <v>1994</v>
      </c>
      <c r="B25" s="37" t="s">
        <v>45</v>
      </c>
      <c r="C25" s="99">
        <f t="shared" si="0"/>
        <v>0.83674168650364278</v>
      </c>
      <c r="D25" s="99">
        <f t="shared" si="1"/>
        <v>0.90780849523585916</v>
      </c>
      <c r="E25" s="99">
        <f t="shared" si="2"/>
        <v>0.92171607877082884</v>
      </c>
      <c r="F2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55452</v>
      </c>
      <c r="G25" s="100">
        <f t="shared" si="3"/>
        <v>4341</v>
      </c>
      <c r="H2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51111</v>
      </c>
      <c r="I2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46399</v>
      </c>
      <c r="J25" s="100">
        <f t="shared" si="4"/>
        <v>4712</v>
      </c>
    </row>
    <row r="26" spans="1:10">
      <c r="A26" s="37">
        <v>1994</v>
      </c>
      <c r="B26" s="37" t="s">
        <v>46</v>
      </c>
      <c r="C26" s="99">
        <f t="shared" si="0"/>
        <v>0.84845368397854992</v>
      </c>
      <c r="D26" s="99">
        <f t="shared" si="1"/>
        <v>0.92448072997958941</v>
      </c>
      <c r="E26" s="99">
        <f t="shared" si="2"/>
        <v>0.91776243296848603</v>
      </c>
      <c r="F2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54452</v>
      </c>
      <c r="G26" s="100">
        <f t="shared" si="3"/>
        <v>4478</v>
      </c>
      <c r="H2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49974</v>
      </c>
      <c r="I2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46200</v>
      </c>
      <c r="J26" s="100">
        <f t="shared" si="4"/>
        <v>3774</v>
      </c>
    </row>
    <row r="27" spans="1:10">
      <c r="A27" s="37">
        <v>1994</v>
      </c>
      <c r="B27" s="37" t="s">
        <v>47</v>
      </c>
      <c r="C27" s="99">
        <f t="shared" si="0"/>
        <v>0.83823316960416061</v>
      </c>
      <c r="D27" s="99">
        <f t="shared" si="1"/>
        <v>0.9193685753332409</v>
      </c>
      <c r="E27" s="99">
        <f t="shared" si="2"/>
        <v>0.91174877203120486</v>
      </c>
      <c r="F2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55376</v>
      </c>
      <c r="G27" s="100">
        <f t="shared" si="3"/>
        <v>4887</v>
      </c>
      <c r="H2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50489</v>
      </c>
      <c r="I2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46418</v>
      </c>
      <c r="J27" s="100">
        <f t="shared" si="4"/>
        <v>4071</v>
      </c>
    </row>
    <row r="28" spans="1:10">
      <c r="A28" s="37">
        <v>1994</v>
      </c>
      <c r="B28" s="37" t="s">
        <v>48</v>
      </c>
      <c r="C28" s="99">
        <f t="shared" si="0"/>
        <v>0.83745097684842129</v>
      </c>
      <c r="D28" s="99">
        <f t="shared" si="1"/>
        <v>0.90885375804173862</v>
      </c>
      <c r="E28" s="99">
        <f t="shared" si="2"/>
        <v>0.92143644611519759</v>
      </c>
      <c r="F2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55331</v>
      </c>
      <c r="G28" s="100">
        <f t="shared" si="3"/>
        <v>4347</v>
      </c>
      <c r="H2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50984</v>
      </c>
      <c r="I2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46337</v>
      </c>
      <c r="J28" s="100">
        <f t="shared" si="4"/>
        <v>4647</v>
      </c>
    </row>
    <row r="29" spans="1:10">
      <c r="A29" s="37">
        <v>1994</v>
      </c>
      <c r="B29" s="37" t="s">
        <v>49</v>
      </c>
      <c r="C29" s="99">
        <f t="shared" si="0"/>
        <v>0.79156375356911379</v>
      </c>
      <c r="D29" s="99">
        <f t="shared" si="1"/>
        <v>0.88858300232036813</v>
      </c>
      <c r="E29" s="99">
        <f t="shared" si="2"/>
        <v>0.89081577241753818</v>
      </c>
      <c r="F2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57087</v>
      </c>
      <c r="G29" s="100">
        <f t="shared" si="3"/>
        <v>6233</v>
      </c>
      <c r="H2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50854</v>
      </c>
      <c r="I2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45188</v>
      </c>
      <c r="J29" s="100">
        <f t="shared" si="4"/>
        <v>5666</v>
      </c>
    </row>
    <row r="30" spans="1:10">
      <c r="A30" s="37">
        <v>1995</v>
      </c>
      <c r="B30" s="37" t="s">
        <v>38</v>
      </c>
      <c r="C30" s="99">
        <f t="shared" si="0"/>
        <v>0.83355888774607989</v>
      </c>
      <c r="D30" s="99">
        <f t="shared" si="1"/>
        <v>0.89535604915300226</v>
      </c>
      <c r="E30" s="99">
        <f t="shared" si="2"/>
        <v>0.93098034969956156</v>
      </c>
      <c r="F3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55419</v>
      </c>
      <c r="G30" s="100">
        <f t="shared" si="3"/>
        <v>3825</v>
      </c>
      <c r="H3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51594</v>
      </c>
      <c r="I3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46195</v>
      </c>
      <c r="J30" s="100">
        <f t="shared" si="4"/>
        <v>5399</v>
      </c>
    </row>
    <row r="31" spans="1:10">
      <c r="A31" s="37">
        <v>1995</v>
      </c>
      <c r="B31" s="37" t="s">
        <v>39</v>
      </c>
      <c r="C31" s="99">
        <f t="shared" si="0"/>
        <v>0.88557330827067671</v>
      </c>
      <c r="D31" s="99">
        <f t="shared" si="1"/>
        <v>0.92602526565795129</v>
      </c>
      <c r="E31" s="99">
        <f t="shared" si="2"/>
        <v>0.95631657268170422</v>
      </c>
      <c r="F3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51072</v>
      </c>
      <c r="G31" s="100">
        <f t="shared" si="3"/>
        <v>2231</v>
      </c>
      <c r="H3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48841</v>
      </c>
      <c r="I3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45228</v>
      </c>
      <c r="J31" s="100">
        <f t="shared" si="4"/>
        <v>3613</v>
      </c>
    </row>
    <row r="32" spans="1:10">
      <c r="A32" s="37">
        <v>1995</v>
      </c>
      <c r="B32" s="37" t="s">
        <v>40</v>
      </c>
      <c r="C32" s="99">
        <f t="shared" si="0"/>
        <v>0.85889074448448621</v>
      </c>
      <c r="D32" s="99">
        <f t="shared" si="1"/>
        <v>0.91025617140195625</v>
      </c>
      <c r="E32" s="99">
        <f t="shared" si="2"/>
        <v>0.94357036125516391</v>
      </c>
      <c r="F3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56885</v>
      </c>
      <c r="G32" s="100">
        <f t="shared" si="3"/>
        <v>3210</v>
      </c>
      <c r="H3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53675</v>
      </c>
      <c r="I3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J32" s="100">
        <f t="shared" si="4"/>
        <v>4817</v>
      </c>
    </row>
    <row r="33" spans="1:10">
      <c r="A33" s="37">
        <v>1995</v>
      </c>
      <c r="B33" s="37" t="s">
        <v>41</v>
      </c>
      <c r="C33" s="99">
        <f t="shared" si="0"/>
        <v>0.84942254812098994</v>
      </c>
      <c r="D33" s="99">
        <f t="shared" si="1"/>
        <v>0.90737476990561239</v>
      </c>
      <c r="E33" s="99">
        <f t="shared" si="2"/>
        <v>0.93613198900091654</v>
      </c>
      <c r="F3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54550</v>
      </c>
      <c r="G33" s="100">
        <f t="shared" si="3"/>
        <v>3484</v>
      </c>
      <c r="H3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51066</v>
      </c>
      <c r="I3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46336</v>
      </c>
      <c r="J33" s="100">
        <f t="shared" si="4"/>
        <v>4730</v>
      </c>
    </row>
    <row r="34" spans="1:10">
      <c r="A34" s="37">
        <v>1995</v>
      </c>
      <c r="B34" s="37" t="s">
        <v>42</v>
      </c>
      <c r="C34" s="99">
        <f t="shared" si="0"/>
        <v>0.86476514557724293</v>
      </c>
      <c r="D34" s="99">
        <f t="shared" si="1"/>
        <v>0.9173595619549787</v>
      </c>
      <c r="E34" s="99">
        <f t="shared" si="2"/>
        <v>0.9426676097803437</v>
      </c>
      <c r="F3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52309</v>
      </c>
      <c r="G34" s="100">
        <f t="shared" si="3"/>
        <v>2999</v>
      </c>
      <c r="H3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49310</v>
      </c>
      <c r="I3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45235</v>
      </c>
      <c r="J34" s="100">
        <f t="shared" si="4"/>
        <v>4075</v>
      </c>
    </row>
    <row r="35" spans="1:10">
      <c r="A35" s="37">
        <v>1995</v>
      </c>
      <c r="B35" s="37" t="s">
        <v>43</v>
      </c>
      <c r="C35" s="99">
        <f t="shared" si="0"/>
        <v>0.90855631784307567</v>
      </c>
      <c r="D35" s="99">
        <f t="shared" si="1"/>
        <v>0.92972031941868827</v>
      </c>
      <c r="E35" s="99">
        <f t="shared" si="2"/>
        <v>0.97723616324870088</v>
      </c>
      <c r="F3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54077</v>
      </c>
      <c r="G35" s="100">
        <f t="shared" si="3"/>
        <v>1231</v>
      </c>
      <c r="H3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52846</v>
      </c>
      <c r="I3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49132</v>
      </c>
      <c r="J35" s="100">
        <f t="shared" si="4"/>
        <v>3714</v>
      </c>
    </row>
    <row r="36" spans="1:10">
      <c r="A36" s="37">
        <v>1995</v>
      </c>
      <c r="B36" s="37" t="s">
        <v>44</v>
      </c>
      <c r="C36" s="99">
        <f t="shared" si="0"/>
        <v>0.92254047322540478</v>
      </c>
      <c r="D36" s="99">
        <f t="shared" si="1"/>
        <v>0.93940327167986082</v>
      </c>
      <c r="E36" s="99">
        <f t="shared" si="2"/>
        <v>0.98204945739192318</v>
      </c>
      <c r="F3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56210</v>
      </c>
      <c r="G36" s="100">
        <f t="shared" si="3"/>
        <v>1009</v>
      </c>
      <c r="H3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55201</v>
      </c>
      <c r="I3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51856</v>
      </c>
      <c r="J36" s="100">
        <f t="shared" si="4"/>
        <v>3345</v>
      </c>
    </row>
    <row r="37" spans="1:10">
      <c r="A37" s="37">
        <v>1995</v>
      </c>
      <c r="B37" s="37" t="s">
        <v>45</v>
      </c>
      <c r="C37" s="99">
        <f t="shared" si="0"/>
        <v>0.94400607766286238</v>
      </c>
      <c r="D37" s="99">
        <f t="shared" si="1"/>
        <v>0.95550506815798675</v>
      </c>
      <c r="E37" s="99">
        <f t="shared" si="2"/>
        <v>0.98796553688899635</v>
      </c>
      <c r="F3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57917</v>
      </c>
      <c r="G37" s="100">
        <f t="shared" si="3"/>
        <v>697</v>
      </c>
      <c r="H3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57220</v>
      </c>
      <c r="I3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54674</v>
      </c>
      <c r="J37" s="100">
        <f t="shared" si="4"/>
        <v>2546</v>
      </c>
    </row>
    <row r="38" spans="1:10">
      <c r="A38" s="37">
        <v>1995</v>
      </c>
      <c r="B38" s="37" t="s">
        <v>46</v>
      </c>
      <c r="C38" s="99">
        <f t="shared" si="0"/>
        <v>0.93685910942548112</v>
      </c>
      <c r="D38" s="99">
        <f t="shared" si="1"/>
        <v>0.95213961954388093</v>
      </c>
      <c r="E38" s="99">
        <f t="shared" si="2"/>
        <v>0.98395139766821182</v>
      </c>
      <c r="F3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56952</v>
      </c>
      <c r="G38" s="100">
        <f t="shared" si="3"/>
        <v>914</v>
      </c>
      <c r="H3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56038</v>
      </c>
      <c r="I3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53356</v>
      </c>
      <c r="J38" s="100">
        <f t="shared" si="4"/>
        <v>2682</v>
      </c>
    </row>
    <row r="39" spans="1:10">
      <c r="A39" s="37">
        <v>1995</v>
      </c>
      <c r="B39" s="37" t="s">
        <v>47</v>
      </c>
      <c r="C39" s="99">
        <f t="shared" si="0"/>
        <v>0.96331287497413975</v>
      </c>
      <c r="D39" s="99">
        <f t="shared" si="1"/>
        <v>0.96830430638592846</v>
      </c>
      <c r="E39" s="99">
        <f t="shared" si="2"/>
        <v>0.99484518309082137</v>
      </c>
      <c r="F3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58004</v>
      </c>
      <c r="G39" s="100">
        <f t="shared" si="3"/>
        <v>299</v>
      </c>
      <c r="H3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57705</v>
      </c>
      <c r="I3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55876</v>
      </c>
      <c r="J39" s="100">
        <f t="shared" si="4"/>
        <v>1829</v>
      </c>
    </row>
    <row r="40" spans="1:10">
      <c r="A40" s="37">
        <v>1995</v>
      </c>
      <c r="B40" s="37" t="s">
        <v>48</v>
      </c>
      <c r="C40" s="99">
        <f t="shared" si="0"/>
        <v>0.96614700100024142</v>
      </c>
      <c r="D40" s="99">
        <f t="shared" si="1"/>
        <v>0.97436387985460116</v>
      </c>
      <c r="E40" s="99">
        <f t="shared" si="2"/>
        <v>0.99156692994860829</v>
      </c>
      <c r="F4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57986</v>
      </c>
      <c r="G40" s="100">
        <f t="shared" si="3"/>
        <v>489</v>
      </c>
      <c r="H4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57497</v>
      </c>
      <c r="I4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56023</v>
      </c>
      <c r="J40" s="100">
        <f t="shared" si="4"/>
        <v>1474</v>
      </c>
    </row>
    <row r="41" spans="1:10">
      <c r="A41" s="37">
        <v>1995</v>
      </c>
      <c r="B41" s="37" t="s">
        <v>49</v>
      </c>
      <c r="C41" s="99">
        <f t="shared" si="0"/>
        <v>0.95620056330426861</v>
      </c>
      <c r="D41" s="99">
        <f t="shared" si="1"/>
        <v>0.96574514112456777</v>
      </c>
      <c r="E41" s="99">
        <f t="shared" si="2"/>
        <v>0.99011687720304253</v>
      </c>
      <c r="F4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59293</v>
      </c>
      <c r="G41" s="100">
        <f t="shared" si="3"/>
        <v>586</v>
      </c>
      <c r="H4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58707</v>
      </c>
      <c r="I4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56696</v>
      </c>
      <c r="J41" s="100">
        <f t="shared" si="4"/>
        <v>2011</v>
      </c>
    </row>
    <row r="42" spans="1:10">
      <c r="A42" s="37">
        <v>1996</v>
      </c>
      <c r="B42" s="37" t="s">
        <v>38</v>
      </c>
      <c r="C42" s="99">
        <f t="shared" si="0"/>
        <v>0.9625889836926339</v>
      </c>
      <c r="D42" s="99">
        <f t="shared" si="1"/>
        <v>0.97310263869749403</v>
      </c>
      <c r="E42" s="99">
        <f t="shared" si="2"/>
        <v>0.98919573888019385</v>
      </c>
      <c r="F4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59421</v>
      </c>
      <c r="G42" s="100">
        <f t="shared" si="3"/>
        <v>642</v>
      </c>
      <c r="H4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58779</v>
      </c>
      <c r="I4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57198</v>
      </c>
      <c r="J42" s="100">
        <f t="shared" si="4"/>
        <v>1581</v>
      </c>
    </row>
    <row r="43" spans="1:10">
      <c r="A43" s="37">
        <v>1996</v>
      </c>
      <c r="B43" s="37" t="s">
        <v>39</v>
      </c>
      <c r="C43" s="99">
        <f t="shared" si="0"/>
        <v>0.95631657968113248</v>
      </c>
      <c r="D43" s="99">
        <f t="shared" si="1"/>
        <v>0.96778511350275842</v>
      </c>
      <c r="E43" s="99">
        <f t="shared" si="2"/>
        <v>0.98814971044541355</v>
      </c>
      <c r="F4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55948</v>
      </c>
      <c r="G43" s="100">
        <f t="shared" si="3"/>
        <v>663</v>
      </c>
      <c r="H4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55285</v>
      </c>
      <c r="I4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53504</v>
      </c>
      <c r="J43" s="100">
        <f t="shared" si="4"/>
        <v>1781</v>
      </c>
    </row>
    <row r="44" spans="1:10">
      <c r="A44" s="37">
        <v>1996</v>
      </c>
      <c r="B44" s="37" t="s">
        <v>40</v>
      </c>
      <c r="C44" s="99">
        <f t="shared" si="0"/>
        <v>0.95330667999333663</v>
      </c>
      <c r="D44" s="99">
        <f t="shared" si="1"/>
        <v>0.96624793165163947</v>
      </c>
      <c r="E44" s="99">
        <f t="shared" si="2"/>
        <v>0.98660669665167411</v>
      </c>
      <c r="F4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60030</v>
      </c>
      <c r="G44" s="100">
        <f t="shared" si="3"/>
        <v>804</v>
      </c>
      <c r="H4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59226</v>
      </c>
      <c r="I4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57227</v>
      </c>
      <c r="J44" s="100">
        <f t="shared" si="4"/>
        <v>1999</v>
      </c>
    </row>
    <row r="45" spans="1:10">
      <c r="A45" s="37">
        <v>1996</v>
      </c>
      <c r="B45" s="37" t="s">
        <v>41</v>
      </c>
      <c r="C45" s="99">
        <f t="shared" si="0"/>
        <v>0.94811631959129128</v>
      </c>
      <c r="D45" s="99">
        <f t="shared" si="1"/>
        <v>0.96085994959625576</v>
      </c>
      <c r="E45" s="99">
        <f t="shared" si="2"/>
        <v>0.98673726591443511</v>
      </c>
      <c r="F4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59113</v>
      </c>
      <c r="G45" s="100">
        <f t="shared" si="3"/>
        <v>784</v>
      </c>
      <c r="H4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58329</v>
      </c>
      <c r="I4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56046</v>
      </c>
      <c r="J45" s="100">
        <f t="shared" si="4"/>
        <v>2283</v>
      </c>
    </row>
    <row r="46" spans="1:10">
      <c r="A46" s="37">
        <v>1996</v>
      </c>
      <c r="B46" s="37" t="s">
        <v>42</v>
      </c>
      <c r="C46" s="99">
        <f t="shared" si="0"/>
        <v>0.93721359575379948</v>
      </c>
      <c r="D46" s="99">
        <f t="shared" si="1"/>
        <v>0.94736403625699817</v>
      </c>
      <c r="E46" s="99">
        <f t="shared" si="2"/>
        <v>0.98928559654501702</v>
      </c>
      <c r="F4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60666</v>
      </c>
      <c r="G46" s="100">
        <f t="shared" si="3"/>
        <v>650</v>
      </c>
      <c r="H4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60016</v>
      </c>
      <c r="I4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56857</v>
      </c>
      <c r="J46" s="100">
        <f t="shared" si="4"/>
        <v>3159</v>
      </c>
    </row>
    <row r="47" spans="1:10">
      <c r="A47" s="37">
        <v>1996</v>
      </c>
      <c r="B47" s="37" t="s">
        <v>43</v>
      </c>
      <c r="C47" s="99">
        <f t="shared" si="0"/>
        <v>0.95577868711529868</v>
      </c>
      <c r="D47" s="99">
        <f t="shared" si="1"/>
        <v>0.96701805657029538</v>
      </c>
      <c r="E47" s="99">
        <f t="shared" si="2"/>
        <v>0.98837729101475191</v>
      </c>
      <c r="F4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58162</v>
      </c>
      <c r="G47" s="100">
        <f t="shared" si="3"/>
        <v>676</v>
      </c>
      <c r="H4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57486</v>
      </c>
      <c r="I4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55590</v>
      </c>
      <c r="J47" s="100">
        <f t="shared" si="4"/>
        <v>1896</v>
      </c>
    </row>
    <row r="48" spans="1:10">
      <c r="A48" s="37">
        <v>1996</v>
      </c>
      <c r="B48" s="37" t="s">
        <v>44</v>
      </c>
      <c r="C48" s="99">
        <f t="shared" si="0"/>
        <v>0.95867391133160096</v>
      </c>
      <c r="D48" s="99">
        <f t="shared" si="1"/>
        <v>0.97025678626647749</v>
      </c>
      <c r="E48" s="99">
        <f t="shared" si="2"/>
        <v>0.98806205213008902</v>
      </c>
      <c r="F4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63495</v>
      </c>
      <c r="G48" s="100">
        <f t="shared" si="3"/>
        <v>758</v>
      </c>
      <c r="H4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62737</v>
      </c>
      <c r="I4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60871</v>
      </c>
      <c r="J48" s="100">
        <f t="shared" si="4"/>
        <v>1866</v>
      </c>
    </row>
    <row r="49" spans="1:10">
      <c r="A49" s="37">
        <v>1996</v>
      </c>
      <c r="B49" s="37" t="s">
        <v>45</v>
      </c>
      <c r="C49" s="99">
        <f t="shared" si="0"/>
        <v>0.9338703840646978</v>
      </c>
      <c r="D49" s="99">
        <f t="shared" si="1"/>
        <v>0.97191701190456692</v>
      </c>
      <c r="E49" s="99">
        <f t="shared" si="2"/>
        <v>0.9608540365341347</v>
      </c>
      <c r="F4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63557</v>
      </c>
      <c r="G49" s="100">
        <f t="shared" si="3"/>
        <v>2488</v>
      </c>
      <c r="H4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61069</v>
      </c>
      <c r="I4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59354</v>
      </c>
      <c r="J49" s="100">
        <f t="shared" si="4"/>
        <v>1715</v>
      </c>
    </row>
    <row r="50" spans="1:10">
      <c r="A50" s="37">
        <v>1996</v>
      </c>
      <c r="B50" s="37" t="s">
        <v>46</v>
      </c>
      <c r="C50" s="99">
        <f t="shared" si="0"/>
        <v>0.9414785389012692</v>
      </c>
      <c r="D50" s="99">
        <f t="shared" si="1"/>
        <v>0.97259154224705979</v>
      </c>
      <c r="E50" s="99">
        <f t="shared" si="2"/>
        <v>0.96801020572941898</v>
      </c>
      <c r="F5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61926</v>
      </c>
      <c r="G50" s="100">
        <f t="shared" si="3"/>
        <v>1981</v>
      </c>
      <c r="H5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59945</v>
      </c>
      <c r="I5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58302</v>
      </c>
      <c r="J50" s="100">
        <f t="shared" si="4"/>
        <v>1643</v>
      </c>
    </row>
    <row r="51" spans="1:10">
      <c r="A51" s="37">
        <v>1996</v>
      </c>
      <c r="B51" s="37" t="s">
        <v>47</v>
      </c>
      <c r="C51" s="99">
        <f t="shared" si="0"/>
        <v>0.92277974660440776</v>
      </c>
      <c r="D51" s="99">
        <f t="shared" si="1"/>
        <v>0.96946357520653237</v>
      </c>
      <c r="E51" s="99">
        <f t="shared" si="2"/>
        <v>0.95184571159140341</v>
      </c>
      <c r="F5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65747</v>
      </c>
      <c r="G51" s="100">
        <f t="shared" si="3"/>
        <v>3166</v>
      </c>
      <c r="H5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62581</v>
      </c>
      <c r="I5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60670</v>
      </c>
      <c r="J51" s="100">
        <f t="shared" si="4"/>
        <v>1911</v>
      </c>
    </row>
    <row r="52" spans="1:10">
      <c r="A52" s="37">
        <v>1996</v>
      </c>
      <c r="B52" s="37" t="s">
        <v>48</v>
      </c>
      <c r="C52" s="99">
        <f t="shared" si="0"/>
        <v>0.95153801959596895</v>
      </c>
      <c r="D52" s="99">
        <f t="shared" si="1"/>
        <v>0.96834852962090923</v>
      </c>
      <c r="E52" s="99">
        <f t="shared" si="2"/>
        <v>0.98264002111768456</v>
      </c>
      <c r="F5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64401</v>
      </c>
      <c r="G52" s="100">
        <f t="shared" si="3"/>
        <v>1118</v>
      </c>
      <c r="H5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63283</v>
      </c>
      <c r="I5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61280</v>
      </c>
      <c r="J52" s="100">
        <f t="shared" si="4"/>
        <v>2003</v>
      </c>
    </row>
    <row r="53" spans="1:10">
      <c r="A53" s="37">
        <v>1996</v>
      </c>
      <c r="B53" s="37" t="s">
        <v>49</v>
      </c>
      <c r="C53" s="99">
        <f t="shared" si="0"/>
        <v>0.90070088106399548</v>
      </c>
      <c r="D53" s="99">
        <f t="shared" si="1"/>
        <v>0.96159238368491406</v>
      </c>
      <c r="E53" s="99">
        <f t="shared" si="2"/>
        <v>0.93667638840110556</v>
      </c>
      <c r="F5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65489</v>
      </c>
      <c r="G53" s="100">
        <f t="shared" si="3"/>
        <v>4147</v>
      </c>
      <c r="H5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61342</v>
      </c>
      <c r="I5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58986</v>
      </c>
      <c r="J53" s="100">
        <f t="shared" si="4"/>
        <v>2356</v>
      </c>
    </row>
    <row r="54" spans="1:10">
      <c r="A54" s="37">
        <v>1997</v>
      </c>
      <c r="B54" s="37" t="s">
        <v>38</v>
      </c>
      <c r="C54" s="99">
        <f t="shared" si="0"/>
        <v>0.95480574133914486</v>
      </c>
      <c r="D54" s="99">
        <f t="shared" si="1"/>
        <v>0.96646990811172639</v>
      </c>
      <c r="E54" s="99">
        <f t="shared" si="2"/>
        <v>0.98793116404899672</v>
      </c>
      <c r="F5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66535</v>
      </c>
      <c r="G54" s="100">
        <f t="shared" si="3"/>
        <v>803</v>
      </c>
      <c r="H5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65732</v>
      </c>
      <c r="I5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63528</v>
      </c>
      <c r="J54" s="100">
        <f t="shared" si="4"/>
        <v>2204</v>
      </c>
    </row>
    <row r="55" spans="1:10">
      <c r="A55" s="37">
        <v>1997</v>
      </c>
      <c r="B55" s="37" t="s">
        <v>39</v>
      </c>
      <c r="C55" s="99">
        <f t="shared" si="0"/>
        <v>0.95204459736650571</v>
      </c>
      <c r="D55" s="99">
        <f t="shared" si="1"/>
        <v>0.96743990586653217</v>
      </c>
      <c r="E55" s="99">
        <f t="shared" si="2"/>
        <v>0.98408654800502882</v>
      </c>
      <c r="F5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60452</v>
      </c>
      <c r="G55" s="100">
        <f t="shared" si="3"/>
        <v>962</v>
      </c>
      <c r="H5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59490</v>
      </c>
      <c r="I5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57553</v>
      </c>
      <c r="J55" s="100">
        <f t="shared" si="4"/>
        <v>1937</v>
      </c>
    </row>
    <row r="56" spans="1:10">
      <c r="A56" s="37">
        <v>1997</v>
      </c>
      <c r="B56" s="37" t="s">
        <v>40</v>
      </c>
      <c r="C56" s="99">
        <f t="shared" si="0"/>
        <v>0.95052095356818567</v>
      </c>
      <c r="D56" s="99">
        <f t="shared" si="1"/>
        <v>0.96138100649097957</v>
      </c>
      <c r="E56" s="99">
        <f t="shared" si="2"/>
        <v>0.98870369515366974</v>
      </c>
      <c r="F5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64977</v>
      </c>
      <c r="G56" s="100">
        <f t="shared" si="3"/>
        <v>734</v>
      </c>
      <c r="H5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64243</v>
      </c>
      <c r="I5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61762</v>
      </c>
      <c r="J56" s="100">
        <f t="shared" si="4"/>
        <v>2481</v>
      </c>
    </row>
    <row r="57" spans="1:10">
      <c r="A57" s="37">
        <v>1997</v>
      </c>
      <c r="B57" s="37" t="s">
        <v>41</v>
      </c>
      <c r="C57" s="99">
        <f t="shared" si="0"/>
        <v>0.94555381736756539</v>
      </c>
      <c r="D57" s="99">
        <f t="shared" si="1"/>
        <v>0.95977333582414848</v>
      </c>
      <c r="E57" s="99">
        <f t="shared" si="2"/>
        <v>0.98518450354283615</v>
      </c>
      <c r="F5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65202</v>
      </c>
      <c r="G57" s="100">
        <f t="shared" si="3"/>
        <v>966</v>
      </c>
      <c r="H5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64236</v>
      </c>
      <c r="I5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61652</v>
      </c>
      <c r="J57" s="100">
        <f t="shared" si="4"/>
        <v>2584</v>
      </c>
    </row>
    <row r="58" spans="1:10">
      <c r="A58" s="37">
        <v>1997</v>
      </c>
      <c r="B58" s="37" t="s">
        <v>42</v>
      </c>
      <c r="C58" s="99">
        <f t="shared" si="0"/>
        <v>0.94672310832262452</v>
      </c>
      <c r="D58" s="99">
        <f t="shared" si="1"/>
        <v>0.96140323942580797</v>
      </c>
      <c r="E58" s="99">
        <f t="shared" si="2"/>
        <v>0.98473051628996899</v>
      </c>
      <c r="F5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66145</v>
      </c>
      <c r="G58" s="100">
        <f t="shared" si="3"/>
        <v>1010</v>
      </c>
      <c r="H5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65135</v>
      </c>
      <c r="I5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62621</v>
      </c>
      <c r="J58" s="100">
        <f t="shared" si="4"/>
        <v>2514</v>
      </c>
    </row>
    <row r="59" spans="1:10">
      <c r="A59" s="37">
        <v>1997</v>
      </c>
      <c r="B59" s="37" t="s">
        <v>43</v>
      </c>
      <c r="C59" s="99">
        <f t="shared" si="0"/>
        <v>0.96178364250653403</v>
      </c>
      <c r="D59" s="99">
        <f t="shared" si="1"/>
        <v>0.96902647762488159</v>
      </c>
      <c r="E59" s="99">
        <f t="shared" si="2"/>
        <v>0.99252565818830885</v>
      </c>
      <c r="F5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62748</v>
      </c>
      <c r="G59" s="100">
        <f t="shared" si="3"/>
        <v>469</v>
      </c>
      <c r="H5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62279</v>
      </c>
      <c r="I5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60350</v>
      </c>
      <c r="J59" s="100">
        <f t="shared" si="4"/>
        <v>1929</v>
      </c>
    </row>
    <row r="60" spans="1:10">
      <c r="A60" s="37">
        <v>1997</v>
      </c>
      <c r="B60" s="37" t="s">
        <v>44</v>
      </c>
      <c r="C60" s="99">
        <f t="shared" si="0"/>
        <v>0.96779037244221988</v>
      </c>
      <c r="D60" s="99">
        <f t="shared" si="1"/>
        <v>0.97265867731913003</v>
      </c>
      <c r="E60" s="99">
        <f t="shared" si="2"/>
        <v>0.99499484763727364</v>
      </c>
      <c r="F6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67930</v>
      </c>
      <c r="G60" s="100">
        <f t="shared" si="3"/>
        <v>340</v>
      </c>
      <c r="H6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67590</v>
      </c>
      <c r="I6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65742</v>
      </c>
      <c r="J60" s="100">
        <f t="shared" si="4"/>
        <v>1848</v>
      </c>
    </row>
    <row r="61" spans="1:10">
      <c r="A61" s="37">
        <v>1997</v>
      </c>
      <c r="B61" s="37" t="s">
        <v>45</v>
      </c>
      <c r="C61" s="99">
        <f t="shared" si="0"/>
        <v>0.96320847521755582</v>
      </c>
      <c r="D61" s="99">
        <f t="shared" si="1"/>
        <v>0.97894267300386073</v>
      </c>
      <c r="E61" s="99">
        <f t="shared" si="2"/>
        <v>0.98392735527809305</v>
      </c>
      <c r="F6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66075</v>
      </c>
      <c r="G61" s="100">
        <f t="shared" si="3"/>
        <v>1062</v>
      </c>
      <c r="H6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65013</v>
      </c>
      <c r="I6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63644</v>
      </c>
      <c r="J61" s="100">
        <f t="shared" si="4"/>
        <v>1369</v>
      </c>
    </row>
    <row r="62" spans="1:10">
      <c r="A62" s="37">
        <v>1997</v>
      </c>
      <c r="B62" s="37" t="s">
        <v>46</v>
      </c>
      <c r="C62" s="99">
        <f t="shared" si="0"/>
        <v>0.97269712045831447</v>
      </c>
      <c r="D62" s="99">
        <f t="shared" si="1"/>
        <v>0.9786282004611091</v>
      </c>
      <c r="E62" s="99">
        <f t="shared" si="2"/>
        <v>0.9939393939393939</v>
      </c>
      <c r="F6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66330</v>
      </c>
      <c r="G62" s="100">
        <f t="shared" si="3"/>
        <v>402</v>
      </c>
      <c r="H6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65928</v>
      </c>
      <c r="I6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64519</v>
      </c>
      <c r="J62" s="100">
        <f t="shared" si="4"/>
        <v>1409</v>
      </c>
    </row>
    <row r="63" spans="1:10">
      <c r="A63" s="37">
        <v>1997</v>
      </c>
      <c r="B63" s="37" t="s">
        <v>47</v>
      </c>
      <c r="C63" s="99">
        <f t="shared" si="0"/>
        <v>0.96286372803226739</v>
      </c>
      <c r="D63" s="99">
        <f t="shared" si="1"/>
        <v>0.9696380648436933</v>
      </c>
      <c r="E63" s="99">
        <f t="shared" si="2"/>
        <v>0.99301354076634973</v>
      </c>
      <c r="F6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69420</v>
      </c>
      <c r="G63" s="100">
        <f t="shared" si="3"/>
        <v>485</v>
      </c>
      <c r="H6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68935</v>
      </c>
      <c r="I6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66842</v>
      </c>
      <c r="J63" s="100">
        <f t="shared" si="4"/>
        <v>2093</v>
      </c>
    </row>
    <row r="64" spans="1:10">
      <c r="A64" s="37">
        <v>1997</v>
      </c>
      <c r="B64" s="37" t="s">
        <v>48</v>
      </c>
      <c r="C64" s="99">
        <f t="shared" si="0"/>
        <v>0.96047070270927726</v>
      </c>
      <c r="D64" s="99">
        <f t="shared" si="1"/>
        <v>0.96926830016723686</v>
      </c>
      <c r="E64" s="99">
        <f t="shared" si="2"/>
        <v>0.99092346519901486</v>
      </c>
      <c r="F6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65774</v>
      </c>
      <c r="G64" s="100">
        <f t="shared" si="3"/>
        <v>597</v>
      </c>
      <c r="H6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65177</v>
      </c>
      <c r="I6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63174</v>
      </c>
      <c r="J64" s="100">
        <f t="shared" si="4"/>
        <v>2003</v>
      </c>
    </row>
    <row r="65" spans="1:10">
      <c r="A65" s="37">
        <v>1997</v>
      </c>
      <c r="B65" s="37" t="s">
        <v>49</v>
      </c>
      <c r="C65" s="99">
        <f t="shared" si="0"/>
        <v>0.95537225960494898</v>
      </c>
      <c r="D65" s="99">
        <f t="shared" si="1"/>
        <v>0.97011240908089047</v>
      </c>
      <c r="E65" s="99">
        <f t="shared" si="2"/>
        <v>0.98480573041024533</v>
      </c>
      <c r="F6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69105</v>
      </c>
      <c r="G65" s="100">
        <f t="shared" si="3"/>
        <v>1050</v>
      </c>
      <c r="H6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68055</v>
      </c>
      <c r="I6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66021</v>
      </c>
      <c r="J65" s="100">
        <f t="shared" si="4"/>
        <v>2034</v>
      </c>
    </row>
    <row r="66" spans="1:10">
      <c r="A66" s="37">
        <v>1998</v>
      </c>
      <c r="B66" s="37" t="s">
        <v>38</v>
      </c>
      <c r="C66" s="99">
        <f t="shared" si="0"/>
        <v>0.96409432701738429</v>
      </c>
      <c r="D66" s="99">
        <f t="shared" si="1"/>
        <v>0.97452513003247221</v>
      </c>
      <c r="E66" s="99">
        <f t="shared" si="2"/>
        <v>0.9892965274125457</v>
      </c>
      <c r="F6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70351</v>
      </c>
      <c r="G66" s="100">
        <f t="shared" si="3"/>
        <v>753</v>
      </c>
      <c r="H6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69598</v>
      </c>
      <c r="I6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67825</v>
      </c>
      <c r="J66" s="100">
        <f t="shared" si="4"/>
        <v>1773</v>
      </c>
    </row>
    <row r="67" spans="1:10">
      <c r="A67" s="37">
        <v>1998</v>
      </c>
      <c r="B67" s="37" t="s">
        <v>39</v>
      </c>
      <c r="C67" s="99">
        <f t="shared" si="0"/>
        <v>0.96359945453418461</v>
      </c>
      <c r="D67" s="99">
        <f t="shared" si="1"/>
        <v>0.97661452443774344</v>
      </c>
      <c r="E67" s="99">
        <f t="shared" si="2"/>
        <v>0.98667327837352015</v>
      </c>
      <c r="F6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64532</v>
      </c>
      <c r="G67" s="100">
        <f t="shared" si="3"/>
        <v>860</v>
      </c>
      <c r="H6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63672</v>
      </c>
      <c r="I6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62183</v>
      </c>
      <c r="J67" s="100">
        <f t="shared" si="4"/>
        <v>1489</v>
      </c>
    </row>
    <row r="68" spans="1:10">
      <c r="A68" s="37">
        <v>1998</v>
      </c>
      <c r="B68" s="37" t="s">
        <v>40</v>
      </c>
      <c r="C68" s="99">
        <f t="shared" si="0"/>
        <v>0.96566668542804079</v>
      </c>
      <c r="D68" s="99">
        <f t="shared" si="1"/>
        <v>0.97550852155619683</v>
      </c>
      <c r="E68" s="99">
        <f t="shared" si="2"/>
        <v>0.98991107108684639</v>
      </c>
      <c r="F6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71068</v>
      </c>
      <c r="G68" s="100">
        <f t="shared" si="3"/>
        <v>717</v>
      </c>
      <c r="H6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70351</v>
      </c>
      <c r="I6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68628</v>
      </c>
      <c r="J68" s="100">
        <f t="shared" si="4"/>
        <v>1723</v>
      </c>
    </row>
    <row r="69" spans="1:10">
      <c r="A69" s="37">
        <v>1998</v>
      </c>
      <c r="B69" s="37" t="s">
        <v>41</v>
      </c>
      <c r="C69" s="99">
        <f t="shared" si="0"/>
        <v>0.95838379711371491</v>
      </c>
      <c r="D69" s="99">
        <f t="shared" si="1"/>
        <v>0.96930297082306405</v>
      </c>
      <c r="E69" s="99">
        <f t="shared" si="2"/>
        <v>0.98873502502517108</v>
      </c>
      <c r="F6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68531</v>
      </c>
      <c r="G69" s="100">
        <f t="shared" si="3"/>
        <v>772</v>
      </c>
      <c r="H6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67759</v>
      </c>
      <c r="I6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65679</v>
      </c>
      <c r="J69" s="100">
        <f t="shared" si="4"/>
        <v>2080</v>
      </c>
    </row>
    <row r="70" spans="1:10">
      <c r="A70" s="37">
        <v>1998</v>
      </c>
      <c r="B70" s="37" t="s">
        <v>42</v>
      </c>
      <c r="C70" s="99">
        <f t="shared" si="0"/>
        <v>0.97292352725942188</v>
      </c>
      <c r="D70" s="99">
        <f t="shared" si="1"/>
        <v>0.98000914036355058</v>
      </c>
      <c r="E70" s="99">
        <f t="shared" si="2"/>
        <v>0.99276984998170503</v>
      </c>
      <c r="F7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68325</v>
      </c>
      <c r="G70" s="100">
        <f t="shared" si="3"/>
        <v>494</v>
      </c>
      <c r="H7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67831</v>
      </c>
      <c r="I7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66475</v>
      </c>
      <c r="J70" s="100">
        <f t="shared" si="4"/>
        <v>1356</v>
      </c>
    </row>
    <row r="71" spans="1:10">
      <c r="A71" s="37">
        <v>1998</v>
      </c>
      <c r="B71" s="37" t="s">
        <v>43</v>
      </c>
      <c r="C71" s="99">
        <f t="shared" ref="C71:C134" si="5">+I71/F71</f>
        <v>0.97693694226109573</v>
      </c>
      <c r="D71" s="99">
        <f t="shared" ref="D71:D134" si="6">+I71/H71</f>
        <v>0.98182547106775353</v>
      </c>
      <c r="E71" s="99">
        <f t="shared" ref="E71:E134" si="7">+H71/F71</f>
        <v>0.99502097984752669</v>
      </c>
      <c r="F7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67684</v>
      </c>
      <c r="G71" s="100">
        <f t="shared" ref="G71:G134" si="8">+F71-H71</f>
        <v>337</v>
      </c>
      <c r="H7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67347</v>
      </c>
      <c r="I7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66123</v>
      </c>
      <c r="J71" s="100">
        <f t="shared" ref="J71:J134" si="9">+H71-I71</f>
        <v>1224</v>
      </c>
    </row>
    <row r="72" spans="1:10">
      <c r="A72" s="37">
        <v>1998</v>
      </c>
      <c r="B72" s="37" t="s">
        <v>44</v>
      </c>
      <c r="C72" s="99">
        <f t="shared" si="5"/>
        <v>0.97024682562963582</v>
      </c>
      <c r="D72" s="99">
        <f t="shared" si="6"/>
        <v>0.97512319074560239</v>
      </c>
      <c r="E72" s="99">
        <f t="shared" si="7"/>
        <v>0.99499923172554439</v>
      </c>
      <c r="F7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71589</v>
      </c>
      <c r="G72" s="100">
        <f t="shared" si="8"/>
        <v>358</v>
      </c>
      <c r="H7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71231</v>
      </c>
      <c r="I7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69459</v>
      </c>
      <c r="J72" s="100">
        <f t="shared" si="9"/>
        <v>1772</v>
      </c>
    </row>
    <row r="73" spans="1:10">
      <c r="A73" s="37">
        <v>1998</v>
      </c>
      <c r="B73" s="37" t="s">
        <v>45</v>
      </c>
      <c r="C73" s="99">
        <f t="shared" si="5"/>
        <v>0.97490933625706333</v>
      </c>
      <c r="D73" s="99">
        <f t="shared" si="6"/>
        <v>0.98025553325607029</v>
      </c>
      <c r="E73" s="99">
        <f t="shared" si="7"/>
        <v>0.99454611902954659</v>
      </c>
      <c r="F7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71142</v>
      </c>
      <c r="G73" s="100">
        <f t="shared" si="8"/>
        <v>388</v>
      </c>
      <c r="H7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70754</v>
      </c>
      <c r="I7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69357</v>
      </c>
      <c r="J73" s="100">
        <f t="shared" si="9"/>
        <v>1397</v>
      </c>
    </row>
    <row r="74" spans="1:10">
      <c r="A74" s="37">
        <v>1998</v>
      </c>
      <c r="B74" s="37" t="s">
        <v>46</v>
      </c>
      <c r="C74" s="99">
        <f t="shared" si="5"/>
        <v>0.96768873857506221</v>
      </c>
      <c r="D74" s="99">
        <f t="shared" si="6"/>
        <v>0.97756631983171205</v>
      </c>
      <c r="E74" s="99">
        <f t="shared" si="7"/>
        <v>0.98989574307516004</v>
      </c>
      <c r="F7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71554</v>
      </c>
      <c r="G74" s="100">
        <f t="shared" si="8"/>
        <v>723</v>
      </c>
      <c r="H7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70831</v>
      </c>
      <c r="I7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69242</v>
      </c>
      <c r="J74" s="100">
        <f t="shared" si="9"/>
        <v>1589</v>
      </c>
    </row>
    <row r="75" spans="1:10">
      <c r="A75" s="37">
        <v>1998</v>
      </c>
      <c r="B75" s="37" t="s">
        <v>47</v>
      </c>
      <c r="C75" s="99">
        <f t="shared" si="5"/>
        <v>0.97277070503438179</v>
      </c>
      <c r="D75" s="99">
        <f t="shared" si="6"/>
        <v>0.98118410607094608</v>
      </c>
      <c r="E75" s="99">
        <f t="shared" si="7"/>
        <v>0.99142525751843358</v>
      </c>
      <c r="F7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72422</v>
      </c>
      <c r="G75" s="100">
        <f t="shared" si="8"/>
        <v>621</v>
      </c>
      <c r="H7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71801</v>
      </c>
      <c r="I7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70450</v>
      </c>
      <c r="J75" s="100">
        <f t="shared" si="9"/>
        <v>1351</v>
      </c>
    </row>
    <row r="76" spans="1:10">
      <c r="A76" s="37">
        <v>1998</v>
      </c>
      <c r="B76" s="37" t="s">
        <v>48</v>
      </c>
      <c r="C76" s="99">
        <f t="shared" si="5"/>
        <v>0.97317394444995253</v>
      </c>
      <c r="D76" s="99">
        <f t="shared" si="6"/>
        <v>0.97983543202658185</v>
      </c>
      <c r="E76" s="99">
        <f t="shared" si="7"/>
        <v>0.99320142203589079</v>
      </c>
      <c r="F7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70603</v>
      </c>
      <c r="G76" s="100">
        <f t="shared" si="8"/>
        <v>480</v>
      </c>
      <c r="H7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70123</v>
      </c>
      <c r="I7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68709</v>
      </c>
      <c r="J76" s="100">
        <f t="shared" si="9"/>
        <v>1414</v>
      </c>
    </row>
    <row r="77" spans="1:10">
      <c r="A77" s="37">
        <v>1998</v>
      </c>
      <c r="B77" s="37" t="s">
        <v>49</v>
      </c>
      <c r="C77" s="99">
        <f t="shared" si="5"/>
        <v>0.93370050775505675</v>
      </c>
      <c r="D77" s="99">
        <f t="shared" si="6"/>
        <v>0.9793658415913622</v>
      </c>
      <c r="E77" s="99">
        <f t="shared" si="7"/>
        <v>0.95337254793152248</v>
      </c>
      <c r="F7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72082</v>
      </c>
      <c r="G77" s="100">
        <f t="shared" si="8"/>
        <v>3361</v>
      </c>
      <c r="H7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68721</v>
      </c>
      <c r="I7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67303</v>
      </c>
      <c r="J77" s="100">
        <f t="shared" si="9"/>
        <v>1418</v>
      </c>
    </row>
    <row r="78" spans="1:10">
      <c r="A78" s="37">
        <v>1999</v>
      </c>
      <c r="B78" s="37" t="s">
        <v>38</v>
      </c>
      <c r="C78" s="99">
        <f t="shared" si="5"/>
        <v>0.97854515447768498</v>
      </c>
      <c r="D78" s="99">
        <f t="shared" si="6"/>
        <v>0.9856168822021244</v>
      </c>
      <c r="E78" s="99">
        <f t="shared" si="7"/>
        <v>0.99282507447656609</v>
      </c>
      <c r="F7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71499</v>
      </c>
      <c r="G78" s="100">
        <f t="shared" si="8"/>
        <v>513</v>
      </c>
      <c r="H7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70986</v>
      </c>
      <c r="I7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69965</v>
      </c>
      <c r="J78" s="100">
        <f t="shared" si="9"/>
        <v>1021</v>
      </c>
    </row>
    <row r="79" spans="1:10">
      <c r="A79" s="37">
        <v>1999</v>
      </c>
      <c r="B79" s="37" t="s">
        <v>39</v>
      </c>
      <c r="C79" s="99">
        <f t="shared" si="5"/>
        <v>0.97686437113154256</v>
      </c>
      <c r="D79" s="99">
        <f t="shared" si="6"/>
        <v>0.98155360323642182</v>
      </c>
      <c r="E79" s="99">
        <f t="shared" si="7"/>
        <v>0.99522264287001982</v>
      </c>
      <c r="F7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66564</v>
      </c>
      <c r="G79" s="100">
        <f t="shared" si="8"/>
        <v>318</v>
      </c>
      <c r="H7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66246</v>
      </c>
      <c r="I7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65024</v>
      </c>
      <c r="J79" s="100">
        <f t="shared" si="9"/>
        <v>1222</v>
      </c>
    </row>
    <row r="80" spans="1:10">
      <c r="A80" s="37">
        <v>1999</v>
      </c>
      <c r="B80" s="37" t="s">
        <v>40</v>
      </c>
      <c r="C80" s="99">
        <f t="shared" si="5"/>
        <v>0.96730343373976146</v>
      </c>
      <c r="D80" s="99">
        <f t="shared" si="6"/>
        <v>0.9750164719170622</v>
      </c>
      <c r="E80" s="99">
        <f t="shared" si="7"/>
        <v>0.99208932525813076</v>
      </c>
      <c r="F8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74962</v>
      </c>
      <c r="G80" s="100">
        <f t="shared" si="8"/>
        <v>593</v>
      </c>
      <c r="H8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74369</v>
      </c>
      <c r="I8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72511</v>
      </c>
      <c r="J80" s="100">
        <f t="shared" si="9"/>
        <v>1858</v>
      </c>
    </row>
    <row r="81" spans="1:10">
      <c r="A81" s="37">
        <v>1999</v>
      </c>
      <c r="B81" s="37" t="s">
        <v>41</v>
      </c>
      <c r="C81" s="99">
        <f t="shared" si="5"/>
        <v>0.962580464595578</v>
      </c>
      <c r="D81" s="99">
        <f t="shared" si="6"/>
        <v>0.96982770775174121</v>
      </c>
      <c r="E81" s="99">
        <f t="shared" si="7"/>
        <v>0.99252728799328294</v>
      </c>
      <c r="F8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71460</v>
      </c>
      <c r="G81" s="100">
        <f t="shared" si="8"/>
        <v>534</v>
      </c>
      <c r="H8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70926</v>
      </c>
      <c r="I8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68786</v>
      </c>
      <c r="J81" s="100">
        <f t="shared" si="9"/>
        <v>2140</v>
      </c>
    </row>
    <row r="82" spans="1:10">
      <c r="A82" s="37">
        <v>1999</v>
      </c>
      <c r="B82" s="37" t="s">
        <v>42</v>
      </c>
      <c r="C82" s="99">
        <f t="shared" si="5"/>
        <v>0.95843886236246623</v>
      </c>
      <c r="D82" s="99">
        <f t="shared" si="6"/>
        <v>0.96788259958071277</v>
      </c>
      <c r="E82" s="99">
        <f t="shared" si="7"/>
        <v>0.99024288976541419</v>
      </c>
      <c r="F8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G82" s="100">
        <f t="shared" si="8"/>
        <v>705</v>
      </c>
      <c r="H8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71550</v>
      </c>
      <c r="I8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69252</v>
      </c>
      <c r="J82" s="100">
        <f t="shared" si="9"/>
        <v>2298</v>
      </c>
    </row>
    <row r="83" spans="1:10">
      <c r="A83" s="37">
        <v>1999</v>
      </c>
      <c r="B83" s="37" t="s">
        <v>43</v>
      </c>
      <c r="C83" s="99">
        <f t="shared" si="5"/>
        <v>0.96424936386768445</v>
      </c>
      <c r="D83" s="99">
        <f t="shared" si="6"/>
        <v>0.97112715158245422</v>
      </c>
      <c r="E83" s="99">
        <f t="shared" si="7"/>
        <v>0.99291772688719249</v>
      </c>
      <c r="F8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70740</v>
      </c>
      <c r="G83" s="100">
        <f t="shared" si="8"/>
        <v>501</v>
      </c>
      <c r="H8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70239</v>
      </c>
      <c r="I8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68211</v>
      </c>
      <c r="J83" s="100">
        <f t="shared" si="9"/>
        <v>2028</v>
      </c>
    </row>
    <row r="84" spans="1:10">
      <c r="A84" s="37">
        <v>1999</v>
      </c>
      <c r="B84" s="37" t="s">
        <v>44</v>
      </c>
      <c r="C84" s="99">
        <f t="shared" si="5"/>
        <v>0.96706623077854459</v>
      </c>
      <c r="D84" s="99">
        <f t="shared" si="6"/>
        <v>0.97456581569706746</v>
      </c>
      <c r="E84" s="99">
        <f t="shared" si="7"/>
        <v>0.99230469117864684</v>
      </c>
      <c r="F8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74331</v>
      </c>
      <c r="G84" s="100">
        <f t="shared" si="8"/>
        <v>572</v>
      </c>
      <c r="H8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73759</v>
      </c>
      <c r="I8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71883</v>
      </c>
      <c r="J84" s="100">
        <f t="shared" si="9"/>
        <v>1876</v>
      </c>
    </row>
    <row r="85" spans="1:10">
      <c r="A85" s="37">
        <v>1999</v>
      </c>
      <c r="B85" s="37" t="s">
        <v>45</v>
      </c>
      <c r="C85" s="99">
        <f t="shared" si="5"/>
        <v>0.96235096693868161</v>
      </c>
      <c r="D85" s="99">
        <f t="shared" si="6"/>
        <v>0.97213905863374761</v>
      </c>
      <c r="E85" s="99">
        <f t="shared" si="7"/>
        <v>0.98993138727619667</v>
      </c>
      <c r="F8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73893</v>
      </c>
      <c r="G85" s="100">
        <f t="shared" si="8"/>
        <v>744</v>
      </c>
      <c r="H8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73149</v>
      </c>
      <c r="I8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71111</v>
      </c>
      <c r="J85" s="100">
        <f t="shared" si="9"/>
        <v>2038</v>
      </c>
    </row>
    <row r="86" spans="1:10">
      <c r="A86" s="37">
        <v>1999</v>
      </c>
      <c r="B86" s="37" t="s">
        <v>46</v>
      </c>
      <c r="C86" s="99">
        <f t="shared" si="5"/>
        <v>0.96521869138554384</v>
      </c>
      <c r="D86" s="99">
        <f t="shared" si="6"/>
        <v>0.97586950845803966</v>
      </c>
      <c r="E86" s="99">
        <f t="shared" si="7"/>
        <v>0.98908581835974663</v>
      </c>
      <c r="F8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73574</v>
      </c>
      <c r="G86" s="100">
        <f t="shared" si="8"/>
        <v>803</v>
      </c>
      <c r="H8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72771</v>
      </c>
      <c r="I8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71015</v>
      </c>
      <c r="J86" s="100">
        <f t="shared" si="9"/>
        <v>1756</v>
      </c>
    </row>
    <row r="87" spans="1:10">
      <c r="A87" s="37">
        <v>1999</v>
      </c>
      <c r="B87" s="37" t="s">
        <v>47</v>
      </c>
      <c r="C87" s="99">
        <f t="shared" si="5"/>
        <v>0.96954951271042045</v>
      </c>
      <c r="D87" s="99">
        <f t="shared" si="6"/>
        <v>0.97805491770594144</v>
      </c>
      <c r="E87" s="99">
        <f t="shared" si="7"/>
        <v>0.99130375519661962</v>
      </c>
      <c r="F8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73365</v>
      </c>
      <c r="G87" s="100">
        <f t="shared" si="8"/>
        <v>638</v>
      </c>
      <c r="H8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72727</v>
      </c>
      <c r="I8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71131</v>
      </c>
      <c r="J87" s="100">
        <f t="shared" si="9"/>
        <v>1596</v>
      </c>
    </row>
    <row r="88" spans="1:10">
      <c r="A88" s="37">
        <v>1999</v>
      </c>
      <c r="B88" s="37" t="s">
        <v>48</v>
      </c>
      <c r="C88" s="99">
        <f t="shared" si="5"/>
        <v>0.95843859506152718</v>
      </c>
      <c r="D88" s="99">
        <f t="shared" si="6"/>
        <v>0.9720370268334344</v>
      </c>
      <c r="E88" s="99">
        <f t="shared" si="7"/>
        <v>0.9860103767690761</v>
      </c>
      <c r="F8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73626</v>
      </c>
      <c r="G88" s="100">
        <f t="shared" si="8"/>
        <v>1030</v>
      </c>
      <c r="H8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72596</v>
      </c>
      <c r="I8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70566</v>
      </c>
      <c r="J88" s="100">
        <f t="shared" si="9"/>
        <v>2030</v>
      </c>
    </row>
    <row r="89" spans="1:10">
      <c r="A89" s="37">
        <v>1999</v>
      </c>
      <c r="B89" s="37" t="s">
        <v>49</v>
      </c>
      <c r="C89" s="99">
        <f t="shared" si="5"/>
        <v>0.95739284468182184</v>
      </c>
      <c r="D89" s="99">
        <f t="shared" si="6"/>
        <v>0.97242591936319278</v>
      </c>
      <c r="E89" s="99">
        <f t="shared" si="7"/>
        <v>0.98454064789715234</v>
      </c>
      <c r="F8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74518</v>
      </c>
      <c r="G89" s="100">
        <f t="shared" si="8"/>
        <v>1152</v>
      </c>
      <c r="H8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73366</v>
      </c>
      <c r="I8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71343</v>
      </c>
      <c r="J89" s="100">
        <f t="shared" si="9"/>
        <v>2023</v>
      </c>
    </row>
    <row r="90" spans="1:10">
      <c r="A90" s="37">
        <v>2000</v>
      </c>
      <c r="B90" s="37" t="s">
        <v>38</v>
      </c>
      <c r="C90" s="99">
        <f t="shared" si="5"/>
        <v>0.9646474892143736</v>
      </c>
      <c r="D90" s="99">
        <f t="shared" si="6"/>
        <v>0.97745710683549858</v>
      </c>
      <c r="E90" s="99">
        <f t="shared" si="7"/>
        <v>0.98689495678987305</v>
      </c>
      <c r="F9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73941</v>
      </c>
      <c r="G90" s="100">
        <f t="shared" si="8"/>
        <v>969</v>
      </c>
      <c r="H9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72972</v>
      </c>
      <c r="I9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71327</v>
      </c>
      <c r="J90" s="100">
        <f t="shared" si="9"/>
        <v>1645</v>
      </c>
    </row>
    <row r="91" spans="1:10">
      <c r="A91" s="37">
        <v>2000</v>
      </c>
      <c r="B91" s="37" t="s">
        <v>39</v>
      </c>
      <c r="C91" s="99">
        <f t="shared" si="5"/>
        <v>0.96412511805584922</v>
      </c>
      <c r="D91" s="99">
        <f t="shared" si="6"/>
        <v>0.97470465006911688</v>
      </c>
      <c r="E91" s="99">
        <f t="shared" si="7"/>
        <v>0.98914590998153396</v>
      </c>
      <c r="F9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70941</v>
      </c>
      <c r="G91" s="100">
        <f t="shared" si="8"/>
        <v>770</v>
      </c>
      <c r="H9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70171</v>
      </c>
      <c r="I9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68396</v>
      </c>
      <c r="J91" s="100">
        <f t="shared" si="9"/>
        <v>1775</v>
      </c>
    </row>
    <row r="92" spans="1:10">
      <c r="A92" s="37">
        <v>2000</v>
      </c>
      <c r="B92" s="37" t="s">
        <v>40</v>
      </c>
      <c r="C92" s="99">
        <f t="shared" si="5"/>
        <v>0.97021750524109018</v>
      </c>
      <c r="D92" s="99">
        <f t="shared" si="6"/>
        <v>0.97966500846740046</v>
      </c>
      <c r="E92" s="99">
        <f t="shared" si="7"/>
        <v>0.990356394129979</v>
      </c>
      <c r="F9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76320</v>
      </c>
      <c r="G92" s="100">
        <f t="shared" si="8"/>
        <v>736</v>
      </c>
      <c r="H9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75584</v>
      </c>
      <c r="I9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74047</v>
      </c>
      <c r="J92" s="100">
        <f t="shared" si="9"/>
        <v>1537</v>
      </c>
    </row>
    <row r="93" spans="1:10">
      <c r="A93" s="37">
        <v>2000</v>
      </c>
      <c r="B93" s="37" t="s">
        <v>41</v>
      </c>
      <c r="C93" s="99">
        <f t="shared" si="5"/>
        <v>0.96391400784849002</v>
      </c>
      <c r="D93" s="99">
        <f t="shared" si="6"/>
        <v>0.97222182386599931</v>
      </c>
      <c r="E93" s="99">
        <f t="shared" si="7"/>
        <v>0.99145481430927596</v>
      </c>
      <c r="F9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70332</v>
      </c>
      <c r="G93" s="100">
        <f t="shared" si="8"/>
        <v>601</v>
      </c>
      <c r="H9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69731</v>
      </c>
      <c r="I9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67794</v>
      </c>
      <c r="J93" s="100">
        <f t="shared" si="9"/>
        <v>1937</v>
      </c>
    </row>
    <row r="94" spans="1:10">
      <c r="A94" s="37">
        <v>2000</v>
      </c>
      <c r="B94" s="37" t="s">
        <v>42</v>
      </c>
      <c r="C94" s="99">
        <f t="shared" si="5"/>
        <v>0.94252158146835174</v>
      </c>
      <c r="D94" s="99">
        <f t="shared" si="6"/>
        <v>0.95967486395260726</v>
      </c>
      <c r="E94" s="99">
        <f t="shared" si="7"/>
        <v>0.98212594376640594</v>
      </c>
      <c r="F9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73906</v>
      </c>
      <c r="G94" s="100">
        <f t="shared" si="8"/>
        <v>1321</v>
      </c>
      <c r="H9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72585</v>
      </c>
      <c r="I9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69658</v>
      </c>
      <c r="J94" s="100">
        <f t="shared" si="9"/>
        <v>2927</v>
      </c>
    </row>
    <row r="95" spans="1:10">
      <c r="A95" s="37">
        <v>2000</v>
      </c>
      <c r="B95" s="37" t="s">
        <v>43</v>
      </c>
      <c r="C95" s="99">
        <f t="shared" si="5"/>
        <v>0.89961082981127338</v>
      </c>
      <c r="D95" s="99">
        <f t="shared" si="6"/>
        <v>0.93840848574795932</v>
      </c>
      <c r="E95" s="99">
        <f t="shared" si="7"/>
        <v>0.95865589822990338</v>
      </c>
      <c r="F9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71691</v>
      </c>
      <c r="G95" s="100">
        <f t="shared" si="8"/>
        <v>2964</v>
      </c>
      <c r="H9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68727</v>
      </c>
      <c r="I9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64494</v>
      </c>
      <c r="J95" s="100">
        <f t="shared" si="9"/>
        <v>4233</v>
      </c>
    </row>
    <row r="96" spans="1:10">
      <c r="A96" s="37">
        <v>2000</v>
      </c>
      <c r="B96" s="37" t="s">
        <v>44</v>
      </c>
      <c r="C96" s="99">
        <f t="shared" si="5"/>
        <v>0.96359389472836376</v>
      </c>
      <c r="D96" s="99">
        <f t="shared" si="6"/>
        <v>0.9729718739410369</v>
      </c>
      <c r="E96" s="99">
        <f t="shared" si="7"/>
        <v>0.99036151047749454</v>
      </c>
      <c r="F9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74493</v>
      </c>
      <c r="G96" s="100">
        <f t="shared" si="8"/>
        <v>718</v>
      </c>
      <c r="H9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73775</v>
      </c>
      <c r="I9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71781</v>
      </c>
      <c r="J96" s="100">
        <f t="shared" si="9"/>
        <v>1994</v>
      </c>
    </row>
    <row r="97" spans="1:10">
      <c r="A97" s="37">
        <v>2000</v>
      </c>
      <c r="B97" s="37" t="s">
        <v>45</v>
      </c>
      <c r="C97" s="99">
        <f t="shared" si="5"/>
        <v>0.96741200442141995</v>
      </c>
      <c r="D97" s="99">
        <f t="shared" si="6"/>
        <v>0.97630535582286138</v>
      </c>
      <c r="E97" s="99">
        <f t="shared" si="7"/>
        <v>0.99089080957264042</v>
      </c>
      <c r="F9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75089</v>
      </c>
      <c r="G97" s="100">
        <f t="shared" si="8"/>
        <v>684</v>
      </c>
      <c r="H9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74405</v>
      </c>
      <c r="I9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72642</v>
      </c>
      <c r="J97" s="100">
        <f t="shared" si="9"/>
        <v>1763</v>
      </c>
    </row>
    <row r="98" spans="1:10">
      <c r="A98" s="37">
        <v>2000</v>
      </c>
      <c r="B98" s="37" t="s">
        <v>46</v>
      </c>
      <c r="C98" s="99">
        <f t="shared" si="5"/>
        <v>0.95938801227262771</v>
      </c>
      <c r="D98" s="99">
        <f t="shared" si="6"/>
        <v>0.97151060376992104</v>
      </c>
      <c r="E98" s="99">
        <f t="shared" si="7"/>
        <v>0.98752191540653078</v>
      </c>
      <c r="F9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73008</v>
      </c>
      <c r="G98" s="100">
        <f t="shared" si="8"/>
        <v>911</v>
      </c>
      <c r="H9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72097</v>
      </c>
      <c r="I9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70043</v>
      </c>
      <c r="J98" s="100">
        <f t="shared" si="9"/>
        <v>2054</v>
      </c>
    </row>
    <row r="99" spans="1:10">
      <c r="A99" s="37">
        <v>2000</v>
      </c>
      <c r="B99" s="37" t="s">
        <v>47</v>
      </c>
      <c r="C99" s="99">
        <f t="shared" si="5"/>
        <v>0.96550604219386438</v>
      </c>
      <c r="D99" s="99">
        <f t="shared" si="6"/>
        <v>0.97824089943100023</v>
      </c>
      <c r="E99" s="99">
        <f t="shared" si="7"/>
        <v>0.98698188018458122</v>
      </c>
      <c r="F9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73897</v>
      </c>
      <c r="G99" s="100">
        <f t="shared" si="8"/>
        <v>962</v>
      </c>
      <c r="H9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72935</v>
      </c>
      <c r="I9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71348</v>
      </c>
      <c r="J99" s="100">
        <f t="shared" si="9"/>
        <v>1587</v>
      </c>
    </row>
    <row r="100" spans="1:10">
      <c r="A100" s="37">
        <v>2000</v>
      </c>
      <c r="B100" s="37" t="s">
        <v>48</v>
      </c>
      <c r="C100" s="99">
        <f t="shared" si="5"/>
        <v>0.92499693447961084</v>
      </c>
      <c r="D100" s="99">
        <f t="shared" si="6"/>
        <v>0.97323642827448786</v>
      </c>
      <c r="E100" s="99">
        <f t="shared" si="7"/>
        <v>0.95043394144174831</v>
      </c>
      <c r="F10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73397</v>
      </c>
      <c r="G100" s="100">
        <f t="shared" si="8"/>
        <v>3638</v>
      </c>
      <c r="H10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69759</v>
      </c>
      <c r="I10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67892</v>
      </c>
      <c r="J100" s="100">
        <f t="shared" si="9"/>
        <v>1867</v>
      </c>
    </row>
    <row r="101" spans="1:10">
      <c r="A101" s="37">
        <v>2000</v>
      </c>
      <c r="B101" s="37" t="s">
        <v>49</v>
      </c>
      <c r="C101" s="99">
        <f t="shared" si="5"/>
        <v>0.93313957511590895</v>
      </c>
      <c r="D101" s="99">
        <f t="shared" si="6"/>
        <v>0.96479880945566943</v>
      </c>
      <c r="E101" s="99">
        <f t="shared" si="7"/>
        <v>0.96718566189191058</v>
      </c>
      <c r="F10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G101" s="100">
        <f t="shared" si="8"/>
        <v>2371</v>
      </c>
      <c r="H10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69884</v>
      </c>
      <c r="I10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67424</v>
      </c>
      <c r="J101" s="100">
        <f t="shared" si="9"/>
        <v>2460</v>
      </c>
    </row>
    <row r="102" spans="1:10">
      <c r="A102" s="37">
        <v>2001</v>
      </c>
      <c r="B102" s="37" t="s">
        <v>38</v>
      </c>
      <c r="C102" s="99">
        <f t="shared" si="5"/>
        <v>0.95027844584774868</v>
      </c>
      <c r="D102" s="99">
        <f t="shared" si="6"/>
        <v>0.97272212641030031</v>
      </c>
      <c r="E102" s="99">
        <f t="shared" si="7"/>
        <v>0.97692693529510111</v>
      </c>
      <c r="F10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77753</v>
      </c>
      <c r="G102" s="100">
        <f t="shared" si="8"/>
        <v>1794</v>
      </c>
      <c r="H10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75959</v>
      </c>
      <c r="I10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73887</v>
      </c>
      <c r="J102" s="100">
        <f t="shared" si="9"/>
        <v>2072</v>
      </c>
    </row>
    <row r="103" spans="1:10">
      <c r="A103" s="37">
        <v>2001</v>
      </c>
      <c r="B103" s="37" t="s">
        <v>39</v>
      </c>
      <c r="C103" s="99">
        <f t="shared" si="5"/>
        <v>0.95890701722112948</v>
      </c>
      <c r="D103" s="99">
        <f t="shared" si="6"/>
        <v>0.97137410051317341</v>
      </c>
      <c r="E103" s="99">
        <f t="shared" si="7"/>
        <v>0.98716551811968478</v>
      </c>
      <c r="F10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70669</v>
      </c>
      <c r="G103" s="100">
        <f t="shared" si="8"/>
        <v>907</v>
      </c>
      <c r="H10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69762</v>
      </c>
      <c r="I10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67765</v>
      </c>
      <c r="J103" s="100">
        <f t="shared" si="9"/>
        <v>1997</v>
      </c>
    </row>
    <row r="104" spans="1:10">
      <c r="A104" s="37">
        <v>2001</v>
      </c>
      <c r="B104" s="37" t="s">
        <v>40</v>
      </c>
      <c r="C104" s="99">
        <f t="shared" si="5"/>
        <v>0.94231333477911439</v>
      </c>
      <c r="D104" s="99">
        <f t="shared" si="6"/>
        <v>0.95885094175526042</v>
      </c>
      <c r="E104" s="99">
        <f t="shared" si="7"/>
        <v>0.98275268213652422</v>
      </c>
      <c r="F10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78389</v>
      </c>
      <c r="G104" s="100">
        <f t="shared" si="8"/>
        <v>1352</v>
      </c>
      <c r="H10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77037</v>
      </c>
      <c r="I10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73867</v>
      </c>
      <c r="J104" s="100">
        <f t="shared" si="9"/>
        <v>3170</v>
      </c>
    </row>
    <row r="105" spans="1:10">
      <c r="A105" s="37">
        <v>2001</v>
      </c>
      <c r="B105" s="37" t="s">
        <v>41</v>
      </c>
      <c r="C105" s="99">
        <f t="shared" si="5"/>
        <v>0.95335180513626405</v>
      </c>
      <c r="D105" s="99">
        <f t="shared" si="6"/>
        <v>0.97066625496498193</v>
      </c>
      <c r="E105" s="99">
        <f t="shared" si="7"/>
        <v>0.9821623037370939</v>
      </c>
      <c r="F10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72543</v>
      </c>
      <c r="G105" s="100">
        <f t="shared" si="8"/>
        <v>1294</v>
      </c>
      <c r="H10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71249</v>
      </c>
      <c r="I10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69159</v>
      </c>
      <c r="J105" s="100">
        <f t="shared" si="9"/>
        <v>2090</v>
      </c>
    </row>
    <row r="106" spans="1:10">
      <c r="A106" s="37">
        <v>2001</v>
      </c>
      <c r="B106" s="37" t="s">
        <v>42</v>
      </c>
      <c r="C106" s="99">
        <f t="shared" si="5"/>
        <v>0.92930669678206579</v>
      </c>
      <c r="D106" s="99">
        <f t="shared" si="6"/>
        <v>0.96046311948267993</v>
      </c>
      <c r="E106" s="99">
        <f t="shared" si="7"/>
        <v>0.96756104209665483</v>
      </c>
      <c r="F10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77037</v>
      </c>
      <c r="G106" s="100">
        <f t="shared" si="8"/>
        <v>2499</v>
      </c>
      <c r="H10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74538</v>
      </c>
      <c r="I10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71591</v>
      </c>
      <c r="J106" s="100">
        <f t="shared" si="9"/>
        <v>2947</v>
      </c>
    </row>
    <row r="107" spans="1:10">
      <c r="A107" s="37">
        <v>2001</v>
      </c>
      <c r="B107" s="37" t="s">
        <v>43</v>
      </c>
      <c r="C107" s="99">
        <f t="shared" si="5"/>
        <v>0.94552804311862959</v>
      </c>
      <c r="D107" s="99">
        <f t="shared" si="6"/>
        <v>0.96661256665893813</v>
      </c>
      <c r="E107" s="99">
        <f t="shared" si="7"/>
        <v>0.97818720315918672</v>
      </c>
      <c r="F10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74956</v>
      </c>
      <c r="G107" s="100">
        <f t="shared" si="8"/>
        <v>1635</v>
      </c>
      <c r="H10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73321</v>
      </c>
      <c r="I10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70873</v>
      </c>
      <c r="J107" s="100">
        <f t="shared" si="9"/>
        <v>2448</v>
      </c>
    </row>
    <row r="108" spans="1:10">
      <c r="A108" s="37">
        <v>2001</v>
      </c>
      <c r="B108" s="37" t="s">
        <v>44</v>
      </c>
      <c r="C108" s="99">
        <f t="shared" si="5"/>
        <v>0.91906022158221112</v>
      </c>
      <c r="D108" s="99">
        <f t="shared" si="6"/>
        <v>0.97323844980835539</v>
      </c>
      <c r="E108" s="99">
        <f t="shared" si="7"/>
        <v>0.94433201006720113</v>
      </c>
      <c r="F10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77082</v>
      </c>
      <c r="G108" s="100">
        <f t="shared" si="8"/>
        <v>4291</v>
      </c>
      <c r="H10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72791</v>
      </c>
      <c r="I10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70843</v>
      </c>
      <c r="J108" s="100">
        <f t="shared" si="9"/>
        <v>1948</v>
      </c>
    </row>
    <row r="109" spans="1:10">
      <c r="A109" s="37">
        <v>2001</v>
      </c>
      <c r="B109" s="37" t="s">
        <v>45</v>
      </c>
      <c r="C109" s="99">
        <f t="shared" si="5"/>
        <v>0.95287237702098382</v>
      </c>
      <c r="D109" s="99">
        <f t="shared" si="6"/>
        <v>0.96933485406190056</v>
      </c>
      <c r="E109" s="99">
        <f t="shared" si="7"/>
        <v>0.98301672845876498</v>
      </c>
      <c r="F10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78489</v>
      </c>
      <c r="G109" s="100">
        <f t="shared" si="8"/>
        <v>1333</v>
      </c>
      <c r="H10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77156</v>
      </c>
      <c r="I10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74790</v>
      </c>
      <c r="J109" s="100">
        <f t="shared" si="9"/>
        <v>2366</v>
      </c>
    </row>
    <row r="110" spans="1:10">
      <c r="A110" s="37">
        <v>2001</v>
      </c>
      <c r="B110" s="37" t="s">
        <v>46</v>
      </c>
      <c r="C110" s="99">
        <f t="shared" si="5"/>
        <v>0.96204956463496316</v>
      </c>
      <c r="D110" s="99">
        <f t="shared" si="6"/>
        <v>0.97594683843613683</v>
      </c>
      <c r="E110" s="99">
        <f t="shared" si="7"/>
        <v>0.98576021433355665</v>
      </c>
      <c r="F11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74650</v>
      </c>
      <c r="G110" s="100">
        <f t="shared" si="8"/>
        <v>1063</v>
      </c>
      <c r="H11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73587</v>
      </c>
      <c r="I11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71817</v>
      </c>
      <c r="J110" s="100">
        <f t="shared" si="9"/>
        <v>1770</v>
      </c>
    </row>
    <row r="111" spans="1:10">
      <c r="A111" s="37">
        <v>2001</v>
      </c>
      <c r="B111" s="37" t="s">
        <v>47</v>
      </c>
      <c r="C111" s="99">
        <f t="shared" si="5"/>
        <v>0.94866964011073518</v>
      </c>
      <c r="D111" s="99">
        <f t="shared" si="6"/>
        <v>0.96609107639296765</v>
      </c>
      <c r="E111" s="99">
        <f t="shared" si="7"/>
        <v>0.98196708705013847</v>
      </c>
      <c r="F11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78024</v>
      </c>
      <c r="G111" s="100">
        <f t="shared" si="8"/>
        <v>1407</v>
      </c>
      <c r="H11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76617</v>
      </c>
      <c r="I11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74019</v>
      </c>
      <c r="J111" s="100">
        <f t="shared" si="9"/>
        <v>2598</v>
      </c>
    </row>
    <row r="112" spans="1:10">
      <c r="A112" s="37">
        <v>2001</v>
      </c>
      <c r="B112" s="37" t="s">
        <v>48</v>
      </c>
      <c r="C112" s="99">
        <f t="shared" si="5"/>
        <v>0.94165621906961394</v>
      </c>
      <c r="D112" s="99">
        <f t="shared" si="6"/>
        <v>0.95923964186809341</v>
      </c>
      <c r="E112" s="99">
        <f t="shared" si="7"/>
        <v>0.98166941603431213</v>
      </c>
      <c r="F11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75775</v>
      </c>
      <c r="G112" s="100">
        <f t="shared" si="8"/>
        <v>1389</v>
      </c>
      <c r="H11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74386</v>
      </c>
      <c r="I11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71354</v>
      </c>
      <c r="J112" s="100">
        <f t="shared" si="9"/>
        <v>3032</v>
      </c>
    </row>
    <row r="113" spans="1:10">
      <c r="A113" s="37">
        <v>2001</v>
      </c>
      <c r="B113" s="37" t="s">
        <v>49</v>
      </c>
      <c r="C113" s="99">
        <f t="shared" si="5"/>
        <v>0.85359278240444159</v>
      </c>
      <c r="D113" s="99">
        <f t="shared" si="6"/>
        <v>0.96957477450162965</v>
      </c>
      <c r="E113" s="99">
        <f t="shared" si="7"/>
        <v>0.88037849669015589</v>
      </c>
      <c r="F11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74928</v>
      </c>
      <c r="G113" s="100">
        <f t="shared" si="8"/>
        <v>8963</v>
      </c>
      <c r="H11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65965</v>
      </c>
      <c r="I11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63958</v>
      </c>
      <c r="J113" s="100">
        <f t="shared" si="9"/>
        <v>2007</v>
      </c>
    </row>
    <row r="114" spans="1:10">
      <c r="A114" s="37">
        <v>2002</v>
      </c>
      <c r="B114" s="37" t="s">
        <v>38</v>
      </c>
      <c r="C114" s="99">
        <f t="shared" si="5"/>
        <v>0.9122390218078994</v>
      </c>
      <c r="D114" s="99">
        <f t="shared" si="6"/>
        <v>0.97162896238740293</v>
      </c>
      <c r="E114" s="99">
        <f t="shared" si="7"/>
        <v>0.93887590543454402</v>
      </c>
      <c r="F11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77449</v>
      </c>
      <c r="G114" s="100">
        <f t="shared" si="8"/>
        <v>4734</v>
      </c>
      <c r="H11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72715</v>
      </c>
      <c r="I11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70652</v>
      </c>
      <c r="J114" s="100">
        <f t="shared" si="9"/>
        <v>2063</v>
      </c>
    </row>
    <row r="115" spans="1:10">
      <c r="A115" s="37">
        <v>2002</v>
      </c>
      <c r="B115" s="37" t="s">
        <v>39</v>
      </c>
      <c r="C115" s="99">
        <f t="shared" si="5"/>
        <v>0.88118536720932616</v>
      </c>
      <c r="D115" s="99">
        <f t="shared" si="6"/>
        <v>0.96517030343811083</v>
      </c>
      <c r="E115" s="99">
        <f t="shared" si="7"/>
        <v>0.91298433454736938</v>
      </c>
      <c r="F11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68367</v>
      </c>
      <c r="G115" s="100">
        <f t="shared" si="8"/>
        <v>5949</v>
      </c>
      <c r="H11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62418</v>
      </c>
      <c r="I11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60244</v>
      </c>
      <c r="J115" s="100">
        <f t="shared" si="9"/>
        <v>2174</v>
      </c>
    </row>
    <row r="116" spans="1:10">
      <c r="A116" s="37">
        <v>2002</v>
      </c>
      <c r="B116" s="37" t="s">
        <v>40</v>
      </c>
      <c r="C116" s="99">
        <f t="shared" si="5"/>
        <v>0.86304958925793507</v>
      </c>
      <c r="D116" s="99">
        <f t="shared" si="6"/>
        <v>0.95058165749842183</v>
      </c>
      <c r="E116" s="99">
        <f t="shared" si="7"/>
        <v>0.90791736033405201</v>
      </c>
      <c r="F11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73282</v>
      </c>
      <c r="G116" s="100">
        <f t="shared" si="8"/>
        <v>6748</v>
      </c>
      <c r="H11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66534</v>
      </c>
      <c r="I11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63246</v>
      </c>
      <c r="J116" s="100">
        <f t="shared" si="9"/>
        <v>3288</v>
      </c>
    </row>
    <row r="117" spans="1:10">
      <c r="A117" s="37">
        <v>2002</v>
      </c>
      <c r="B117" s="37" t="s">
        <v>41</v>
      </c>
      <c r="C117" s="99">
        <f t="shared" si="5"/>
        <v>0.82323660683249678</v>
      </c>
      <c r="D117" s="99">
        <f t="shared" si="6"/>
        <v>0.96302922854215123</v>
      </c>
      <c r="E117" s="99">
        <f t="shared" si="7"/>
        <v>0.85484072802102307</v>
      </c>
      <c r="F11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71921</v>
      </c>
      <c r="G117" s="100">
        <f t="shared" si="8"/>
        <v>10440</v>
      </c>
      <c r="H11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61481</v>
      </c>
      <c r="I11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59208</v>
      </c>
      <c r="J117" s="100">
        <f t="shared" si="9"/>
        <v>2273</v>
      </c>
    </row>
    <row r="118" spans="1:10">
      <c r="A118" s="37">
        <v>2002</v>
      </c>
      <c r="B118" s="37" t="s">
        <v>42</v>
      </c>
      <c r="C118" s="99">
        <f t="shared" si="5"/>
        <v>0.84993644849594774</v>
      </c>
      <c r="D118" s="99">
        <f t="shared" si="6"/>
        <v>0.94287187106751369</v>
      </c>
      <c r="E118" s="99">
        <f t="shared" si="7"/>
        <v>0.90143366726345853</v>
      </c>
      <c r="F11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73169</v>
      </c>
      <c r="G118" s="100">
        <f t="shared" si="8"/>
        <v>7212</v>
      </c>
      <c r="H11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65957</v>
      </c>
      <c r="I11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62189</v>
      </c>
      <c r="J118" s="100">
        <f t="shared" si="9"/>
        <v>3768</v>
      </c>
    </row>
    <row r="119" spans="1:10">
      <c r="A119" s="37">
        <v>2002</v>
      </c>
      <c r="B119" s="37" t="s">
        <v>43</v>
      </c>
      <c r="C119" s="99">
        <f t="shared" si="5"/>
        <v>0.83866411058419943</v>
      </c>
      <c r="D119" s="99">
        <f t="shared" si="6"/>
        <v>0.94319802879004022</v>
      </c>
      <c r="E119" s="99">
        <f t="shared" si="7"/>
        <v>0.88917076264468053</v>
      </c>
      <c r="F11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69377</v>
      </c>
      <c r="G119" s="100">
        <f t="shared" si="8"/>
        <v>7689</v>
      </c>
      <c r="H11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61688</v>
      </c>
      <c r="I11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58184</v>
      </c>
      <c r="J119" s="100">
        <f t="shared" si="9"/>
        <v>3504</v>
      </c>
    </row>
    <row r="120" spans="1:10">
      <c r="A120" s="37">
        <v>2002</v>
      </c>
      <c r="B120" s="37" t="s">
        <v>44</v>
      </c>
      <c r="C120" s="99">
        <f t="shared" si="5"/>
        <v>0.82147054453104951</v>
      </c>
      <c r="D120" s="99">
        <f t="shared" si="6"/>
        <v>0.9272231031959014</v>
      </c>
      <c r="E120" s="99">
        <f t="shared" si="7"/>
        <v>0.88594701933078468</v>
      </c>
      <c r="F12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74027</v>
      </c>
      <c r="G120" s="100">
        <f t="shared" si="8"/>
        <v>8443</v>
      </c>
      <c r="H12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65584</v>
      </c>
      <c r="I12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60811</v>
      </c>
      <c r="J120" s="100">
        <f t="shared" si="9"/>
        <v>4773</v>
      </c>
    </row>
    <row r="121" spans="1:10">
      <c r="A121" s="37">
        <v>2002</v>
      </c>
      <c r="B121" s="37" t="s">
        <v>45</v>
      </c>
      <c r="C121" s="99">
        <f t="shared" si="5"/>
        <v>0.87572757438938154</v>
      </c>
      <c r="D121" s="99">
        <f t="shared" si="6"/>
        <v>0.96578927634045741</v>
      </c>
      <c r="E121" s="99">
        <f t="shared" si="7"/>
        <v>0.90674808246749716</v>
      </c>
      <c r="F12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73532</v>
      </c>
      <c r="G121" s="100">
        <f t="shared" si="8"/>
        <v>6857</v>
      </c>
      <c r="H12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66675</v>
      </c>
      <c r="I12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64394</v>
      </c>
      <c r="J121" s="100">
        <f t="shared" si="9"/>
        <v>2281</v>
      </c>
    </row>
    <row r="122" spans="1:10">
      <c r="A122" s="37">
        <v>2002</v>
      </c>
      <c r="B122" s="37" t="s">
        <v>46</v>
      </c>
      <c r="C122" s="99">
        <f t="shared" si="5"/>
        <v>0.84155699404123974</v>
      </c>
      <c r="D122" s="99">
        <f t="shared" si="6"/>
        <v>0.93883309421329508</v>
      </c>
      <c r="E122" s="99">
        <f t="shared" si="7"/>
        <v>0.89638616195824583</v>
      </c>
      <c r="F12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69981</v>
      </c>
      <c r="G122" s="100">
        <f t="shared" si="8"/>
        <v>7251</v>
      </c>
      <c r="H12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62730</v>
      </c>
      <c r="I12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58893</v>
      </c>
      <c r="J122" s="100">
        <f t="shared" si="9"/>
        <v>3837</v>
      </c>
    </row>
    <row r="123" spans="1:10">
      <c r="A123" s="37">
        <v>2002</v>
      </c>
      <c r="B123" s="37" t="s">
        <v>47</v>
      </c>
      <c r="C123" s="99">
        <f t="shared" si="5"/>
        <v>0.86714140094468295</v>
      </c>
      <c r="D123" s="99">
        <f t="shared" si="6"/>
        <v>0.9216156005859375</v>
      </c>
      <c r="E123" s="99">
        <f t="shared" si="7"/>
        <v>0.94089271101029393</v>
      </c>
      <c r="F12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69653</v>
      </c>
      <c r="G123" s="100">
        <f t="shared" si="8"/>
        <v>4117</v>
      </c>
      <c r="H12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I12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60399</v>
      </c>
      <c r="J123" s="100">
        <f t="shared" si="9"/>
        <v>5137</v>
      </c>
    </row>
    <row r="124" spans="1:10">
      <c r="A124" s="37">
        <v>2002</v>
      </c>
      <c r="B124" s="37" t="s">
        <v>48</v>
      </c>
      <c r="C124" s="99">
        <f t="shared" si="5"/>
        <v>0.89657840831499891</v>
      </c>
      <c r="D124" s="99">
        <f t="shared" si="6"/>
        <v>0.91901517979345526</v>
      </c>
      <c r="E124" s="99">
        <f t="shared" si="7"/>
        <v>0.97558607085957061</v>
      </c>
      <c r="F12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65905</v>
      </c>
      <c r="G124" s="100">
        <f t="shared" si="8"/>
        <v>1609</v>
      </c>
      <c r="H12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64296</v>
      </c>
      <c r="I12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59089</v>
      </c>
      <c r="J124" s="100">
        <f t="shared" si="9"/>
        <v>5207</v>
      </c>
    </row>
    <row r="125" spans="1:10">
      <c r="A125" s="37">
        <v>2002</v>
      </c>
      <c r="B125" s="37" t="s">
        <v>49</v>
      </c>
      <c r="C125" s="99">
        <f t="shared" si="5"/>
        <v>0.91733656681786202</v>
      </c>
      <c r="D125" s="99">
        <f t="shared" si="6"/>
        <v>0.93842266462480861</v>
      </c>
      <c r="E125" s="99">
        <f t="shared" si="7"/>
        <v>0.97753027649286683</v>
      </c>
      <c r="F12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66801</v>
      </c>
      <c r="G125" s="100">
        <f t="shared" si="8"/>
        <v>1501</v>
      </c>
      <c r="H12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65300</v>
      </c>
      <c r="I12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61279</v>
      </c>
      <c r="J125" s="100">
        <f t="shared" si="9"/>
        <v>4021</v>
      </c>
    </row>
    <row r="126" spans="1:10">
      <c r="A126" s="37">
        <v>2003</v>
      </c>
      <c r="B126" s="37" t="s">
        <v>38</v>
      </c>
      <c r="C126" s="99">
        <f t="shared" si="5"/>
        <v>0.91450840800294586</v>
      </c>
      <c r="D126" s="99">
        <f t="shared" si="6"/>
        <v>0.93790715971675842</v>
      </c>
      <c r="E126" s="99">
        <f t="shared" si="7"/>
        <v>0.97505216644163495</v>
      </c>
      <c r="F12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65176</v>
      </c>
      <c r="G126" s="100">
        <f t="shared" si="8"/>
        <v>1626</v>
      </c>
      <c r="H12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63550</v>
      </c>
      <c r="I12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59604</v>
      </c>
      <c r="J126" s="100">
        <f t="shared" si="9"/>
        <v>3946</v>
      </c>
    </row>
    <row r="127" spans="1:10">
      <c r="A127" s="37">
        <v>2003</v>
      </c>
      <c r="B127" s="37" t="s">
        <v>39</v>
      </c>
      <c r="C127" s="99">
        <f t="shared" si="5"/>
        <v>0.86652711323763953</v>
      </c>
      <c r="D127" s="99">
        <f t="shared" si="6"/>
        <v>0.92534506617464429</v>
      </c>
      <c r="E127" s="99">
        <f t="shared" si="7"/>
        <v>0.93643673577884101</v>
      </c>
      <c r="F12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60192</v>
      </c>
      <c r="G127" s="100">
        <f t="shared" si="8"/>
        <v>3826</v>
      </c>
      <c r="H12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56366</v>
      </c>
      <c r="I12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52158</v>
      </c>
      <c r="J127" s="100">
        <f t="shared" si="9"/>
        <v>4208</v>
      </c>
    </row>
    <row r="128" spans="1:10">
      <c r="A128" s="37">
        <v>2003</v>
      </c>
      <c r="B128" s="37" t="s">
        <v>40</v>
      </c>
      <c r="C128" s="99">
        <f t="shared" si="5"/>
        <v>0.86355543651231315</v>
      </c>
      <c r="D128" s="99">
        <f t="shared" si="6"/>
        <v>0.91904354679142142</v>
      </c>
      <c r="E128" s="99">
        <f t="shared" si="7"/>
        <v>0.93962406844286184</v>
      </c>
      <c r="F12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63469</v>
      </c>
      <c r="G128" s="100">
        <f t="shared" si="8"/>
        <v>3832</v>
      </c>
      <c r="H12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I12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54809</v>
      </c>
      <c r="J128" s="100">
        <f t="shared" si="9"/>
        <v>4828</v>
      </c>
    </row>
    <row r="129" spans="1:10">
      <c r="A129" s="37">
        <v>2003</v>
      </c>
      <c r="B129" s="37" t="s">
        <v>41</v>
      </c>
      <c r="C129" s="99">
        <f t="shared" si="5"/>
        <v>0.88909421148227119</v>
      </c>
      <c r="D129" s="99">
        <f t="shared" si="6"/>
        <v>0.9242755110417864</v>
      </c>
      <c r="E129" s="99">
        <f t="shared" si="7"/>
        <v>0.96193634999605149</v>
      </c>
      <c r="F12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63315</v>
      </c>
      <c r="G129" s="100">
        <f t="shared" si="8"/>
        <v>2410</v>
      </c>
      <c r="H12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60905</v>
      </c>
      <c r="I12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56293</v>
      </c>
      <c r="J129" s="100">
        <f t="shared" si="9"/>
        <v>4612</v>
      </c>
    </row>
    <row r="130" spans="1:10">
      <c r="A130" s="37">
        <v>2003</v>
      </c>
      <c r="B130" s="37" t="s">
        <v>42</v>
      </c>
      <c r="C130" s="99">
        <f t="shared" si="5"/>
        <v>0.85169918475771733</v>
      </c>
      <c r="D130" s="99">
        <f t="shared" si="6"/>
        <v>0.92393302528941224</v>
      </c>
      <c r="E130" s="99">
        <f t="shared" si="7"/>
        <v>0.92181918109370709</v>
      </c>
      <c r="F13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65502</v>
      </c>
      <c r="G130" s="100">
        <f t="shared" si="8"/>
        <v>5121</v>
      </c>
      <c r="H13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60381</v>
      </c>
      <c r="I13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55788</v>
      </c>
      <c r="J130" s="100">
        <f t="shared" si="9"/>
        <v>4593</v>
      </c>
    </row>
    <row r="131" spans="1:10">
      <c r="A131" s="37">
        <v>2003</v>
      </c>
      <c r="B131" s="37" t="s">
        <v>43</v>
      </c>
      <c r="C131" s="99">
        <f t="shared" si="5"/>
        <v>0.85785824345146378</v>
      </c>
      <c r="D131" s="99">
        <f t="shared" si="6"/>
        <v>0.92023208966787762</v>
      </c>
      <c r="E131" s="99">
        <f t="shared" si="7"/>
        <v>0.93221944016435543</v>
      </c>
      <c r="F13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62304</v>
      </c>
      <c r="G131" s="100">
        <f t="shared" si="8"/>
        <v>4223</v>
      </c>
      <c r="H13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58081</v>
      </c>
      <c r="I13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53448</v>
      </c>
      <c r="J131" s="100">
        <f t="shared" si="9"/>
        <v>4633</v>
      </c>
    </row>
    <row r="132" spans="1:10">
      <c r="A132" s="37">
        <v>2003</v>
      </c>
      <c r="B132" s="37" t="s">
        <v>44</v>
      </c>
      <c r="C132" s="99">
        <f t="shared" si="5"/>
        <v>0.83596441302459334</v>
      </c>
      <c r="D132" s="99">
        <f t="shared" si="6"/>
        <v>0.90368019688162815</v>
      </c>
      <c r="E132" s="99">
        <f t="shared" si="7"/>
        <v>0.92506665069047123</v>
      </c>
      <c r="F13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66766</v>
      </c>
      <c r="G132" s="100">
        <f t="shared" si="8"/>
        <v>5003</v>
      </c>
      <c r="H13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I13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55814</v>
      </c>
      <c r="J132" s="100">
        <f t="shared" si="9"/>
        <v>5949</v>
      </c>
    </row>
    <row r="133" spans="1:10">
      <c r="A133" s="37">
        <v>2003</v>
      </c>
      <c r="B133" s="37" t="s">
        <v>45</v>
      </c>
      <c r="C133" s="99">
        <f t="shared" si="5"/>
        <v>0.82321980011256979</v>
      </c>
      <c r="D133" s="99">
        <f t="shared" si="6"/>
        <v>0.89366691437536128</v>
      </c>
      <c r="E133" s="99">
        <f t="shared" si="7"/>
        <v>0.92117072577087489</v>
      </c>
      <c r="F13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65737</v>
      </c>
      <c r="G133" s="100">
        <f t="shared" si="8"/>
        <v>5182</v>
      </c>
      <c r="H13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60555</v>
      </c>
      <c r="I13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54116</v>
      </c>
      <c r="J133" s="100">
        <f t="shared" si="9"/>
        <v>6439</v>
      </c>
    </row>
    <row r="134" spans="1:10">
      <c r="A134" s="37">
        <v>2003</v>
      </c>
      <c r="B134" s="37" t="s">
        <v>46</v>
      </c>
      <c r="C134" s="99">
        <f t="shared" si="5"/>
        <v>0.8487985624095542</v>
      </c>
      <c r="D134" s="99">
        <f t="shared" si="6"/>
        <v>0.91091390050345589</v>
      </c>
      <c r="E134" s="99">
        <f t="shared" si="7"/>
        <v>0.93180986912202024</v>
      </c>
      <c r="F13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62883</v>
      </c>
      <c r="G134" s="100">
        <f t="shared" si="8"/>
        <v>4288</v>
      </c>
      <c r="H13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58595</v>
      </c>
      <c r="I13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53375</v>
      </c>
      <c r="J134" s="100">
        <f t="shared" si="9"/>
        <v>5220</v>
      </c>
    </row>
    <row r="135" spans="1:10">
      <c r="A135" s="37">
        <v>2003</v>
      </c>
      <c r="B135" s="37" t="s">
        <v>47</v>
      </c>
      <c r="C135" s="99">
        <f t="shared" ref="C135:C198" si="10">+I135/F135</f>
        <v>0.86296325071866986</v>
      </c>
      <c r="D135" s="99">
        <f t="shared" ref="D135:D198" si="11">+I135/H135</f>
        <v>0.91934843067143424</v>
      </c>
      <c r="E135" s="99">
        <f t="shared" ref="E135:E198" si="12">+H135/F135</f>
        <v>0.93866832413953849</v>
      </c>
      <c r="F13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64355</v>
      </c>
      <c r="G135" s="100">
        <f t="shared" ref="G135:G198" si="13">+F135-H135</f>
        <v>3947</v>
      </c>
      <c r="H13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60408</v>
      </c>
      <c r="I13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55536</v>
      </c>
      <c r="J135" s="100">
        <f t="shared" ref="J135:J198" si="14">+H135-I135</f>
        <v>4872</v>
      </c>
    </row>
    <row r="136" spans="1:10">
      <c r="A136" s="37">
        <v>2003</v>
      </c>
      <c r="B136" s="37" t="s">
        <v>48</v>
      </c>
      <c r="C136" s="99">
        <f t="shared" si="10"/>
        <v>0.85025409556591058</v>
      </c>
      <c r="D136" s="99">
        <f t="shared" si="11"/>
        <v>0.90682089733155558</v>
      </c>
      <c r="E136" s="99">
        <f t="shared" si="12"/>
        <v>0.93762075627932651</v>
      </c>
      <c r="F13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61591</v>
      </c>
      <c r="G136" s="100">
        <f t="shared" si="13"/>
        <v>3842</v>
      </c>
      <c r="H13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57749</v>
      </c>
      <c r="I13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52368</v>
      </c>
      <c r="J136" s="100">
        <f t="shared" si="14"/>
        <v>5381</v>
      </c>
    </row>
    <row r="137" spans="1:10">
      <c r="A137" s="37">
        <v>2003</v>
      </c>
      <c r="B137" s="37" t="s">
        <v>49</v>
      </c>
      <c r="C137" s="99">
        <f t="shared" si="10"/>
        <v>0.83453214663989761</v>
      </c>
      <c r="D137" s="99">
        <f t="shared" si="11"/>
        <v>0.89944115041232198</v>
      </c>
      <c r="E137" s="99">
        <f t="shared" si="12"/>
        <v>0.92783407369935345</v>
      </c>
      <c r="F13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63257</v>
      </c>
      <c r="G137" s="100">
        <f t="shared" si="13"/>
        <v>4565</v>
      </c>
      <c r="H13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58692</v>
      </c>
      <c r="I13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52790</v>
      </c>
      <c r="J137" s="100">
        <f t="shared" si="14"/>
        <v>5902</v>
      </c>
    </row>
    <row r="138" spans="1:10">
      <c r="A138" s="37">
        <v>2004</v>
      </c>
      <c r="B138" s="37" t="s">
        <v>38</v>
      </c>
      <c r="C138" s="99">
        <f t="shared" si="10"/>
        <v>0.85365087837731757</v>
      </c>
      <c r="D138" s="99">
        <f t="shared" si="11"/>
        <v>0.91311357033703333</v>
      </c>
      <c r="E138" s="99">
        <f t="shared" si="12"/>
        <v>0.93487919368259098</v>
      </c>
      <c r="F13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63697</v>
      </c>
      <c r="G138" s="100">
        <f t="shared" si="13"/>
        <v>4148</v>
      </c>
      <c r="H13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59549</v>
      </c>
      <c r="I13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54375</v>
      </c>
      <c r="J138" s="100">
        <f t="shared" si="14"/>
        <v>5174</v>
      </c>
    </row>
    <row r="139" spans="1:10">
      <c r="A139" s="37">
        <v>2004</v>
      </c>
      <c r="B139" s="37" t="s">
        <v>39</v>
      </c>
      <c r="C139" s="99">
        <f t="shared" si="10"/>
        <v>0.83924916965813401</v>
      </c>
      <c r="D139" s="99">
        <f t="shared" si="11"/>
        <v>0.90867977987250037</v>
      </c>
      <c r="E139" s="99">
        <f t="shared" si="12"/>
        <v>0.92359177374442247</v>
      </c>
      <c r="F13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59614</v>
      </c>
      <c r="G139" s="100">
        <f t="shared" si="13"/>
        <v>4555</v>
      </c>
      <c r="H13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55059</v>
      </c>
      <c r="I13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50031</v>
      </c>
      <c r="J139" s="100">
        <f t="shared" si="14"/>
        <v>5028</v>
      </c>
    </row>
    <row r="140" spans="1:10">
      <c r="A140" s="37">
        <v>2004</v>
      </c>
      <c r="B140" s="37" t="s">
        <v>40</v>
      </c>
      <c r="C140" s="99">
        <f t="shared" si="10"/>
        <v>0.80832355495954034</v>
      </c>
      <c r="D140" s="99">
        <f t="shared" si="11"/>
        <v>0.86941485002458618</v>
      </c>
      <c r="E140" s="99">
        <f t="shared" si="12"/>
        <v>0.92973285990765153</v>
      </c>
      <c r="F14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65621</v>
      </c>
      <c r="G140" s="100">
        <f t="shared" si="13"/>
        <v>4611</v>
      </c>
      <c r="H14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61010</v>
      </c>
      <c r="I14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53043</v>
      </c>
      <c r="J140" s="100">
        <f t="shared" si="14"/>
        <v>7967</v>
      </c>
    </row>
    <row r="141" spans="1:10">
      <c r="A141" s="37">
        <v>2004</v>
      </c>
      <c r="B141" s="37" t="s">
        <v>41</v>
      </c>
      <c r="C141" s="99">
        <f t="shared" si="10"/>
        <v>0.79923950633471552</v>
      </c>
      <c r="D141" s="99">
        <f t="shared" si="11"/>
        <v>0.85756994882436732</v>
      </c>
      <c r="E141" s="99">
        <f t="shared" si="12"/>
        <v>0.93198170881615394</v>
      </c>
      <c r="F14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61013</v>
      </c>
      <c r="G141" s="100">
        <f t="shared" si="13"/>
        <v>4150</v>
      </c>
      <c r="H14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56863</v>
      </c>
      <c r="I14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48764</v>
      </c>
      <c r="J141" s="100">
        <f t="shared" si="14"/>
        <v>8099</v>
      </c>
    </row>
    <row r="142" spans="1:10">
      <c r="A142" s="37">
        <v>2004</v>
      </c>
      <c r="B142" s="37" t="s">
        <v>42</v>
      </c>
      <c r="C142" s="99">
        <f t="shared" si="10"/>
        <v>0.80264144322332642</v>
      </c>
      <c r="D142" s="99">
        <f t="shared" si="11"/>
        <v>0.85819050055427648</v>
      </c>
      <c r="E142" s="99">
        <f t="shared" si="12"/>
        <v>0.93527188043322218</v>
      </c>
      <c r="F14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62693</v>
      </c>
      <c r="G142" s="100">
        <f t="shared" si="13"/>
        <v>4058</v>
      </c>
      <c r="H14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58635</v>
      </c>
      <c r="I14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50320</v>
      </c>
      <c r="J142" s="100">
        <f t="shared" si="14"/>
        <v>8315</v>
      </c>
    </row>
    <row r="143" spans="1:10">
      <c r="A143" s="37">
        <v>2004</v>
      </c>
      <c r="B143" s="37" t="s">
        <v>43</v>
      </c>
      <c r="C143" s="99">
        <f t="shared" si="10"/>
        <v>0.77907701154933628</v>
      </c>
      <c r="D143" s="99">
        <f t="shared" si="11"/>
        <v>0.87883593116496983</v>
      </c>
      <c r="E143" s="99">
        <f t="shared" si="12"/>
        <v>0.88648743630293447</v>
      </c>
      <c r="F14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62601</v>
      </c>
      <c r="G143" s="100">
        <f t="shared" si="13"/>
        <v>7106</v>
      </c>
      <c r="H14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55495</v>
      </c>
      <c r="I14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48771</v>
      </c>
      <c r="J143" s="100">
        <f t="shared" si="14"/>
        <v>6724</v>
      </c>
    </row>
    <row r="144" spans="1:10">
      <c r="A144" s="37">
        <v>2004</v>
      </c>
      <c r="B144" s="37" t="s">
        <v>44</v>
      </c>
      <c r="C144" s="99">
        <f t="shared" si="10"/>
        <v>0.82071099752120824</v>
      </c>
      <c r="D144" s="99">
        <f t="shared" si="11"/>
        <v>0.89465115888760216</v>
      </c>
      <c r="E144" s="99">
        <f t="shared" si="12"/>
        <v>0.9173530815537867</v>
      </c>
      <c r="F14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64951</v>
      </c>
      <c r="G144" s="100">
        <f t="shared" si="13"/>
        <v>5368</v>
      </c>
      <c r="H14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59583</v>
      </c>
      <c r="I14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53306</v>
      </c>
      <c r="J144" s="100">
        <f t="shared" si="14"/>
        <v>6277</v>
      </c>
    </row>
    <row r="145" spans="1:10">
      <c r="A145" s="37">
        <v>2004</v>
      </c>
      <c r="B145" s="37" t="s">
        <v>45</v>
      </c>
      <c r="C145" s="99">
        <f t="shared" si="10"/>
        <v>0.8130625038793371</v>
      </c>
      <c r="D145" s="99">
        <f t="shared" si="11"/>
        <v>0.86170772621122915</v>
      </c>
      <c r="E145" s="99">
        <f t="shared" si="12"/>
        <v>0.94354788653714849</v>
      </c>
      <c r="F14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64444</v>
      </c>
      <c r="G145" s="100">
        <f t="shared" si="13"/>
        <v>3638</v>
      </c>
      <c r="H14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60806</v>
      </c>
      <c r="I14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52397</v>
      </c>
      <c r="J145" s="100">
        <f t="shared" si="14"/>
        <v>8409</v>
      </c>
    </row>
    <row r="146" spans="1:10">
      <c r="A146" s="37">
        <v>2004</v>
      </c>
      <c r="B146" s="37" t="s">
        <v>46</v>
      </c>
      <c r="C146" s="99">
        <f t="shared" si="10"/>
        <v>0.82703520094783778</v>
      </c>
      <c r="D146" s="99">
        <f t="shared" si="11"/>
        <v>0.87167479995399355</v>
      </c>
      <c r="E146" s="99">
        <f t="shared" si="12"/>
        <v>0.94878870077635391</v>
      </c>
      <c r="F14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64146</v>
      </c>
      <c r="G146" s="100">
        <f t="shared" si="13"/>
        <v>3285</v>
      </c>
      <c r="H14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60861</v>
      </c>
      <c r="I14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53051</v>
      </c>
      <c r="J146" s="100">
        <f t="shared" si="14"/>
        <v>7810</v>
      </c>
    </row>
    <row r="147" spans="1:10">
      <c r="A147" s="37">
        <v>2004</v>
      </c>
      <c r="B147" s="37" t="s">
        <v>47</v>
      </c>
      <c r="C147" s="99">
        <f t="shared" si="10"/>
        <v>0.83509682259350138</v>
      </c>
      <c r="D147" s="99">
        <f t="shared" si="11"/>
        <v>0.88409418071711043</v>
      </c>
      <c r="E147" s="99">
        <f t="shared" si="12"/>
        <v>0.94457902880452616</v>
      </c>
      <c r="F14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63983</v>
      </c>
      <c r="G147" s="100">
        <f t="shared" si="13"/>
        <v>3546</v>
      </c>
      <c r="H14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60437</v>
      </c>
      <c r="I14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53432</v>
      </c>
      <c r="J147" s="100">
        <f t="shared" si="14"/>
        <v>7005</v>
      </c>
    </row>
    <row r="148" spans="1:10">
      <c r="A148" s="37">
        <v>2004</v>
      </c>
      <c r="B148" s="37" t="s">
        <v>48</v>
      </c>
      <c r="C148" s="99">
        <f t="shared" si="10"/>
        <v>0.83613478105089345</v>
      </c>
      <c r="D148" s="99">
        <f t="shared" si="11"/>
        <v>0.87441148200641872</v>
      </c>
      <c r="E148" s="99">
        <f t="shared" si="12"/>
        <v>0.95622575670244414</v>
      </c>
      <c r="F14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64193</v>
      </c>
      <c r="G148" s="100">
        <f t="shared" si="13"/>
        <v>2810</v>
      </c>
      <c r="H14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61383</v>
      </c>
      <c r="I14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53674</v>
      </c>
      <c r="J148" s="100">
        <f t="shared" si="14"/>
        <v>7709</v>
      </c>
    </row>
    <row r="149" spans="1:10">
      <c r="A149" s="37">
        <v>2004</v>
      </c>
      <c r="B149" s="37" t="s">
        <v>49</v>
      </c>
      <c r="C149" s="99">
        <f t="shared" si="10"/>
        <v>0.85544052900878853</v>
      </c>
      <c r="D149" s="99">
        <f t="shared" si="11"/>
        <v>0.89633614163831643</v>
      </c>
      <c r="E149" s="99">
        <f t="shared" si="12"/>
        <v>0.95437469189317825</v>
      </c>
      <c r="F14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58827</v>
      </c>
      <c r="G149" s="100">
        <f t="shared" si="13"/>
        <v>2684</v>
      </c>
      <c r="H14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56143</v>
      </c>
      <c r="I14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50323</v>
      </c>
      <c r="J149" s="100">
        <f t="shared" si="14"/>
        <v>5820</v>
      </c>
    </row>
    <row r="150" spans="1:10">
      <c r="A150" s="37">
        <v>2005</v>
      </c>
      <c r="B150" s="37" t="s">
        <v>38</v>
      </c>
      <c r="C150" s="99">
        <f t="shared" si="10"/>
        <v>0.8833285075443168</v>
      </c>
      <c r="D150" s="99">
        <f t="shared" si="11"/>
        <v>0.9165762547779206</v>
      </c>
      <c r="E150" s="99">
        <f t="shared" si="12"/>
        <v>0.96372615255927674</v>
      </c>
      <c r="F15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62166</v>
      </c>
      <c r="G150" s="100">
        <f t="shared" si="13"/>
        <v>2255</v>
      </c>
      <c r="H15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59911</v>
      </c>
      <c r="I15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54913</v>
      </c>
      <c r="J150" s="100">
        <f t="shared" si="14"/>
        <v>4998</v>
      </c>
    </row>
    <row r="151" spans="1:10">
      <c r="A151" s="37">
        <v>2005</v>
      </c>
      <c r="B151" s="37" t="s">
        <v>39</v>
      </c>
      <c r="C151" s="99">
        <f t="shared" si="10"/>
        <v>0.87136091377629199</v>
      </c>
      <c r="D151" s="99">
        <f t="shared" si="11"/>
        <v>0.90652851242663579</v>
      </c>
      <c r="E151" s="99">
        <f t="shared" si="12"/>
        <v>0.96120629614152386</v>
      </c>
      <c r="F15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57432</v>
      </c>
      <c r="G151" s="100">
        <f t="shared" si="13"/>
        <v>2228</v>
      </c>
      <c r="H15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55204</v>
      </c>
      <c r="I15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50044</v>
      </c>
      <c r="J151" s="100">
        <f t="shared" si="14"/>
        <v>5160</v>
      </c>
    </row>
    <row r="152" spans="1:10">
      <c r="A152" s="37">
        <v>2005</v>
      </c>
      <c r="B152" s="37" t="s">
        <v>40</v>
      </c>
      <c r="C152" s="99">
        <f t="shared" si="10"/>
        <v>0.84303509685975464</v>
      </c>
      <c r="D152" s="99">
        <f t="shared" si="11"/>
        <v>0.87747522718682724</v>
      </c>
      <c r="E152" s="99">
        <f t="shared" si="12"/>
        <v>0.96075088018440458</v>
      </c>
      <c r="F15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63339</v>
      </c>
      <c r="G152" s="100">
        <f t="shared" si="13"/>
        <v>2486</v>
      </c>
      <c r="H15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60853</v>
      </c>
      <c r="I15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53397</v>
      </c>
      <c r="J152" s="100">
        <f t="shared" si="14"/>
        <v>7456</v>
      </c>
    </row>
    <row r="153" spans="1:10">
      <c r="A153" s="37">
        <v>2005</v>
      </c>
      <c r="B153" s="37" t="s">
        <v>41</v>
      </c>
      <c r="C153" s="99">
        <f t="shared" si="10"/>
        <v>0.81675366967222507</v>
      </c>
      <c r="D153" s="99">
        <f t="shared" si="11"/>
        <v>0.85578340934810193</v>
      </c>
      <c r="E153" s="99">
        <f t="shared" si="12"/>
        <v>0.9543929699389615</v>
      </c>
      <c r="F15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61109</v>
      </c>
      <c r="G153" s="100">
        <f t="shared" si="13"/>
        <v>2787</v>
      </c>
      <c r="H15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58322</v>
      </c>
      <c r="I15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49911</v>
      </c>
      <c r="J153" s="100">
        <f t="shared" si="14"/>
        <v>8411</v>
      </c>
    </row>
    <row r="154" spans="1:10">
      <c r="A154" s="37">
        <v>2005</v>
      </c>
      <c r="B154" s="37" t="s">
        <v>42</v>
      </c>
      <c r="C154" s="99">
        <f t="shared" si="10"/>
        <v>0.82279555427436657</v>
      </c>
      <c r="D154" s="99">
        <f t="shared" si="11"/>
        <v>0.85850112791377731</v>
      </c>
      <c r="E154" s="99">
        <f t="shared" si="12"/>
        <v>0.95840940392684415</v>
      </c>
      <c r="F15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62442</v>
      </c>
      <c r="G154" s="100">
        <f t="shared" si="13"/>
        <v>2597</v>
      </c>
      <c r="H15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59845</v>
      </c>
      <c r="I15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51377</v>
      </c>
      <c r="J154" s="100">
        <f t="shared" si="14"/>
        <v>8468</v>
      </c>
    </row>
    <row r="155" spans="1:10">
      <c r="A155" s="37">
        <v>2005</v>
      </c>
      <c r="B155" s="37" t="s">
        <v>43</v>
      </c>
      <c r="C155" s="99">
        <f t="shared" si="10"/>
        <v>0.81504845642190593</v>
      </c>
      <c r="D155" s="99">
        <f t="shared" si="11"/>
        <v>0.85089829554179253</v>
      </c>
      <c r="E155" s="99">
        <f t="shared" si="12"/>
        <v>0.9578682442922748</v>
      </c>
      <c r="F15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61189</v>
      </c>
      <c r="G155" s="100">
        <f t="shared" si="13"/>
        <v>2578</v>
      </c>
      <c r="H15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58611</v>
      </c>
      <c r="I15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49872</v>
      </c>
      <c r="J155" s="100">
        <f t="shared" si="14"/>
        <v>8739</v>
      </c>
    </row>
    <row r="156" spans="1:10">
      <c r="A156" s="37">
        <v>2005</v>
      </c>
      <c r="B156" s="37" t="s">
        <v>44</v>
      </c>
      <c r="C156" s="99">
        <f t="shared" si="10"/>
        <v>0.80731918163480931</v>
      </c>
      <c r="D156" s="99">
        <f t="shared" si="11"/>
        <v>0.85246289597349467</v>
      </c>
      <c r="E156" s="99">
        <f t="shared" si="12"/>
        <v>0.94704319149617389</v>
      </c>
      <c r="F15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62466</v>
      </c>
      <c r="G156" s="100">
        <f t="shared" si="13"/>
        <v>3308</v>
      </c>
      <c r="H15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59158</v>
      </c>
      <c r="I15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50430</v>
      </c>
      <c r="J156" s="100">
        <f t="shared" si="14"/>
        <v>8728</v>
      </c>
    </row>
    <row r="157" spans="1:10">
      <c r="A157" s="37">
        <v>2005</v>
      </c>
      <c r="B157" s="37" t="s">
        <v>45</v>
      </c>
      <c r="C157" s="99">
        <f t="shared" si="10"/>
        <v>0.80993455806985726</v>
      </c>
      <c r="D157" s="99">
        <f t="shared" si="11"/>
        <v>0.86631358790986368</v>
      </c>
      <c r="E157" s="99">
        <f t="shared" si="12"/>
        <v>0.93492076007253799</v>
      </c>
      <c r="F15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63415</v>
      </c>
      <c r="G157" s="100">
        <f t="shared" si="13"/>
        <v>4127</v>
      </c>
      <c r="H15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59288</v>
      </c>
      <c r="I15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51362</v>
      </c>
      <c r="J157" s="100">
        <f t="shared" si="14"/>
        <v>7926</v>
      </c>
    </row>
    <row r="158" spans="1:10">
      <c r="A158" s="37">
        <v>2005</v>
      </c>
      <c r="B158" s="37" t="s">
        <v>46</v>
      </c>
      <c r="C158" s="99">
        <f t="shared" si="10"/>
        <v>0.78634763124199747</v>
      </c>
      <c r="D158" s="99">
        <f t="shared" si="11"/>
        <v>0.82223486686860914</v>
      </c>
      <c r="E158" s="99">
        <f t="shared" si="12"/>
        <v>0.95635403329065305</v>
      </c>
      <c r="F15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62480</v>
      </c>
      <c r="G158" s="100">
        <f t="shared" si="13"/>
        <v>2727</v>
      </c>
      <c r="H15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59753</v>
      </c>
      <c r="I15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49131</v>
      </c>
      <c r="J158" s="100">
        <f t="shared" si="14"/>
        <v>10622</v>
      </c>
    </row>
    <row r="159" spans="1:10">
      <c r="A159" s="37">
        <v>2005</v>
      </c>
      <c r="B159" s="37" t="s">
        <v>47</v>
      </c>
      <c r="C159" s="99">
        <f t="shared" si="10"/>
        <v>0.80061976870487506</v>
      </c>
      <c r="D159" s="99">
        <f t="shared" si="11"/>
        <v>0.84336457404384912</v>
      </c>
      <c r="E159" s="99">
        <f t="shared" si="12"/>
        <v>0.94931633761420997</v>
      </c>
      <c r="F15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62604</v>
      </c>
      <c r="G159" s="100">
        <f t="shared" si="13"/>
        <v>3173</v>
      </c>
      <c r="H15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59431</v>
      </c>
      <c r="I15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50122</v>
      </c>
      <c r="J159" s="100">
        <f t="shared" si="14"/>
        <v>9309</v>
      </c>
    </row>
    <row r="160" spans="1:10">
      <c r="A160" s="37">
        <v>2005</v>
      </c>
      <c r="B160" s="37" t="s">
        <v>48</v>
      </c>
      <c r="C160" s="99">
        <f t="shared" si="10"/>
        <v>0.83203212491600809</v>
      </c>
      <c r="D160" s="99">
        <f t="shared" si="11"/>
        <v>0.8717377093146047</v>
      </c>
      <c r="E160" s="99">
        <f t="shared" si="12"/>
        <v>0.95445237257223303</v>
      </c>
      <c r="F16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62506</v>
      </c>
      <c r="G160" s="100">
        <f t="shared" si="13"/>
        <v>2847</v>
      </c>
      <c r="H16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59659</v>
      </c>
      <c r="I16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52007</v>
      </c>
      <c r="J160" s="100">
        <f t="shared" si="14"/>
        <v>7652</v>
      </c>
    </row>
    <row r="161" spans="1:10">
      <c r="A161" s="37">
        <v>2005</v>
      </c>
      <c r="B161" s="37" t="s">
        <v>49</v>
      </c>
      <c r="C161" s="99">
        <f t="shared" si="10"/>
        <v>0.83312445168567495</v>
      </c>
      <c r="D161" s="99">
        <f t="shared" si="11"/>
        <v>0.87108927108927114</v>
      </c>
      <c r="E161" s="99">
        <f t="shared" si="12"/>
        <v>0.95641684421606721</v>
      </c>
      <c r="F16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63832</v>
      </c>
      <c r="G161" s="100">
        <f t="shared" si="13"/>
        <v>2782</v>
      </c>
      <c r="H16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61050</v>
      </c>
      <c r="I16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53180</v>
      </c>
      <c r="J161" s="100">
        <f t="shared" si="14"/>
        <v>7870</v>
      </c>
    </row>
    <row r="162" spans="1:10">
      <c r="A162" s="37">
        <v>2006</v>
      </c>
      <c r="B162" s="37" t="s">
        <v>38</v>
      </c>
      <c r="C162" s="99">
        <f t="shared" si="10"/>
        <v>0.85607520198881293</v>
      </c>
      <c r="D162" s="99">
        <f t="shared" si="11"/>
        <v>0.89611931559430091</v>
      </c>
      <c r="E162" s="99">
        <f t="shared" si="12"/>
        <v>0.95531385954008696</v>
      </c>
      <c r="F16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64360</v>
      </c>
      <c r="G162" s="100">
        <f t="shared" si="13"/>
        <v>2876</v>
      </c>
      <c r="H16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61484</v>
      </c>
      <c r="I16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55097</v>
      </c>
      <c r="J162" s="100">
        <f t="shared" si="14"/>
        <v>6387</v>
      </c>
    </row>
    <row r="163" spans="1:10">
      <c r="A163" s="37">
        <v>2006</v>
      </c>
      <c r="B163" s="37" t="s">
        <v>39</v>
      </c>
      <c r="C163" s="99">
        <f t="shared" si="10"/>
        <v>0.83995672185202996</v>
      </c>
      <c r="D163" s="99">
        <f t="shared" si="11"/>
        <v>0.87699259445211497</v>
      </c>
      <c r="E163" s="99">
        <f t="shared" si="12"/>
        <v>0.95776945799271829</v>
      </c>
      <c r="F16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58228</v>
      </c>
      <c r="G163" s="100">
        <f t="shared" si="13"/>
        <v>2459</v>
      </c>
      <c r="H16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55769</v>
      </c>
      <c r="I16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48909</v>
      </c>
      <c r="J163" s="100">
        <f t="shared" si="14"/>
        <v>6860</v>
      </c>
    </row>
    <row r="164" spans="1:10">
      <c r="A164" s="37">
        <v>2006</v>
      </c>
      <c r="B164" s="37" t="s">
        <v>40</v>
      </c>
      <c r="C164" s="99">
        <f t="shared" si="10"/>
        <v>0.79220152795282328</v>
      </c>
      <c r="D164" s="99">
        <f t="shared" si="11"/>
        <v>0.83186014214524961</v>
      </c>
      <c r="E164" s="99">
        <f t="shared" si="12"/>
        <v>0.95232538237719588</v>
      </c>
      <c r="F16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64269</v>
      </c>
      <c r="G164" s="100">
        <f t="shared" si="13"/>
        <v>3064</v>
      </c>
      <c r="H16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61205</v>
      </c>
      <c r="I16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50914</v>
      </c>
      <c r="J164" s="100">
        <f t="shared" si="14"/>
        <v>10291</v>
      </c>
    </row>
    <row r="165" spans="1:10">
      <c r="A165" s="37">
        <v>2006</v>
      </c>
      <c r="B165" s="37" t="s">
        <v>41</v>
      </c>
      <c r="C165" s="99">
        <f t="shared" si="10"/>
        <v>0.83381847484664595</v>
      </c>
      <c r="D165" s="99">
        <f t="shared" si="11"/>
        <v>0.87031601352627153</v>
      </c>
      <c r="E165" s="99">
        <f t="shared" si="12"/>
        <v>0.95806403867975731</v>
      </c>
      <c r="F16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60807</v>
      </c>
      <c r="G165" s="100">
        <f t="shared" si="13"/>
        <v>2550</v>
      </c>
      <c r="H16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58257</v>
      </c>
      <c r="I16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50702</v>
      </c>
      <c r="J165" s="100">
        <f t="shared" si="14"/>
        <v>7555</v>
      </c>
    </row>
    <row r="166" spans="1:10">
      <c r="A166" s="37">
        <v>2006</v>
      </c>
      <c r="B166" s="37" t="s">
        <v>42</v>
      </c>
      <c r="C166" s="99">
        <f t="shared" si="10"/>
        <v>0.78874656188605108</v>
      </c>
      <c r="D166" s="99">
        <f t="shared" si="11"/>
        <v>0.83345512522420784</v>
      </c>
      <c r="E166" s="99">
        <f t="shared" si="12"/>
        <v>0.94635756385068759</v>
      </c>
      <c r="F16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63625</v>
      </c>
      <c r="G166" s="100">
        <f t="shared" si="13"/>
        <v>3413</v>
      </c>
      <c r="H16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60212</v>
      </c>
      <c r="I16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50184</v>
      </c>
      <c r="J166" s="100">
        <f t="shared" si="14"/>
        <v>10028</v>
      </c>
    </row>
    <row r="167" spans="1:10">
      <c r="A167" s="37">
        <v>2006</v>
      </c>
      <c r="B167" s="37" t="s">
        <v>43</v>
      </c>
      <c r="C167" s="99">
        <f t="shared" si="10"/>
        <v>0.80528471608706131</v>
      </c>
      <c r="D167" s="99">
        <f t="shared" si="11"/>
        <v>0.83967841889289008</v>
      </c>
      <c r="E167" s="99">
        <f t="shared" si="12"/>
        <v>0.95903943458356755</v>
      </c>
      <c r="F16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62255</v>
      </c>
      <c r="G167" s="100">
        <f t="shared" si="13"/>
        <v>2550</v>
      </c>
      <c r="H16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59705</v>
      </c>
      <c r="I16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50133</v>
      </c>
      <c r="J167" s="100">
        <f t="shared" si="14"/>
        <v>9572</v>
      </c>
    </row>
    <row r="168" spans="1:10">
      <c r="A168" s="37">
        <v>2006</v>
      </c>
      <c r="B168" s="37" t="s">
        <v>44</v>
      </c>
      <c r="C168" s="99">
        <f t="shared" si="10"/>
        <v>0.82177630757708153</v>
      </c>
      <c r="D168" s="99">
        <f t="shared" si="11"/>
        <v>0.86009178057583324</v>
      </c>
      <c r="E168" s="99">
        <f t="shared" si="12"/>
        <v>0.95545187866683312</v>
      </c>
      <c r="F16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64088</v>
      </c>
      <c r="G168" s="100">
        <f t="shared" si="13"/>
        <v>2855</v>
      </c>
      <c r="H16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61233</v>
      </c>
      <c r="I16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52666</v>
      </c>
      <c r="J168" s="100">
        <f t="shared" si="14"/>
        <v>8567</v>
      </c>
    </row>
    <row r="169" spans="1:10">
      <c r="A169" s="37">
        <v>2006</v>
      </c>
      <c r="B169" s="37" t="s">
        <v>45</v>
      </c>
      <c r="C169" s="99">
        <f t="shared" si="10"/>
        <v>0.82479976451997705</v>
      </c>
      <c r="D169" s="99">
        <f t="shared" si="11"/>
        <v>0.86320670590333515</v>
      </c>
      <c r="E169" s="99">
        <f t="shared" si="12"/>
        <v>0.95550666935196515</v>
      </c>
      <c r="F16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64549</v>
      </c>
      <c r="G169" s="100">
        <f t="shared" si="13"/>
        <v>2872</v>
      </c>
      <c r="H16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61677</v>
      </c>
      <c r="I16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53240</v>
      </c>
      <c r="J169" s="100">
        <f t="shared" si="14"/>
        <v>8437</v>
      </c>
    </row>
    <row r="170" spans="1:10">
      <c r="A170" s="37">
        <v>2006</v>
      </c>
      <c r="B170" s="37" t="s">
        <v>46</v>
      </c>
      <c r="C170" s="99">
        <f t="shared" si="10"/>
        <v>0.84121088457062698</v>
      </c>
      <c r="D170" s="99">
        <f t="shared" si="11"/>
        <v>0.88381596797695416</v>
      </c>
      <c r="E170" s="99">
        <f t="shared" si="12"/>
        <v>0.9517941687522915</v>
      </c>
      <c r="F17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62731</v>
      </c>
      <c r="G170" s="100">
        <f t="shared" si="13"/>
        <v>3024</v>
      </c>
      <c r="H17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59707</v>
      </c>
      <c r="I17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52770</v>
      </c>
      <c r="J170" s="100">
        <f t="shared" si="14"/>
        <v>6937</v>
      </c>
    </row>
    <row r="171" spans="1:10">
      <c r="A171" s="37">
        <v>2006</v>
      </c>
      <c r="B171" s="37" t="s">
        <v>47</v>
      </c>
      <c r="C171" s="99">
        <f t="shared" si="10"/>
        <v>0.83473763636935261</v>
      </c>
      <c r="D171" s="99">
        <f t="shared" si="11"/>
        <v>0.87049392632907652</v>
      </c>
      <c r="E171" s="99">
        <f t="shared" si="12"/>
        <v>0.9589241361964348</v>
      </c>
      <c r="F17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63614</v>
      </c>
      <c r="G171" s="100">
        <f t="shared" si="13"/>
        <v>2613</v>
      </c>
      <c r="H17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61001</v>
      </c>
      <c r="I17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53101</v>
      </c>
      <c r="J171" s="100">
        <f t="shared" si="14"/>
        <v>7900</v>
      </c>
    </row>
    <row r="172" spans="1:10">
      <c r="A172" s="37">
        <v>2006</v>
      </c>
      <c r="B172" s="37" t="s">
        <v>48</v>
      </c>
      <c r="C172" s="99">
        <f t="shared" si="10"/>
        <v>0.82996803494002591</v>
      </c>
      <c r="D172" s="99">
        <f t="shared" si="11"/>
        <v>0.86357125216102737</v>
      </c>
      <c r="E172" s="99">
        <f t="shared" si="12"/>
        <v>0.96108807798208695</v>
      </c>
      <c r="F17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63194</v>
      </c>
      <c r="G172" s="100">
        <f t="shared" si="13"/>
        <v>2459</v>
      </c>
      <c r="H17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60735</v>
      </c>
      <c r="I17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52449</v>
      </c>
      <c r="J172" s="100">
        <f t="shared" si="14"/>
        <v>8286</v>
      </c>
    </row>
    <row r="173" spans="1:10">
      <c r="A173" s="37">
        <v>2006</v>
      </c>
      <c r="B173" s="37" t="s">
        <v>49</v>
      </c>
      <c r="C173" s="99">
        <f t="shared" si="10"/>
        <v>0.80243678973847909</v>
      </c>
      <c r="D173" s="99">
        <f t="shared" si="11"/>
        <v>0.84693946796959829</v>
      </c>
      <c r="E173" s="99">
        <f t="shared" si="12"/>
        <v>0.94745471203767706</v>
      </c>
      <c r="F17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62213</v>
      </c>
      <c r="G173" s="100">
        <f t="shared" si="13"/>
        <v>3269</v>
      </c>
      <c r="H17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58944</v>
      </c>
      <c r="I17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49922</v>
      </c>
      <c r="J173" s="100">
        <f t="shared" si="14"/>
        <v>9022</v>
      </c>
    </row>
    <row r="174" spans="1:10">
      <c r="A174" s="37">
        <v>2007</v>
      </c>
      <c r="B174" s="37" t="s">
        <v>38</v>
      </c>
      <c r="C174" s="99">
        <f t="shared" si="10"/>
        <v>0.83598760650658399</v>
      </c>
      <c r="D174" s="99">
        <f t="shared" si="11"/>
        <v>0.87619341430148734</v>
      </c>
      <c r="E174" s="99">
        <f t="shared" si="12"/>
        <v>0.95411309062742056</v>
      </c>
      <c r="F17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64550</v>
      </c>
      <c r="G174" s="100">
        <f t="shared" si="13"/>
        <v>2962</v>
      </c>
      <c r="H17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61588</v>
      </c>
      <c r="I17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53963</v>
      </c>
      <c r="J174" s="100">
        <f t="shared" si="14"/>
        <v>7625</v>
      </c>
    </row>
    <row r="175" spans="1:10">
      <c r="A175" s="37">
        <v>2007</v>
      </c>
      <c r="B175" s="37" t="s">
        <v>39</v>
      </c>
      <c r="C175" s="99">
        <f t="shared" si="10"/>
        <v>0.79413570770647834</v>
      </c>
      <c r="D175" s="99">
        <f t="shared" si="11"/>
        <v>0.8354328165374677</v>
      </c>
      <c r="E175" s="99">
        <f t="shared" si="12"/>
        <v>0.95056800736874425</v>
      </c>
      <c r="F17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58626</v>
      </c>
      <c r="G175" s="100">
        <f t="shared" si="13"/>
        <v>2898</v>
      </c>
      <c r="H17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55728</v>
      </c>
      <c r="I17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46557</v>
      </c>
      <c r="J175" s="100">
        <f t="shared" si="14"/>
        <v>9171</v>
      </c>
    </row>
    <row r="176" spans="1:10">
      <c r="A176" s="37">
        <v>2007</v>
      </c>
      <c r="B176" s="37" t="s">
        <v>40</v>
      </c>
      <c r="C176" s="99">
        <f t="shared" si="10"/>
        <v>0.7441400210278929</v>
      </c>
      <c r="D176" s="99">
        <f t="shared" si="11"/>
        <v>0.79521496315389451</v>
      </c>
      <c r="E176" s="99">
        <f t="shared" si="12"/>
        <v>0.93577215659595525</v>
      </c>
      <c r="F17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64676</v>
      </c>
      <c r="G176" s="100">
        <f t="shared" si="13"/>
        <v>4154</v>
      </c>
      <c r="H17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60522</v>
      </c>
      <c r="I17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48128</v>
      </c>
      <c r="J176" s="100">
        <f t="shared" si="14"/>
        <v>12394</v>
      </c>
    </row>
    <row r="177" spans="1:10">
      <c r="A177" s="37">
        <v>2007</v>
      </c>
      <c r="B177" s="37" t="s">
        <v>41</v>
      </c>
      <c r="C177" s="99">
        <f t="shared" si="10"/>
        <v>0.7156543177192779</v>
      </c>
      <c r="D177" s="99">
        <f t="shared" si="11"/>
        <v>0.77718680370876159</v>
      </c>
      <c r="E177" s="99">
        <f t="shared" si="12"/>
        <v>0.92082664592881847</v>
      </c>
      <c r="F17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60437</v>
      </c>
      <c r="G177" s="100">
        <f t="shared" si="13"/>
        <v>4785</v>
      </c>
      <c r="H17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55652</v>
      </c>
      <c r="I17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43252</v>
      </c>
      <c r="J177" s="100">
        <f t="shared" si="14"/>
        <v>12400</v>
      </c>
    </row>
    <row r="178" spans="1:10">
      <c r="A178" s="37">
        <v>2007</v>
      </c>
      <c r="B178" s="37" t="s">
        <v>42</v>
      </c>
      <c r="C178" s="99">
        <f t="shared" si="10"/>
        <v>0.73018388351951802</v>
      </c>
      <c r="D178" s="99">
        <f t="shared" si="11"/>
        <v>0.78063304091114949</v>
      </c>
      <c r="E178" s="99">
        <f t="shared" si="12"/>
        <v>0.93537404292707416</v>
      </c>
      <c r="F17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63736</v>
      </c>
      <c r="G178" s="100">
        <f t="shared" si="13"/>
        <v>4119</v>
      </c>
      <c r="H17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59617</v>
      </c>
      <c r="I17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46539</v>
      </c>
      <c r="J178" s="100">
        <f t="shared" si="14"/>
        <v>13078</v>
      </c>
    </row>
    <row r="179" spans="1:10">
      <c r="A179" s="37">
        <v>2007</v>
      </c>
      <c r="B179" s="37" t="s">
        <v>43</v>
      </c>
      <c r="C179" s="99">
        <f t="shared" si="10"/>
        <v>0.74319400132799973</v>
      </c>
      <c r="D179" s="99">
        <f t="shared" si="11"/>
        <v>0.78874546673312596</v>
      </c>
      <c r="E179" s="99">
        <f t="shared" si="12"/>
        <v>0.94224820639059392</v>
      </c>
      <c r="F17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61747</v>
      </c>
      <c r="G179" s="100">
        <f t="shared" si="13"/>
        <v>3566</v>
      </c>
      <c r="H17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58181</v>
      </c>
      <c r="I17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45890</v>
      </c>
      <c r="J179" s="100">
        <f t="shared" si="14"/>
        <v>12291</v>
      </c>
    </row>
    <row r="180" spans="1:10">
      <c r="A180" s="37">
        <v>2007</v>
      </c>
      <c r="B180" s="37" t="s">
        <v>44</v>
      </c>
      <c r="C180" s="99">
        <f t="shared" si="10"/>
        <v>0.79401668245856571</v>
      </c>
      <c r="D180" s="99">
        <f t="shared" si="11"/>
        <v>0.83672433830389736</v>
      </c>
      <c r="E180" s="99">
        <f t="shared" si="12"/>
        <v>0.94895851131580178</v>
      </c>
      <c r="F18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64379</v>
      </c>
      <c r="G180" s="100">
        <f t="shared" si="13"/>
        <v>3286</v>
      </c>
      <c r="H18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61093</v>
      </c>
      <c r="I18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51118</v>
      </c>
      <c r="J180" s="100">
        <f t="shared" si="14"/>
        <v>9975</v>
      </c>
    </row>
    <row r="181" spans="1:10">
      <c r="A181" s="37">
        <v>2007</v>
      </c>
      <c r="B181" s="37" t="s">
        <v>45</v>
      </c>
      <c r="C181" s="99">
        <f t="shared" si="10"/>
        <v>0.80639057588427376</v>
      </c>
      <c r="D181" s="99">
        <f t="shared" si="11"/>
        <v>0.83943832004320618</v>
      </c>
      <c r="E181" s="99">
        <f t="shared" si="12"/>
        <v>0.96063112277596363</v>
      </c>
      <c r="F18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G181" s="100">
        <f t="shared" si="13"/>
        <v>2580</v>
      </c>
      <c r="H18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62954</v>
      </c>
      <c r="I18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52846</v>
      </c>
      <c r="J181" s="100">
        <f t="shared" si="14"/>
        <v>10108</v>
      </c>
    </row>
    <row r="182" spans="1:10">
      <c r="A182" s="37">
        <v>2007</v>
      </c>
      <c r="B182" s="37" t="s">
        <v>46</v>
      </c>
      <c r="C182" s="99">
        <f t="shared" si="10"/>
        <v>0.78969141323792491</v>
      </c>
      <c r="D182" s="99">
        <f t="shared" si="11"/>
        <v>0.82677257525083614</v>
      </c>
      <c r="E182" s="99">
        <f t="shared" si="12"/>
        <v>0.95514950166112955</v>
      </c>
      <c r="F18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62608</v>
      </c>
      <c r="G182" s="100">
        <f t="shared" si="13"/>
        <v>2808</v>
      </c>
      <c r="H18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59800</v>
      </c>
      <c r="I18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49441</v>
      </c>
      <c r="J182" s="100">
        <f t="shared" si="14"/>
        <v>10359</v>
      </c>
    </row>
    <row r="183" spans="1:10">
      <c r="A183" s="37">
        <v>2007</v>
      </c>
      <c r="B183" s="37" t="s">
        <v>47</v>
      </c>
      <c r="C183" s="99">
        <f t="shared" si="10"/>
        <v>0.8118042138191186</v>
      </c>
      <c r="D183" s="99">
        <f t="shared" si="11"/>
        <v>0.8516206868816858</v>
      </c>
      <c r="E183" s="99">
        <f t="shared" si="12"/>
        <v>0.95324623547091114</v>
      </c>
      <c r="F18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65214</v>
      </c>
      <c r="G183" s="100">
        <f t="shared" si="13"/>
        <v>3049</v>
      </c>
      <c r="H18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62165</v>
      </c>
      <c r="I18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52941</v>
      </c>
      <c r="J183" s="100">
        <f t="shared" si="14"/>
        <v>9224</v>
      </c>
    </row>
    <row r="184" spans="1:10">
      <c r="A184" s="37">
        <v>2007</v>
      </c>
      <c r="B184" s="37" t="s">
        <v>48</v>
      </c>
      <c r="C184" s="99">
        <f t="shared" si="10"/>
        <v>0.83643216080402005</v>
      </c>
      <c r="D184" s="99">
        <f t="shared" si="11"/>
        <v>0.86858111964515761</v>
      </c>
      <c r="E184" s="99">
        <f t="shared" si="12"/>
        <v>0.96298680904522616</v>
      </c>
      <c r="F18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63680</v>
      </c>
      <c r="G184" s="100">
        <f t="shared" si="13"/>
        <v>2357</v>
      </c>
      <c r="H18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61323</v>
      </c>
      <c r="I18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53264</v>
      </c>
      <c r="J184" s="100">
        <f t="shared" si="14"/>
        <v>8059</v>
      </c>
    </row>
    <row r="185" spans="1:10">
      <c r="A185" s="37">
        <v>2007</v>
      </c>
      <c r="B185" s="37" t="s">
        <v>49</v>
      </c>
      <c r="C185" s="99">
        <f t="shared" si="10"/>
        <v>0.85273842651151022</v>
      </c>
      <c r="D185" s="99">
        <f t="shared" si="11"/>
        <v>0.88781708340878041</v>
      </c>
      <c r="E185" s="99">
        <f t="shared" si="12"/>
        <v>0.96048886921325571</v>
      </c>
      <c r="F18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63248</v>
      </c>
      <c r="G185" s="100">
        <f t="shared" si="13"/>
        <v>2499</v>
      </c>
      <c r="H18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60749</v>
      </c>
      <c r="I18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53934</v>
      </c>
      <c r="J185" s="100">
        <f t="shared" si="14"/>
        <v>6815</v>
      </c>
    </row>
    <row r="186" spans="1:10">
      <c r="A186" s="37">
        <v>2008</v>
      </c>
      <c r="B186" s="37" t="s">
        <v>38</v>
      </c>
      <c r="C186" s="99">
        <f t="shared" si="10"/>
        <v>0.84385003693671512</v>
      </c>
      <c r="D186" s="99">
        <f t="shared" si="11"/>
        <v>0.90841313496139697</v>
      </c>
      <c r="E186" s="99">
        <f t="shared" si="12"/>
        <v>0.92892760403841423</v>
      </c>
      <c r="F18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64976</v>
      </c>
      <c r="G186" s="100">
        <f t="shared" si="13"/>
        <v>4618</v>
      </c>
      <c r="H18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60358</v>
      </c>
      <c r="I18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54830</v>
      </c>
      <c r="J186" s="100">
        <f t="shared" si="14"/>
        <v>5528</v>
      </c>
    </row>
    <row r="187" spans="1:10">
      <c r="A187" s="37">
        <v>2008</v>
      </c>
      <c r="B187" s="37" t="s">
        <v>39</v>
      </c>
      <c r="C187" s="99">
        <f t="shared" si="10"/>
        <v>0.80898270167751218</v>
      </c>
      <c r="D187" s="99">
        <f t="shared" si="11"/>
        <v>0.84298492205468945</v>
      </c>
      <c r="E187" s="99">
        <f t="shared" si="12"/>
        <v>0.95966449756384686</v>
      </c>
      <c r="F18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61162</v>
      </c>
      <c r="G187" s="100">
        <f t="shared" si="13"/>
        <v>2467</v>
      </c>
      <c r="H18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58695</v>
      </c>
      <c r="I18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49479</v>
      </c>
      <c r="J187" s="100">
        <f t="shared" si="14"/>
        <v>9216</v>
      </c>
    </row>
    <row r="188" spans="1:10">
      <c r="A188" s="37">
        <v>2008</v>
      </c>
      <c r="B188" s="37" t="s">
        <v>40</v>
      </c>
      <c r="C188" s="99">
        <f t="shared" si="10"/>
        <v>0.83386632555164697</v>
      </c>
      <c r="D188" s="99">
        <f t="shared" si="11"/>
        <v>0.86563200265582207</v>
      </c>
      <c r="E188" s="99">
        <f t="shared" si="12"/>
        <v>0.96330348576910774</v>
      </c>
      <c r="F18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62540</v>
      </c>
      <c r="G188" s="100">
        <f t="shared" si="13"/>
        <v>2295</v>
      </c>
      <c r="H18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60245</v>
      </c>
      <c r="I18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52150</v>
      </c>
      <c r="J188" s="100">
        <f t="shared" si="14"/>
        <v>8095</v>
      </c>
    </row>
    <row r="189" spans="1:10">
      <c r="A189" s="37">
        <v>2008</v>
      </c>
      <c r="B189" s="37" t="s">
        <v>41</v>
      </c>
      <c r="C189" s="99">
        <f t="shared" si="10"/>
        <v>0.8279692258374739</v>
      </c>
      <c r="D189" s="99">
        <f t="shared" si="11"/>
        <v>0.86057708326391902</v>
      </c>
      <c r="E189" s="99">
        <f t="shared" si="12"/>
        <v>0.96210931238980602</v>
      </c>
      <c r="F18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62390</v>
      </c>
      <c r="G189" s="100">
        <f t="shared" si="13"/>
        <v>2364</v>
      </c>
      <c r="H18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60026</v>
      </c>
      <c r="I18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51657</v>
      </c>
      <c r="J189" s="100">
        <f t="shared" si="14"/>
        <v>8369</v>
      </c>
    </row>
    <row r="190" spans="1:10">
      <c r="A190" s="37">
        <v>2008</v>
      </c>
      <c r="B190" s="37" t="s">
        <v>42</v>
      </c>
      <c r="C190" s="99">
        <f t="shared" si="10"/>
        <v>0.84511711150883195</v>
      </c>
      <c r="D190" s="99">
        <f t="shared" si="11"/>
        <v>0.87280003857466604</v>
      </c>
      <c r="E190" s="99">
        <f t="shared" si="12"/>
        <v>0.9682826239203175</v>
      </c>
      <c r="F19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64255</v>
      </c>
      <c r="G190" s="100">
        <f t="shared" si="13"/>
        <v>2038</v>
      </c>
      <c r="H19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62217</v>
      </c>
      <c r="I19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54303</v>
      </c>
      <c r="J190" s="100">
        <f t="shared" si="14"/>
        <v>7914</v>
      </c>
    </row>
    <row r="191" spans="1:10">
      <c r="A191" s="37">
        <v>2008</v>
      </c>
      <c r="B191" s="37" t="s">
        <v>43</v>
      </c>
      <c r="C191" s="99">
        <f t="shared" si="10"/>
        <v>0.83871387659463681</v>
      </c>
      <c r="D191" s="99">
        <f t="shared" si="11"/>
        <v>0.86816796078893732</v>
      </c>
      <c r="E191" s="99">
        <f t="shared" si="12"/>
        <v>0.96607328820619631</v>
      </c>
      <c r="F19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61456</v>
      </c>
      <c r="G191" s="100">
        <f t="shared" si="13"/>
        <v>2085</v>
      </c>
      <c r="H19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59371</v>
      </c>
      <c r="I19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51544</v>
      </c>
      <c r="J191" s="100">
        <f t="shared" si="14"/>
        <v>7827</v>
      </c>
    </row>
    <row r="192" spans="1:10">
      <c r="A192" s="37">
        <v>2008</v>
      </c>
      <c r="B192" s="37" t="s">
        <v>44</v>
      </c>
      <c r="C192" s="99">
        <f t="shared" si="10"/>
        <v>0.82938831825847004</v>
      </c>
      <c r="D192" s="99">
        <f t="shared" si="11"/>
        <v>0.86594852423330559</v>
      </c>
      <c r="E192" s="99">
        <f t="shared" si="12"/>
        <v>0.95778016250191633</v>
      </c>
      <c r="F19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65230</v>
      </c>
      <c r="G192" s="100">
        <f t="shared" si="13"/>
        <v>2754</v>
      </c>
      <c r="H19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62476</v>
      </c>
      <c r="I19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54101</v>
      </c>
      <c r="J192" s="100">
        <f t="shared" si="14"/>
        <v>8375</v>
      </c>
    </row>
    <row r="193" spans="1:10">
      <c r="A193" s="37">
        <v>2008</v>
      </c>
      <c r="B193" s="37" t="s">
        <v>45</v>
      </c>
      <c r="C193" s="99">
        <f t="shared" si="10"/>
        <v>0.84973495478640471</v>
      </c>
      <c r="D193" s="99">
        <f t="shared" si="11"/>
        <v>0.88501696896870885</v>
      </c>
      <c r="E193" s="99">
        <f t="shared" si="12"/>
        <v>0.96013408169628933</v>
      </c>
      <c r="F19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64140</v>
      </c>
      <c r="G193" s="100">
        <f t="shared" si="13"/>
        <v>2557</v>
      </c>
      <c r="H19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61583</v>
      </c>
      <c r="I19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54502</v>
      </c>
      <c r="J193" s="100">
        <f t="shared" si="14"/>
        <v>7081</v>
      </c>
    </row>
    <row r="194" spans="1:10">
      <c r="A194" s="37">
        <v>2008</v>
      </c>
      <c r="B194" s="37" t="s">
        <v>46</v>
      </c>
      <c r="C194" s="99">
        <f t="shared" si="10"/>
        <v>0.84261467246458133</v>
      </c>
      <c r="D194" s="99">
        <f t="shared" si="11"/>
        <v>0.88741341387347761</v>
      </c>
      <c r="E194" s="99">
        <f t="shared" si="12"/>
        <v>0.94951761973784699</v>
      </c>
      <c r="F19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64161</v>
      </c>
      <c r="G194" s="100">
        <f t="shared" si="13"/>
        <v>3239</v>
      </c>
      <c r="H19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60922</v>
      </c>
      <c r="I19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54063</v>
      </c>
      <c r="J194" s="100">
        <f t="shared" si="14"/>
        <v>6859</v>
      </c>
    </row>
    <row r="195" spans="1:10">
      <c r="A195" s="37">
        <v>2008</v>
      </c>
      <c r="B195" s="37" t="s">
        <v>47</v>
      </c>
      <c r="C195" s="99">
        <f t="shared" si="10"/>
        <v>0.86522183415437648</v>
      </c>
      <c r="D195" s="99">
        <f t="shared" si="11"/>
        <v>0.88603245505802242</v>
      </c>
      <c r="E195" s="99">
        <f t="shared" si="12"/>
        <v>0.97651257492336085</v>
      </c>
      <c r="F19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65567</v>
      </c>
      <c r="G195" s="100">
        <f t="shared" si="13"/>
        <v>1540</v>
      </c>
      <c r="H19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64027</v>
      </c>
      <c r="I19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56730</v>
      </c>
      <c r="J195" s="100">
        <f t="shared" si="14"/>
        <v>7297</v>
      </c>
    </row>
    <row r="196" spans="1:10">
      <c r="A196" s="37">
        <v>2008</v>
      </c>
      <c r="B196" s="37" t="s">
        <v>48</v>
      </c>
      <c r="C196" s="99">
        <f t="shared" si="10"/>
        <v>0.85658822219039887</v>
      </c>
      <c r="D196" s="99">
        <f t="shared" si="11"/>
        <v>0.88898062981983916</v>
      </c>
      <c r="E196" s="99">
        <f t="shared" si="12"/>
        <v>0.96356230209874771</v>
      </c>
      <c r="F19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62847</v>
      </c>
      <c r="G196" s="100">
        <f t="shared" si="13"/>
        <v>2290</v>
      </c>
      <c r="H19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60557</v>
      </c>
      <c r="I19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53834</v>
      </c>
      <c r="J196" s="100">
        <f t="shared" si="14"/>
        <v>6723</v>
      </c>
    </row>
    <row r="197" spans="1:10">
      <c r="A197" s="37">
        <v>2008</v>
      </c>
      <c r="B197" s="37" t="s">
        <v>49</v>
      </c>
      <c r="C197" s="99">
        <f t="shared" si="10"/>
        <v>0.87321544702858378</v>
      </c>
      <c r="D197" s="99">
        <f t="shared" si="11"/>
        <v>0.90236175115207373</v>
      </c>
      <c r="E197" s="99">
        <f t="shared" si="12"/>
        <v>0.96769997832213306</v>
      </c>
      <c r="F19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64582</v>
      </c>
      <c r="G197" s="100">
        <f t="shared" si="13"/>
        <v>2086</v>
      </c>
      <c r="H19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62496</v>
      </c>
      <c r="I19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56394</v>
      </c>
      <c r="J197" s="100">
        <f t="shared" si="14"/>
        <v>6102</v>
      </c>
    </row>
    <row r="198" spans="1:10">
      <c r="A198" s="37">
        <v>2009</v>
      </c>
      <c r="B198" s="37" t="s">
        <v>38</v>
      </c>
      <c r="C198" s="99">
        <f t="shared" si="10"/>
        <v>0.88381023533806502</v>
      </c>
      <c r="D198" s="99">
        <f t="shared" si="11"/>
        <v>0.91123230269137745</v>
      </c>
      <c r="E198" s="99">
        <f t="shared" si="12"/>
        <v>0.96990661187896898</v>
      </c>
      <c r="F19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66925</v>
      </c>
      <c r="G198" s="100">
        <f t="shared" si="13"/>
        <v>2014</v>
      </c>
      <c r="H19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64911</v>
      </c>
      <c r="I19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59149</v>
      </c>
      <c r="J198" s="100">
        <f t="shared" si="14"/>
        <v>5762</v>
      </c>
    </row>
    <row r="199" spans="1:10">
      <c r="A199" s="37">
        <v>2009</v>
      </c>
      <c r="B199" s="37" t="s">
        <v>39</v>
      </c>
      <c r="C199" s="99">
        <f t="shared" ref="C199:C262" si="15">+I199/F199</f>
        <v>0.88879282218597067</v>
      </c>
      <c r="D199" s="99">
        <f t="shared" ref="D199:D262" si="16">+I199/H199</f>
        <v>0.91090416638801575</v>
      </c>
      <c r="E199" s="99">
        <f t="shared" ref="E199:E262" si="17">+H199/F199</f>
        <v>0.97572593800978791</v>
      </c>
      <c r="F19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61300</v>
      </c>
      <c r="G199" s="100">
        <f t="shared" ref="G199:G262" si="18">+F199-H199</f>
        <v>1488</v>
      </c>
      <c r="H19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59812</v>
      </c>
      <c r="I19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54483</v>
      </c>
      <c r="J199" s="100">
        <f t="shared" ref="J199:J262" si="19">+H199-I199</f>
        <v>5329</v>
      </c>
    </row>
    <row r="200" spans="1:10">
      <c r="A200" s="37">
        <v>2009</v>
      </c>
      <c r="B200" s="37" t="s">
        <v>40</v>
      </c>
      <c r="C200" s="99">
        <f t="shared" si="15"/>
        <v>0.86330805616037243</v>
      </c>
      <c r="D200" s="99">
        <f t="shared" si="16"/>
        <v>0.88709901402582969</v>
      </c>
      <c r="E200" s="99">
        <f t="shared" si="17"/>
        <v>0.97318116975748925</v>
      </c>
      <c r="F20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66595</v>
      </c>
      <c r="G200" s="100">
        <f t="shared" si="18"/>
        <v>1786</v>
      </c>
      <c r="H20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64809</v>
      </c>
      <c r="I20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57492</v>
      </c>
      <c r="J200" s="100">
        <f t="shared" si="19"/>
        <v>7317</v>
      </c>
    </row>
    <row r="201" spans="1:10">
      <c r="A201" s="37">
        <v>2009</v>
      </c>
      <c r="B201" s="37" t="s">
        <v>41</v>
      </c>
      <c r="C201" s="99">
        <f t="shared" si="15"/>
        <v>0.85397518920184134</v>
      </c>
      <c r="D201" s="99">
        <f t="shared" si="16"/>
        <v>0.88653998801250589</v>
      </c>
      <c r="E201" s="99">
        <f t="shared" si="17"/>
        <v>0.96326753530467346</v>
      </c>
      <c r="F20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64085</v>
      </c>
      <c r="G201" s="100">
        <f t="shared" si="18"/>
        <v>2354</v>
      </c>
      <c r="H20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61731</v>
      </c>
      <c r="I20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54727</v>
      </c>
      <c r="J201" s="100">
        <f t="shared" si="19"/>
        <v>7004</v>
      </c>
    </row>
    <row r="202" spans="1:10">
      <c r="A202" s="37">
        <v>2009</v>
      </c>
      <c r="B202" s="37" t="s">
        <v>42</v>
      </c>
      <c r="C202" s="99">
        <f t="shared" si="15"/>
        <v>0.85272624209091052</v>
      </c>
      <c r="D202" s="99">
        <f t="shared" si="16"/>
        <v>0.87493712273641855</v>
      </c>
      <c r="E202" s="99">
        <f t="shared" si="17"/>
        <v>0.9746143121964671</v>
      </c>
      <c r="F20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65273</v>
      </c>
      <c r="G202" s="100">
        <f t="shared" si="18"/>
        <v>1657</v>
      </c>
      <c r="H20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63616</v>
      </c>
      <c r="I20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55660</v>
      </c>
      <c r="J202" s="100">
        <f t="shared" si="19"/>
        <v>7956</v>
      </c>
    </row>
    <row r="203" spans="1:10">
      <c r="A203" s="37">
        <v>2009</v>
      </c>
      <c r="B203" s="37" t="s">
        <v>43</v>
      </c>
      <c r="C203" s="99">
        <f t="shared" si="15"/>
        <v>0.85648501113110309</v>
      </c>
      <c r="D203" s="99">
        <f t="shared" si="16"/>
        <v>0.88039372423629725</v>
      </c>
      <c r="E203" s="99">
        <f t="shared" si="17"/>
        <v>0.97284315818364797</v>
      </c>
      <c r="F20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65582</v>
      </c>
      <c r="G203" s="100">
        <f t="shared" si="18"/>
        <v>1781</v>
      </c>
      <c r="H20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I20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56170</v>
      </c>
      <c r="J203" s="100">
        <f t="shared" si="19"/>
        <v>7631</v>
      </c>
    </row>
    <row r="204" spans="1:10">
      <c r="A204" s="37">
        <v>2009</v>
      </c>
      <c r="B204" s="37" t="s">
        <v>44</v>
      </c>
      <c r="C204" s="99">
        <f t="shared" si="15"/>
        <v>0.87533175946155994</v>
      </c>
      <c r="D204" s="99">
        <f t="shared" si="16"/>
        <v>0.90385343326519796</v>
      </c>
      <c r="E204" s="99">
        <f t="shared" si="17"/>
        <v>0.96844435972256848</v>
      </c>
      <c r="F20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68197</v>
      </c>
      <c r="G204" s="100">
        <f t="shared" si="18"/>
        <v>2152</v>
      </c>
      <c r="H20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66045</v>
      </c>
      <c r="I20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59695</v>
      </c>
      <c r="J204" s="100">
        <f t="shared" si="19"/>
        <v>6350</v>
      </c>
    </row>
    <row r="205" spans="1:10">
      <c r="A205" s="37">
        <v>2009</v>
      </c>
      <c r="B205" s="37" t="s">
        <v>45</v>
      </c>
      <c r="C205" s="99">
        <f t="shared" si="15"/>
        <v>0.85876671619613665</v>
      </c>
      <c r="D205" s="99">
        <f t="shared" si="16"/>
        <v>0.87986785616417507</v>
      </c>
      <c r="E205" s="99">
        <f t="shared" si="17"/>
        <v>0.97601783060921243</v>
      </c>
      <c r="F20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67300</v>
      </c>
      <c r="G205" s="100">
        <f t="shared" si="18"/>
        <v>1614</v>
      </c>
      <c r="H20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65686</v>
      </c>
      <c r="I20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57795</v>
      </c>
      <c r="J205" s="100">
        <f t="shared" si="19"/>
        <v>7891</v>
      </c>
    </row>
    <row r="206" spans="1:10">
      <c r="A206" s="37">
        <v>2009</v>
      </c>
      <c r="B206" s="37" t="s">
        <v>46</v>
      </c>
      <c r="C206" s="99">
        <f t="shared" si="15"/>
        <v>0.85690718585122982</v>
      </c>
      <c r="D206" s="99">
        <f t="shared" si="16"/>
        <v>0.8797760009765625</v>
      </c>
      <c r="E206" s="99">
        <f t="shared" si="17"/>
        <v>0.97400609348294565</v>
      </c>
      <c r="F20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67285</v>
      </c>
      <c r="G206" s="100">
        <f t="shared" si="18"/>
        <v>1749</v>
      </c>
      <c r="H20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I20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57657</v>
      </c>
      <c r="J206" s="100">
        <f t="shared" si="19"/>
        <v>7879</v>
      </c>
    </row>
    <row r="207" spans="1:10">
      <c r="A207" s="37">
        <v>2009</v>
      </c>
      <c r="B207" s="37" t="s">
        <v>47</v>
      </c>
      <c r="C207" s="99">
        <f t="shared" si="15"/>
        <v>0.85395974334183</v>
      </c>
      <c r="D207" s="99">
        <f t="shared" si="16"/>
        <v>0.87602001713177946</v>
      </c>
      <c r="E207" s="99">
        <f t="shared" si="17"/>
        <v>0.97481761448536519</v>
      </c>
      <c r="F20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68262</v>
      </c>
      <c r="G207" s="100">
        <f t="shared" si="18"/>
        <v>1719</v>
      </c>
      <c r="H20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66543</v>
      </c>
      <c r="I20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58293</v>
      </c>
      <c r="J207" s="100">
        <f t="shared" si="19"/>
        <v>8250</v>
      </c>
    </row>
    <row r="208" spans="1:10">
      <c r="A208" s="37">
        <v>2009</v>
      </c>
      <c r="B208" s="37" t="s">
        <v>48</v>
      </c>
      <c r="C208" s="99">
        <f t="shared" si="15"/>
        <v>0.86585991489875369</v>
      </c>
      <c r="D208" s="99">
        <f t="shared" si="16"/>
        <v>0.88957787526935062</v>
      </c>
      <c r="E208" s="99">
        <f t="shared" si="17"/>
        <v>0.97333796058786248</v>
      </c>
      <c r="F20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66274</v>
      </c>
      <c r="G208" s="100">
        <f t="shared" si="18"/>
        <v>1767</v>
      </c>
      <c r="H20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64507</v>
      </c>
      <c r="I20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57384</v>
      </c>
      <c r="J208" s="100">
        <f t="shared" si="19"/>
        <v>7123</v>
      </c>
    </row>
    <row r="209" spans="1:10">
      <c r="A209" s="37">
        <v>2009</v>
      </c>
      <c r="B209" s="37" t="s">
        <v>49</v>
      </c>
      <c r="C209" s="99">
        <f t="shared" si="15"/>
        <v>0.85947213032060887</v>
      </c>
      <c r="D209" s="99">
        <f t="shared" si="16"/>
        <v>0.89061587184454083</v>
      </c>
      <c r="E209" s="99">
        <f t="shared" si="17"/>
        <v>0.96503123006394376</v>
      </c>
      <c r="F20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67403</v>
      </c>
      <c r="G209" s="100">
        <f t="shared" si="18"/>
        <v>2357</v>
      </c>
      <c r="H20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65046</v>
      </c>
      <c r="I20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57931</v>
      </c>
      <c r="J209" s="100">
        <f t="shared" si="19"/>
        <v>7115</v>
      </c>
    </row>
    <row r="210" spans="1:10">
      <c r="A210" s="37">
        <v>2010</v>
      </c>
      <c r="B210" s="37" t="s">
        <v>38</v>
      </c>
      <c r="C210" s="99">
        <f t="shared" si="15"/>
        <v>0.86970264399670438</v>
      </c>
      <c r="D210" s="99">
        <f t="shared" si="16"/>
        <v>0.90313297243482049</v>
      </c>
      <c r="E210" s="99">
        <f t="shared" si="17"/>
        <v>0.96298404613886601</v>
      </c>
      <c r="F21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66755</v>
      </c>
      <c r="G210" s="100">
        <f t="shared" si="18"/>
        <v>2471</v>
      </c>
      <c r="H21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64284</v>
      </c>
      <c r="I21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58057</v>
      </c>
      <c r="J210" s="100">
        <f t="shared" si="19"/>
        <v>6227</v>
      </c>
    </row>
    <row r="211" spans="1:10">
      <c r="A211" s="37">
        <v>2010</v>
      </c>
      <c r="B211" s="37" t="s">
        <v>39</v>
      </c>
      <c r="C211" s="99">
        <f t="shared" si="15"/>
        <v>0.85929551162341422</v>
      </c>
      <c r="D211" s="99">
        <f t="shared" si="16"/>
        <v>0.89062421785052814</v>
      </c>
      <c r="E211" s="99">
        <f t="shared" si="17"/>
        <v>0.96482387790585356</v>
      </c>
      <c r="F21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62116</v>
      </c>
      <c r="G211" s="100">
        <f t="shared" si="18"/>
        <v>2185</v>
      </c>
      <c r="H21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59931</v>
      </c>
      <c r="I21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53376</v>
      </c>
      <c r="J211" s="100">
        <f t="shared" si="19"/>
        <v>6555</v>
      </c>
    </row>
    <row r="212" spans="1:10">
      <c r="A212" s="37">
        <v>2010</v>
      </c>
      <c r="B212" s="37" t="s">
        <v>40</v>
      </c>
      <c r="C212" s="99">
        <f t="shared" si="15"/>
        <v>0.85582451492700251</v>
      </c>
      <c r="D212" s="99">
        <f t="shared" si="16"/>
        <v>0.88014011346795806</v>
      </c>
      <c r="E212" s="99">
        <f t="shared" si="17"/>
        <v>0.97237303678257958</v>
      </c>
      <c r="F21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68701</v>
      </c>
      <c r="G212" s="100">
        <f t="shared" si="18"/>
        <v>1898</v>
      </c>
      <c r="H21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66803</v>
      </c>
      <c r="I21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58796</v>
      </c>
      <c r="J212" s="100">
        <f t="shared" si="19"/>
        <v>8007</v>
      </c>
    </row>
    <row r="213" spans="1:10">
      <c r="A213" s="37">
        <v>2010</v>
      </c>
      <c r="B213" s="37" t="s">
        <v>41</v>
      </c>
      <c r="C213" s="99">
        <f t="shared" si="15"/>
        <v>0.84138066822160962</v>
      </c>
      <c r="D213" s="99">
        <f t="shared" si="16"/>
        <v>0.86836839966236279</v>
      </c>
      <c r="E213" s="99">
        <f t="shared" si="17"/>
        <v>0.96892133401993152</v>
      </c>
      <c r="F21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66026</v>
      </c>
      <c r="G213" s="100">
        <f t="shared" si="18"/>
        <v>2052</v>
      </c>
      <c r="H21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63974</v>
      </c>
      <c r="I21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55553</v>
      </c>
      <c r="J213" s="100">
        <f t="shared" si="19"/>
        <v>8421</v>
      </c>
    </row>
    <row r="214" spans="1:10">
      <c r="A214" s="37">
        <v>2010</v>
      </c>
      <c r="B214" s="37" t="s">
        <v>42</v>
      </c>
      <c r="C214" s="99">
        <f t="shared" si="15"/>
        <v>0.83035876889455473</v>
      </c>
      <c r="D214" s="99">
        <f t="shared" si="16"/>
        <v>0.86048596367067709</v>
      </c>
      <c r="E214" s="99">
        <f t="shared" si="17"/>
        <v>0.96498816244764163</v>
      </c>
      <c r="F21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65892</v>
      </c>
      <c r="G214" s="100">
        <f t="shared" si="18"/>
        <v>2307</v>
      </c>
      <c r="H21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63585</v>
      </c>
      <c r="I21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54714</v>
      </c>
      <c r="J214" s="100">
        <f t="shared" si="19"/>
        <v>8871</v>
      </c>
    </row>
    <row r="215" spans="1:10">
      <c r="A215" s="37">
        <v>2010</v>
      </c>
      <c r="B215" s="37" t="s">
        <v>43</v>
      </c>
      <c r="C215" s="99">
        <f t="shared" si="15"/>
        <v>0.84861840225026697</v>
      </c>
      <c r="D215" s="99">
        <f t="shared" si="16"/>
        <v>0.87477710759307215</v>
      </c>
      <c r="E215" s="99">
        <f t="shared" si="17"/>
        <v>0.97009671936342712</v>
      </c>
      <c r="F21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66481</v>
      </c>
      <c r="G215" s="100">
        <f t="shared" si="18"/>
        <v>1988</v>
      </c>
      <c r="H21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64493</v>
      </c>
      <c r="I21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56417</v>
      </c>
      <c r="J215" s="100">
        <f t="shared" si="19"/>
        <v>8076</v>
      </c>
    </row>
    <row r="216" spans="1:10">
      <c r="A216" s="37">
        <v>2010</v>
      </c>
      <c r="B216" s="37" t="s">
        <v>44</v>
      </c>
      <c r="C216" s="99">
        <f t="shared" si="15"/>
        <v>0.86387365842277186</v>
      </c>
      <c r="D216" s="99">
        <f t="shared" si="16"/>
        <v>0.89630077918148121</v>
      </c>
      <c r="E216" s="99">
        <f t="shared" si="17"/>
        <v>0.96382116192253853</v>
      </c>
      <c r="F21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68576</v>
      </c>
      <c r="G216" s="100">
        <f t="shared" si="18"/>
        <v>2481</v>
      </c>
      <c r="H21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66095</v>
      </c>
      <c r="I21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59241</v>
      </c>
      <c r="J216" s="100">
        <f t="shared" si="19"/>
        <v>6854</v>
      </c>
    </row>
    <row r="217" spans="1:10">
      <c r="A217" s="37">
        <v>2010</v>
      </c>
      <c r="B217" s="37" t="s">
        <v>45</v>
      </c>
      <c r="C217" s="99">
        <f t="shared" si="15"/>
        <v>0.87273770636532177</v>
      </c>
      <c r="D217" s="99">
        <f t="shared" si="16"/>
        <v>0.8967524417163073</v>
      </c>
      <c r="E217" s="99">
        <f t="shared" si="17"/>
        <v>0.97322032900738653</v>
      </c>
      <c r="F21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67962</v>
      </c>
      <c r="G217" s="100">
        <f t="shared" si="18"/>
        <v>1820</v>
      </c>
      <c r="H21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66142</v>
      </c>
      <c r="I21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59313</v>
      </c>
      <c r="J217" s="100">
        <f t="shared" si="19"/>
        <v>6829</v>
      </c>
    </row>
    <row r="218" spans="1:10">
      <c r="A218" s="37">
        <v>2010</v>
      </c>
      <c r="B218" s="37" t="s">
        <v>46</v>
      </c>
      <c r="C218" s="99">
        <f t="shared" si="15"/>
        <v>0.86565084635223666</v>
      </c>
      <c r="D218" s="99">
        <f t="shared" si="16"/>
        <v>0.89194679047604497</v>
      </c>
      <c r="E218" s="99">
        <f t="shared" si="17"/>
        <v>0.9705184833842232</v>
      </c>
      <c r="F21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67466</v>
      </c>
      <c r="G218" s="100">
        <f t="shared" si="18"/>
        <v>1989</v>
      </c>
      <c r="H21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65477</v>
      </c>
      <c r="I21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58402</v>
      </c>
      <c r="J218" s="100">
        <f t="shared" si="19"/>
        <v>7075</v>
      </c>
    </row>
    <row r="219" spans="1:10">
      <c r="A219" s="37">
        <v>2010</v>
      </c>
      <c r="B219" s="37" t="s">
        <v>47</v>
      </c>
      <c r="C219" s="99">
        <f t="shared" si="15"/>
        <v>0.86657254854842825</v>
      </c>
      <c r="D219" s="99">
        <f t="shared" si="16"/>
        <v>0.903834706601084</v>
      </c>
      <c r="E219" s="99">
        <f t="shared" si="17"/>
        <v>0.95877326044185451</v>
      </c>
      <c r="F21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66583</v>
      </c>
      <c r="G219" s="100">
        <f t="shared" si="18"/>
        <v>2745</v>
      </c>
      <c r="H21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63838</v>
      </c>
      <c r="I21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57699</v>
      </c>
      <c r="J219" s="100">
        <f t="shared" si="19"/>
        <v>6139</v>
      </c>
    </row>
    <row r="220" spans="1:10">
      <c r="A220" s="37">
        <v>2010</v>
      </c>
      <c r="B220" s="37" t="s">
        <v>48</v>
      </c>
      <c r="C220" s="99">
        <f t="shared" si="15"/>
        <v>0.85578079884504332</v>
      </c>
      <c r="D220" s="99">
        <f t="shared" si="16"/>
        <v>0.88688361074745958</v>
      </c>
      <c r="E220" s="99">
        <f t="shared" si="17"/>
        <v>0.9649302213666987</v>
      </c>
      <c r="F22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66496</v>
      </c>
      <c r="G220" s="100">
        <f t="shared" si="18"/>
        <v>2332</v>
      </c>
      <c r="H22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64164</v>
      </c>
      <c r="I22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56906</v>
      </c>
      <c r="J220" s="100">
        <f t="shared" si="19"/>
        <v>7258</v>
      </c>
    </row>
    <row r="221" spans="1:10">
      <c r="A221" s="37">
        <v>2010</v>
      </c>
      <c r="B221" s="37" t="s">
        <v>49</v>
      </c>
      <c r="C221" s="99">
        <f t="shared" si="15"/>
        <v>0.81774803521834194</v>
      </c>
      <c r="D221" s="99">
        <f t="shared" si="16"/>
        <v>0.87757819807536819</v>
      </c>
      <c r="E221" s="99">
        <f t="shared" si="17"/>
        <v>0.93182355374342607</v>
      </c>
      <c r="F22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67692</v>
      </c>
      <c r="G221" s="100">
        <f t="shared" si="18"/>
        <v>4615</v>
      </c>
      <c r="H22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63077</v>
      </c>
      <c r="I22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55355</v>
      </c>
      <c r="J221" s="100">
        <f t="shared" si="19"/>
        <v>7722</v>
      </c>
    </row>
    <row r="222" spans="1:10">
      <c r="A222" s="37">
        <v>2011</v>
      </c>
      <c r="B222" s="37" t="s">
        <v>38</v>
      </c>
      <c r="C222" s="99">
        <f t="shared" si="15"/>
        <v>0.7769652921981608</v>
      </c>
      <c r="D222" s="99">
        <f t="shared" si="16"/>
        <v>0.82871381110583764</v>
      </c>
      <c r="E222" s="99">
        <f t="shared" si="17"/>
        <v>0.93755562147730642</v>
      </c>
      <c r="F22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67420</v>
      </c>
      <c r="G222" s="100">
        <f t="shared" si="18"/>
        <v>4210</v>
      </c>
      <c r="H22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63210</v>
      </c>
      <c r="I22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52383</v>
      </c>
      <c r="J222" s="100">
        <f t="shared" si="19"/>
        <v>10827</v>
      </c>
    </row>
    <row r="223" spans="1:10">
      <c r="A223" s="37">
        <v>2011</v>
      </c>
      <c r="B223" s="37" t="s">
        <v>39</v>
      </c>
      <c r="C223" s="99">
        <f t="shared" si="15"/>
        <v>0.76130604913721212</v>
      </c>
      <c r="D223" s="99">
        <f t="shared" si="16"/>
        <v>0.82235349143381775</v>
      </c>
      <c r="E223" s="99">
        <f t="shared" si="17"/>
        <v>0.92576496247353901</v>
      </c>
      <c r="F22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62356</v>
      </c>
      <c r="G223" s="100">
        <f t="shared" si="18"/>
        <v>4629</v>
      </c>
      <c r="H22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57727</v>
      </c>
      <c r="I22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47472</v>
      </c>
      <c r="J223" s="100">
        <f t="shared" si="19"/>
        <v>10255</v>
      </c>
    </row>
    <row r="224" spans="1:10">
      <c r="A224" s="37">
        <v>2011</v>
      </c>
      <c r="B224" s="37" t="s">
        <v>40</v>
      </c>
      <c r="C224" s="99">
        <f t="shared" si="15"/>
        <v>0.77045581845981503</v>
      </c>
      <c r="D224" s="99">
        <f t="shared" si="16"/>
        <v>0.81899520453155672</v>
      </c>
      <c r="E224" s="99">
        <f t="shared" si="17"/>
        <v>0.94073300331531862</v>
      </c>
      <c r="F22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66057</v>
      </c>
      <c r="G224" s="100">
        <f t="shared" si="18"/>
        <v>3915</v>
      </c>
      <c r="H22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62142</v>
      </c>
      <c r="I22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50894</v>
      </c>
      <c r="J224" s="100">
        <f t="shared" si="19"/>
        <v>11248</v>
      </c>
    </row>
    <row r="225" spans="1:10">
      <c r="A225" s="37">
        <v>2011</v>
      </c>
      <c r="B225" s="37" t="s">
        <v>41</v>
      </c>
      <c r="C225" s="99">
        <f t="shared" si="15"/>
        <v>0.68044836457184854</v>
      </c>
      <c r="D225" s="99">
        <f t="shared" si="16"/>
        <v>0.73461290482567076</v>
      </c>
      <c r="E225" s="99">
        <f t="shared" si="17"/>
        <v>0.92626791620727678</v>
      </c>
      <c r="F22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65304</v>
      </c>
      <c r="G225" s="100">
        <f t="shared" si="18"/>
        <v>4815</v>
      </c>
      <c r="H22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60489</v>
      </c>
      <c r="I22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44436</v>
      </c>
      <c r="J225" s="100">
        <f t="shared" si="19"/>
        <v>16053</v>
      </c>
    </row>
    <row r="226" spans="1:10">
      <c r="A226" s="37">
        <v>2011</v>
      </c>
      <c r="B226" s="37" t="s">
        <v>42</v>
      </c>
      <c r="C226" s="99">
        <f t="shared" si="15"/>
        <v>0.72607678384861019</v>
      </c>
      <c r="D226" s="99">
        <f t="shared" si="16"/>
        <v>0.77337345809626812</v>
      </c>
      <c r="E226" s="99">
        <f t="shared" si="17"/>
        <v>0.93884368056270873</v>
      </c>
      <c r="F22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67957</v>
      </c>
      <c r="G226" s="100">
        <f t="shared" si="18"/>
        <v>4156</v>
      </c>
      <c r="H22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I22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49342</v>
      </c>
      <c r="J226" s="100">
        <f t="shared" si="19"/>
        <v>14459</v>
      </c>
    </row>
    <row r="227" spans="1:10">
      <c r="A227" s="37">
        <v>2011</v>
      </c>
      <c r="B227" s="37" t="s">
        <v>43</v>
      </c>
      <c r="C227" s="99">
        <f t="shared" si="15"/>
        <v>0.76990034818105413</v>
      </c>
      <c r="D227" s="99">
        <f t="shared" si="16"/>
        <v>0.80423910828225187</v>
      </c>
      <c r="E227" s="99">
        <f t="shared" si="17"/>
        <v>0.95730279745467639</v>
      </c>
      <c r="F22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66632</v>
      </c>
      <c r="G227" s="100">
        <f t="shared" si="18"/>
        <v>2845</v>
      </c>
      <c r="H22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63787</v>
      </c>
      <c r="I22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51300</v>
      </c>
      <c r="J227" s="100">
        <f t="shared" si="19"/>
        <v>12487</v>
      </c>
    </row>
    <row r="228" spans="1:10">
      <c r="A228" s="37">
        <v>2011</v>
      </c>
      <c r="B228" s="37" t="s">
        <v>44</v>
      </c>
      <c r="C228" s="99">
        <f t="shared" si="15"/>
        <v>0.77454050573636146</v>
      </c>
      <c r="D228" s="99">
        <f t="shared" si="16"/>
        <v>0.82433653127336159</v>
      </c>
      <c r="E228" s="99">
        <f t="shared" si="17"/>
        <v>0.93959260126434085</v>
      </c>
      <c r="F22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68336</v>
      </c>
      <c r="G228" s="100">
        <f t="shared" si="18"/>
        <v>4128</v>
      </c>
      <c r="H22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64208</v>
      </c>
      <c r="I22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52929</v>
      </c>
      <c r="J228" s="100">
        <f t="shared" si="19"/>
        <v>11279</v>
      </c>
    </row>
    <row r="229" spans="1:10">
      <c r="A229" s="37">
        <v>2011</v>
      </c>
      <c r="B229" s="37" t="s">
        <v>45</v>
      </c>
      <c r="C229" s="99">
        <f t="shared" si="15"/>
        <v>0.80288600288600287</v>
      </c>
      <c r="D229" s="99">
        <f t="shared" si="16"/>
        <v>0.84538713990519021</v>
      </c>
      <c r="E229" s="99">
        <f t="shared" si="17"/>
        <v>0.94972582972582975</v>
      </c>
      <c r="F22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69300</v>
      </c>
      <c r="G229" s="100">
        <f t="shared" si="18"/>
        <v>3484</v>
      </c>
      <c r="H22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65816</v>
      </c>
      <c r="I22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55640</v>
      </c>
      <c r="J229" s="100">
        <f t="shared" si="19"/>
        <v>10176</v>
      </c>
    </row>
    <row r="230" spans="1:10">
      <c r="A230" s="37">
        <v>2011</v>
      </c>
      <c r="B230" s="37" t="s">
        <v>46</v>
      </c>
      <c r="C230" s="99">
        <f t="shared" si="15"/>
        <v>0.8224151655414369</v>
      </c>
      <c r="D230" s="99">
        <f t="shared" si="16"/>
        <v>0.87170713415205769</v>
      </c>
      <c r="E230" s="99">
        <f t="shared" si="17"/>
        <v>0.94345352162504792</v>
      </c>
      <c r="F23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67838</v>
      </c>
      <c r="G230" s="100">
        <f t="shared" si="18"/>
        <v>3836</v>
      </c>
      <c r="H23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64002</v>
      </c>
      <c r="I23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55791</v>
      </c>
      <c r="J230" s="100">
        <f t="shared" si="19"/>
        <v>8211</v>
      </c>
    </row>
    <row r="231" spans="1:10">
      <c r="A231" s="37">
        <v>2011</v>
      </c>
      <c r="B231" s="37" t="s">
        <v>47</v>
      </c>
      <c r="C231" s="99">
        <f t="shared" si="15"/>
        <v>0.82462549161130672</v>
      </c>
      <c r="D231" s="99">
        <f t="shared" si="16"/>
        <v>0.86205940777012979</v>
      </c>
      <c r="E231" s="99">
        <f t="shared" si="17"/>
        <v>0.95657617581640619</v>
      </c>
      <c r="F23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67889</v>
      </c>
      <c r="G231" s="100">
        <f t="shared" si="18"/>
        <v>2948</v>
      </c>
      <c r="H23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64941</v>
      </c>
      <c r="I23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55983</v>
      </c>
      <c r="J231" s="100">
        <f t="shared" si="19"/>
        <v>8958</v>
      </c>
    </row>
    <row r="232" spans="1:10">
      <c r="A232" s="37">
        <v>2011</v>
      </c>
      <c r="B232" s="37" t="s">
        <v>48</v>
      </c>
      <c r="C232" s="99">
        <f t="shared" si="15"/>
        <v>0.8168439000314085</v>
      </c>
      <c r="D232" s="99">
        <f t="shared" si="16"/>
        <v>0.85716303597212629</v>
      </c>
      <c r="E232" s="99">
        <f t="shared" si="17"/>
        <v>0.95296211543351128</v>
      </c>
      <c r="F23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66861</v>
      </c>
      <c r="G232" s="100">
        <f t="shared" si="18"/>
        <v>3145</v>
      </c>
      <c r="H23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63716</v>
      </c>
      <c r="I23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54615</v>
      </c>
      <c r="J232" s="100">
        <f t="shared" si="19"/>
        <v>9101</v>
      </c>
    </row>
    <row r="233" spans="1:10">
      <c r="A233" s="37">
        <v>2011</v>
      </c>
      <c r="B233" s="37" t="s">
        <v>49</v>
      </c>
      <c r="C233" s="99">
        <f t="shared" si="15"/>
        <v>0.81082967098230196</v>
      </c>
      <c r="D233" s="99">
        <f t="shared" si="16"/>
        <v>0.85720788597978281</v>
      </c>
      <c r="E233" s="99">
        <f t="shared" si="17"/>
        <v>0.94589618719562896</v>
      </c>
      <c r="F23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67352</v>
      </c>
      <c r="G233" s="100">
        <f t="shared" si="18"/>
        <v>3644</v>
      </c>
      <c r="H23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63708</v>
      </c>
      <c r="I23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54611</v>
      </c>
      <c r="J233" s="100">
        <f t="shared" si="19"/>
        <v>9097</v>
      </c>
    </row>
    <row r="234" spans="1:10">
      <c r="A234" s="37">
        <v>2012</v>
      </c>
      <c r="B234" s="37" t="s">
        <v>38</v>
      </c>
      <c r="C234" s="99">
        <f t="shared" si="15"/>
        <v>0.81716987995634771</v>
      </c>
      <c r="D234" s="99">
        <f t="shared" si="16"/>
        <v>0.86670679198111023</v>
      </c>
      <c r="E234" s="99">
        <f t="shared" si="17"/>
        <v>0.94284467078937795</v>
      </c>
      <c r="F23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68725</v>
      </c>
      <c r="G234" s="100">
        <f t="shared" si="18"/>
        <v>3928</v>
      </c>
      <c r="H23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64797</v>
      </c>
      <c r="I23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56160</v>
      </c>
      <c r="J234" s="100">
        <f t="shared" si="19"/>
        <v>8637</v>
      </c>
    </row>
    <row r="235" spans="1:10">
      <c r="A235" s="37">
        <v>2012</v>
      </c>
      <c r="B235" s="37" t="s">
        <v>39</v>
      </c>
      <c r="C235" s="99">
        <f t="shared" si="15"/>
        <v>0.76632390745501289</v>
      </c>
      <c r="D235" s="99">
        <f t="shared" si="16"/>
        <v>0.81870301074530538</v>
      </c>
      <c r="E235" s="99">
        <f t="shared" si="17"/>
        <v>0.93602185089974288</v>
      </c>
      <c r="F23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62240</v>
      </c>
      <c r="G235" s="100">
        <f t="shared" si="18"/>
        <v>3982</v>
      </c>
      <c r="H23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58258</v>
      </c>
      <c r="I23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47696</v>
      </c>
      <c r="J235" s="100">
        <f t="shared" si="19"/>
        <v>10562</v>
      </c>
    </row>
    <row r="236" spans="1:10">
      <c r="A236" s="37">
        <v>2012</v>
      </c>
      <c r="B236" s="37" t="s">
        <v>40</v>
      </c>
      <c r="C236" s="99">
        <f t="shared" si="15"/>
        <v>0.71806047006702911</v>
      </c>
      <c r="D236" s="99">
        <f t="shared" si="16"/>
        <v>0.78576150601271799</v>
      </c>
      <c r="E236" s="99">
        <f t="shared" si="17"/>
        <v>0.91384022323868708</v>
      </c>
      <c r="F23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69522</v>
      </c>
      <c r="G236" s="100">
        <f t="shared" si="18"/>
        <v>5990</v>
      </c>
      <c r="H23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63532</v>
      </c>
      <c r="I23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49921</v>
      </c>
      <c r="J236" s="100">
        <f t="shared" si="19"/>
        <v>13611</v>
      </c>
    </row>
    <row r="237" spans="1:10">
      <c r="A237" s="37">
        <v>2012</v>
      </c>
      <c r="B237" s="37" t="s">
        <v>41</v>
      </c>
      <c r="C237" s="99">
        <f t="shared" si="15"/>
        <v>0.6997449099359927</v>
      </c>
      <c r="D237" s="99">
        <f t="shared" si="16"/>
        <v>0.78897868435911911</v>
      </c>
      <c r="E237" s="99">
        <f t="shared" si="17"/>
        <v>0.88689963849199516</v>
      </c>
      <c r="F23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63899</v>
      </c>
      <c r="G237" s="100">
        <f t="shared" si="18"/>
        <v>7227</v>
      </c>
      <c r="H23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56672</v>
      </c>
      <c r="I23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44713</v>
      </c>
      <c r="J237" s="100">
        <f t="shared" si="19"/>
        <v>11959</v>
      </c>
    </row>
    <row r="238" spans="1:10">
      <c r="A238" s="37">
        <v>2012</v>
      </c>
      <c r="B238" s="37" t="s">
        <v>42</v>
      </c>
      <c r="C238" s="99">
        <f t="shared" si="15"/>
        <v>0.69417702316354513</v>
      </c>
      <c r="D238" s="99">
        <f t="shared" si="16"/>
        <v>0.7659252583126791</v>
      </c>
      <c r="E238" s="99">
        <f t="shared" si="17"/>
        <v>0.90632475640352417</v>
      </c>
      <c r="F23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68556</v>
      </c>
      <c r="G238" s="100">
        <f t="shared" si="18"/>
        <v>6422</v>
      </c>
      <c r="H23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62134</v>
      </c>
      <c r="I23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47590</v>
      </c>
      <c r="J238" s="100">
        <f t="shared" si="19"/>
        <v>14544</v>
      </c>
    </row>
    <row r="239" spans="1:10">
      <c r="A239" s="37">
        <v>2012</v>
      </c>
      <c r="B239" s="37" t="s">
        <v>43</v>
      </c>
      <c r="C239" s="99">
        <f t="shared" si="15"/>
        <v>0.7286220247921481</v>
      </c>
      <c r="D239" s="99">
        <f t="shared" si="16"/>
        <v>0.78608552045723168</v>
      </c>
      <c r="E239" s="99">
        <f t="shared" si="17"/>
        <v>0.9268991805984933</v>
      </c>
      <c r="F23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66634</v>
      </c>
      <c r="G239" s="100">
        <f t="shared" si="18"/>
        <v>4871</v>
      </c>
      <c r="H23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I23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48551</v>
      </c>
      <c r="J239" s="100">
        <f t="shared" si="19"/>
        <v>13212</v>
      </c>
    </row>
    <row r="240" spans="1:10">
      <c r="A240" s="37">
        <v>2012</v>
      </c>
      <c r="B240" s="37" t="s">
        <v>44</v>
      </c>
      <c r="C240" s="99">
        <f t="shared" si="15"/>
        <v>0.73888880785331912</v>
      </c>
      <c r="D240" s="99">
        <f t="shared" si="16"/>
        <v>0.80769169443691502</v>
      </c>
      <c r="E240" s="99">
        <f t="shared" si="17"/>
        <v>0.91481540907565972</v>
      </c>
      <c r="F24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68557</v>
      </c>
      <c r="G240" s="100">
        <f t="shared" si="18"/>
        <v>5840</v>
      </c>
      <c r="H24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62717</v>
      </c>
      <c r="I24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50656</v>
      </c>
      <c r="J240" s="100">
        <f t="shared" si="19"/>
        <v>12061</v>
      </c>
    </row>
    <row r="241" spans="1:10">
      <c r="A241" s="37">
        <v>2012</v>
      </c>
      <c r="B241" s="37" t="s">
        <v>45</v>
      </c>
      <c r="C241" s="99">
        <f t="shared" si="15"/>
        <v>0.66708351300848068</v>
      </c>
      <c r="D241" s="99">
        <f t="shared" si="16"/>
        <v>0.76700216503875585</v>
      </c>
      <c r="E241" s="99">
        <f t="shared" si="17"/>
        <v>0.86972833117723158</v>
      </c>
      <c r="F24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69570</v>
      </c>
      <c r="G241" s="100">
        <f t="shared" si="18"/>
        <v>9063</v>
      </c>
      <c r="H24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60507</v>
      </c>
      <c r="I24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46409</v>
      </c>
      <c r="J241" s="100">
        <f t="shared" si="19"/>
        <v>14098</v>
      </c>
    </row>
    <row r="242" spans="1:10">
      <c r="A242" s="37">
        <v>2012</v>
      </c>
      <c r="B242" s="37" t="s">
        <v>46</v>
      </c>
      <c r="C242" s="99">
        <f t="shared" si="15"/>
        <v>0.62049751849709223</v>
      </c>
      <c r="D242" s="99">
        <f t="shared" si="16"/>
        <v>0.73249105907301904</v>
      </c>
      <c r="E242" s="99">
        <f t="shared" si="17"/>
        <v>0.84710592820387909</v>
      </c>
      <c r="F24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65686</v>
      </c>
      <c r="G242" s="100">
        <f t="shared" si="18"/>
        <v>10043</v>
      </c>
      <c r="H24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55643</v>
      </c>
      <c r="I24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40758</v>
      </c>
      <c r="J242" s="100">
        <f t="shared" si="19"/>
        <v>14885</v>
      </c>
    </row>
    <row r="243" spans="1:10">
      <c r="A243" s="37">
        <v>2012</v>
      </c>
      <c r="B243" s="37" t="s">
        <v>47</v>
      </c>
      <c r="C243" s="99">
        <f t="shared" si="15"/>
        <v>0.63351447712700193</v>
      </c>
      <c r="D243" s="99">
        <f t="shared" si="16"/>
        <v>0.73418860379873374</v>
      </c>
      <c r="E243" s="99">
        <f t="shared" si="17"/>
        <v>0.86287702349118722</v>
      </c>
      <c r="F24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69558</v>
      </c>
      <c r="G243" s="100">
        <f t="shared" si="18"/>
        <v>9538</v>
      </c>
      <c r="H24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60020</v>
      </c>
      <c r="I24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44066</v>
      </c>
      <c r="J243" s="100">
        <f t="shared" si="19"/>
        <v>15954</v>
      </c>
    </row>
    <row r="244" spans="1:10">
      <c r="A244" s="37">
        <v>2012</v>
      </c>
      <c r="B244" s="37" t="s">
        <v>48</v>
      </c>
      <c r="C244" s="99">
        <f t="shared" si="15"/>
        <v>0.57755293626786275</v>
      </c>
      <c r="D244" s="99">
        <f t="shared" si="16"/>
        <v>0.71049640709781492</v>
      </c>
      <c r="E244" s="99">
        <f t="shared" si="17"/>
        <v>0.81288649808520463</v>
      </c>
      <c r="F24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67109</v>
      </c>
      <c r="G244" s="100">
        <f t="shared" si="18"/>
        <v>12557</v>
      </c>
      <c r="H24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54552</v>
      </c>
      <c r="I24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38759</v>
      </c>
      <c r="J244" s="100">
        <f t="shared" si="19"/>
        <v>15793</v>
      </c>
    </row>
    <row r="245" spans="1:10">
      <c r="A245" s="37">
        <v>2012</v>
      </c>
      <c r="B245" s="37" t="s">
        <v>49</v>
      </c>
      <c r="C245" s="99">
        <f t="shared" si="15"/>
        <v>0.61317655727135967</v>
      </c>
      <c r="D245" s="99">
        <f t="shared" si="16"/>
        <v>0.73177255074375325</v>
      </c>
      <c r="E245" s="99">
        <f t="shared" si="17"/>
        <v>0.83793325760599269</v>
      </c>
      <c r="F24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65146</v>
      </c>
      <c r="G245" s="100">
        <f t="shared" si="18"/>
        <v>10558</v>
      </c>
      <c r="H24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54588</v>
      </c>
      <c r="I24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39946</v>
      </c>
      <c r="J245" s="100">
        <f t="shared" si="19"/>
        <v>14642</v>
      </c>
    </row>
    <row r="246" spans="1:10">
      <c r="A246" s="37">
        <v>2013</v>
      </c>
      <c r="B246" s="37" t="s">
        <v>38</v>
      </c>
      <c r="C246" s="99">
        <f t="shared" si="15"/>
        <v>0.69106854654526628</v>
      </c>
      <c r="D246" s="99">
        <f t="shared" si="16"/>
        <v>0.80053618357232303</v>
      </c>
      <c r="E246" s="99">
        <f t="shared" si="17"/>
        <v>0.86325710283504364</v>
      </c>
      <c r="F24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65678</v>
      </c>
      <c r="G246" s="100">
        <f t="shared" si="18"/>
        <v>8981</v>
      </c>
      <c r="H24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56697</v>
      </c>
      <c r="I24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45388</v>
      </c>
      <c r="J246" s="100">
        <f t="shared" si="19"/>
        <v>11309</v>
      </c>
    </row>
    <row r="247" spans="1:10">
      <c r="A247" s="37">
        <v>2013</v>
      </c>
      <c r="B247" s="37" t="s">
        <v>39</v>
      </c>
      <c r="C247" s="99">
        <f t="shared" si="15"/>
        <v>0.65659227113039886</v>
      </c>
      <c r="D247" s="99">
        <f t="shared" si="16"/>
        <v>0.75941122574991038</v>
      </c>
      <c r="E247" s="99">
        <f t="shared" si="17"/>
        <v>0.86460701246814076</v>
      </c>
      <c r="F24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58068</v>
      </c>
      <c r="G247" s="100">
        <f t="shared" si="18"/>
        <v>7862</v>
      </c>
      <c r="H24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50206</v>
      </c>
      <c r="I24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38127</v>
      </c>
      <c r="J247" s="100">
        <f t="shared" si="19"/>
        <v>12079</v>
      </c>
    </row>
    <row r="248" spans="1:10">
      <c r="A248" s="37">
        <v>2013</v>
      </c>
      <c r="B248" s="37" t="s">
        <v>40</v>
      </c>
      <c r="C248" s="99">
        <f t="shared" si="15"/>
        <v>0.62436292611468858</v>
      </c>
      <c r="D248" s="99">
        <f t="shared" si="16"/>
        <v>0.72422032638323486</v>
      </c>
      <c r="E248" s="99">
        <f t="shared" si="17"/>
        <v>0.86211737418744472</v>
      </c>
      <c r="F24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G248" s="100">
        <f t="shared" si="18"/>
        <v>9036</v>
      </c>
      <c r="H24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56498</v>
      </c>
      <c r="I24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40917</v>
      </c>
      <c r="J248" s="100">
        <f t="shared" si="19"/>
        <v>15581</v>
      </c>
    </row>
    <row r="249" spans="1:10">
      <c r="A249" s="37">
        <v>2013</v>
      </c>
      <c r="B249" s="37" t="s">
        <v>41</v>
      </c>
      <c r="C249" s="99">
        <f t="shared" si="15"/>
        <v>0.64971760634651166</v>
      </c>
      <c r="D249" s="99">
        <f t="shared" si="16"/>
        <v>0.76576628573627303</v>
      </c>
      <c r="E249" s="99">
        <f t="shared" si="17"/>
        <v>0.8484541804054716</v>
      </c>
      <c r="F24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61262</v>
      </c>
      <c r="G249" s="100">
        <f t="shared" si="18"/>
        <v>9284</v>
      </c>
      <c r="H24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51978</v>
      </c>
      <c r="I24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39803</v>
      </c>
      <c r="J249" s="100">
        <f t="shared" si="19"/>
        <v>12175</v>
      </c>
    </row>
    <row r="250" spans="1:10">
      <c r="A250" s="37">
        <v>2013</v>
      </c>
      <c r="B250" s="37" t="s">
        <v>42</v>
      </c>
      <c r="C250" s="99">
        <f t="shared" si="15"/>
        <v>0.70662633154185306</v>
      </c>
      <c r="D250" s="99">
        <f t="shared" si="16"/>
        <v>0.81231964483906771</v>
      </c>
      <c r="E250" s="99">
        <f t="shared" si="17"/>
        <v>0.86988704019566832</v>
      </c>
      <c r="F25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62146</v>
      </c>
      <c r="G250" s="100">
        <f t="shared" si="18"/>
        <v>8086</v>
      </c>
      <c r="H25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54060</v>
      </c>
      <c r="I25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43914</v>
      </c>
      <c r="J250" s="100">
        <f t="shared" si="19"/>
        <v>10146</v>
      </c>
    </row>
    <row r="251" spans="1:10">
      <c r="A251" s="37">
        <v>2013</v>
      </c>
      <c r="B251" s="37" t="s">
        <v>43</v>
      </c>
      <c r="C251" s="99">
        <f t="shared" si="15"/>
        <v>0.66987074958375525</v>
      </c>
      <c r="D251" s="99">
        <f t="shared" si="16"/>
        <v>0.79237391374969546</v>
      </c>
      <c r="E251" s="99">
        <f t="shared" si="17"/>
        <v>0.84539727767383577</v>
      </c>
      <c r="F25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58259</v>
      </c>
      <c r="G251" s="100">
        <f t="shared" si="18"/>
        <v>9007</v>
      </c>
      <c r="H25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49252</v>
      </c>
      <c r="I25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39026</v>
      </c>
      <c r="J251" s="100">
        <f t="shared" si="19"/>
        <v>10226</v>
      </c>
    </row>
    <row r="252" spans="1:10">
      <c r="A252" s="37">
        <v>2013</v>
      </c>
      <c r="B252" s="37" t="s">
        <v>44</v>
      </c>
      <c r="C252" s="99">
        <f t="shared" si="15"/>
        <v>0.61044744923388583</v>
      </c>
      <c r="D252" s="99">
        <f t="shared" si="16"/>
        <v>0.7315325035644098</v>
      </c>
      <c r="E252" s="99">
        <f t="shared" si="17"/>
        <v>0.83447754714857625</v>
      </c>
      <c r="F25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62197</v>
      </c>
      <c r="G252" s="100">
        <f t="shared" si="18"/>
        <v>10295</v>
      </c>
      <c r="H25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51902</v>
      </c>
      <c r="I25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37968</v>
      </c>
      <c r="J252" s="100">
        <f t="shared" si="19"/>
        <v>13934</v>
      </c>
    </row>
    <row r="253" spans="1:10">
      <c r="A253" s="37">
        <v>2013</v>
      </c>
      <c r="B253" s="37" t="s">
        <v>45</v>
      </c>
      <c r="C253" s="99">
        <f t="shared" si="15"/>
        <v>0.60220115576910593</v>
      </c>
      <c r="D253" s="99">
        <f t="shared" si="16"/>
        <v>0.71402725383016397</v>
      </c>
      <c r="E253" s="99">
        <f t="shared" si="17"/>
        <v>0.84338679306538533</v>
      </c>
      <c r="F25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61604</v>
      </c>
      <c r="G253" s="100">
        <f t="shared" si="18"/>
        <v>9648</v>
      </c>
      <c r="H25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51956</v>
      </c>
      <c r="I25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37098</v>
      </c>
      <c r="J253" s="100">
        <f t="shared" si="19"/>
        <v>14858</v>
      </c>
    </row>
    <row r="254" spans="1:10">
      <c r="A254" s="37">
        <v>2013</v>
      </c>
      <c r="B254" s="37" t="s">
        <v>46</v>
      </c>
      <c r="C254" s="99">
        <f t="shared" si="15"/>
        <v>0.60735709095824675</v>
      </c>
      <c r="D254" s="99">
        <f t="shared" si="16"/>
        <v>0.72963481720561074</v>
      </c>
      <c r="E254" s="99">
        <f t="shared" si="17"/>
        <v>0.83241242966492623</v>
      </c>
      <c r="F25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59181</v>
      </c>
      <c r="G254" s="100">
        <f t="shared" si="18"/>
        <v>9918</v>
      </c>
      <c r="H25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49263</v>
      </c>
      <c r="I25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35944</v>
      </c>
      <c r="J254" s="100">
        <f t="shared" si="19"/>
        <v>13319</v>
      </c>
    </row>
    <row r="255" spans="1:10">
      <c r="A255" s="37">
        <v>2013</v>
      </c>
      <c r="B255" s="37" t="s">
        <v>47</v>
      </c>
      <c r="C255" s="99">
        <f t="shared" si="15"/>
        <v>0.61000924379287413</v>
      </c>
      <c r="D255" s="99">
        <f t="shared" si="16"/>
        <v>0.7177613250391176</v>
      </c>
      <c r="E255" s="99">
        <f t="shared" si="17"/>
        <v>0.84987756028736838</v>
      </c>
      <c r="F25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61663</v>
      </c>
      <c r="G255" s="100">
        <f t="shared" si="18"/>
        <v>9257</v>
      </c>
      <c r="H25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52406</v>
      </c>
      <c r="I25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37615</v>
      </c>
      <c r="J255" s="100">
        <f t="shared" si="19"/>
        <v>14791</v>
      </c>
    </row>
    <row r="256" spans="1:10">
      <c r="A256" s="37">
        <v>2013</v>
      </c>
      <c r="B256" s="37" t="s">
        <v>48</v>
      </c>
      <c r="C256" s="99">
        <f t="shared" si="15"/>
        <v>0.55163217769976036</v>
      </c>
      <c r="D256" s="99">
        <f t="shared" si="16"/>
        <v>0.65518623952527966</v>
      </c>
      <c r="E256" s="99">
        <f t="shared" si="17"/>
        <v>0.84194713567160651</v>
      </c>
      <c r="F25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59246</v>
      </c>
      <c r="G256" s="100">
        <f t="shared" si="18"/>
        <v>9364</v>
      </c>
      <c r="H25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49882</v>
      </c>
      <c r="I25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32682</v>
      </c>
      <c r="J256" s="100">
        <f t="shared" si="19"/>
        <v>17200</v>
      </c>
    </row>
    <row r="257" spans="1:10">
      <c r="A257" s="37">
        <v>2013</v>
      </c>
      <c r="B257" s="37" t="s">
        <v>49</v>
      </c>
      <c r="C257" s="99">
        <f t="shared" si="15"/>
        <v>0.59935924601223878</v>
      </c>
      <c r="D257" s="99">
        <f t="shared" si="16"/>
        <v>0.71743364986608227</v>
      </c>
      <c r="E257" s="99">
        <f t="shared" si="17"/>
        <v>0.83542115166206155</v>
      </c>
      <c r="F25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58993</v>
      </c>
      <c r="G257" s="100">
        <f t="shared" si="18"/>
        <v>9709</v>
      </c>
      <c r="H25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49284</v>
      </c>
      <c r="I25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35358</v>
      </c>
      <c r="J257" s="100">
        <f t="shared" si="19"/>
        <v>13926</v>
      </c>
    </row>
    <row r="258" spans="1:10">
      <c r="A258" s="37">
        <v>2014</v>
      </c>
      <c r="B258" s="37" t="s">
        <v>38</v>
      </c>
      <c r="C258" s="99">
        <f t="shared" si="15"/>
        <v>0.70952851400149897</v>
      </c>
      <c r="D258" s="99">
        <f t="shared" si="16"/>
        <v>0.80850526969585212</v>
      </c>
      <c r="E258" s="99">
        <f t="shared" si="17"/>
        <v>0.87758056823601549</v>
      </c>
      <c r="F25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58708</v>
      </c>
      <c r="G258" s="100">
        <f t="shared" si="18"/>
        <v>7187</v>
      </c>
      <c r="H25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51521</v>
      </c>
      <c r="I25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41655</v>
      </c>
      <c r="J258" s="100">
        <f t="shared" si="19"/>
        <v>9866</v>
      </c>
    </row>
    <row r="259" spans="1:10">
      <c r="A259" s="37">
        <v>2014</v>
      </c>
      <c r="B259" s="37" t="s">
        <v>39</v>
      </c>
      <c r="C259" s="99">
        <f t="shared" si="15"/>
        <v>0.68708152071117834</v>
      </c>
      <c r="D259" s="99">
        <f t="shared" si="16"/>
        <v>0.77722623989045314</v>
      </c>
      <c r="E259" s="99">
        <f t="shared" si="17"/>
        <v>0.88401740117268768</v>
      </c>
      <c r="F25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52870</v>
      </c>
      <c r="G259" s="100">
        <f t="shared" si="18"/>
        <v>6132</v>
      </c>
      <c r="H25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46738</v>
      </c>
      <c r="I25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36326</v>
      </c>
      <c r="J259" s="100">
        <f t="shared" si="19"/>
        <v>10412</v>
      </c>
    </row>
    <row r="260" spans="1:10">
      <c r="A260" s="37">
        <v>2014</v>
      </c>
      <c r="B260" s="37" t="s">
        <v>40</v>
      </c>
      <c r="C260" s="99">
        <f t="shared" si="15"/>
        <v>0.71603489349775784</v>
      </c>
      <c r="D260" s="99">
        <f t="shared" si="16"/>
        <v>0.79437599595786856</v>
      </c>
      <c r="E260" s="99">
        <f t="shared" si="17"/>
        <v>0.90138032511210764</v>
      </c>
      <c r="F26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57088</v>
      </c>
      <c r="G260" s="100">
        <f t="shared" si="18"/>
        <v>5630</v>
      </c>
      <c r="H26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51458</v>
      </c>
      <c r="I26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40877</v>
      </c>
      <c r="J260" s="100">
        <f t="shared" si="19"/>
        <v>10581</v>
      </c>
    </row>
    <row r="261" spans="1:10">
      <c r="A261" s="37">
        <v>2014</v>
      </c>
      <c r="B261" s="37" t="s">
        <v>41</v>
      </c>
      <c r="C261" s="99">
        <f t="shared" si="15"/>
        <v>0.65509554140127391</v>
      </c>
      <c r="D261" s="99">
        <f t="shared" si="16"/>
        <v>0.76913169921063562</v>
      </c>
      <c r="E261" s="99">
        <f t="shared" si="17"/>
        <v>0.8517338995046001</v>
      </c>
      <c r="F26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56520</v>
      </c>
      <c r="G261" s="100">
        <f t="shared" si="18"/>
        <v>8380</v>
      </c>
      <c r="H26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48140</v>
      </c>
      <c r="I26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37026</v>
      </c>
      <c r="J261" s="100">
        <f t="shared" si="19"/>
        <v>11114</v>
      </c>
    </row>
    <row r="262" spans="1:10">
      <c r="A262" s="37">
        <v>2014</v>
      </c>
      <c r="B262" s="37" t="s">
        <v>42</v>
      </c>
      <c r="C262" s="99">
        <f t="shared" si="15"/>
        <v>0.68785335533939673</v>
      </c>
      <c r="D262" s="99">
        <f t="shared" si="16"/>
        <v>0.75734611815651098</v>
      </c>
      <c r="E262" s="99">
        <f t="shared" si="17"/>
        <v>0.9082417389472206</v>
      </c>
      <c r="F26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56954</v>
      </c>
      <c r="G262" s="100">
        <f t="shared" si="18"/>
        <v>5226</v>
      </c>
      <c r="H26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51728</v>
      </c>
      <c r="I26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39176</v>
      </c>
      <c r="J262" s="100">
        <f t="shared" si="19"/>
        <v>12552</v>
      </c>
    </row>
    <row r="263" spans="1:10">
      <c r="A263" s="37">
        <v>2014</v>
      </c>
      <c r="B263" s="37" t="s">
        <v>43</v>
      </c>
      <c r="C263" s="99">
        <f t="shared" ref="C263:C326" si="20">+I263/F263</f>
        <v>0.69763033175355449</v>
      </c>
      <c r="D263" s="99">
        <f t="shared" ref="D263:D326" si="21">+I263/H263</f>
        <v>0.75986260845394804</v>
      </c>
      <c r="E263" s="99">
        <f t="shared" ref="E263:E326" si="22">+H263/F263</f>
        <v>0.9181006197593875</v>
      </c>
      <c r="F26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54860</v>
      </c>
      <c r="G263" s="100">
        <f t="shared" ref="G263:G326" si="23">+F263-H263</f>
        <v>4493</v>
      </c>
      <c r="H26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50367</v>
      </c>
      <c r="I26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38272</v>
      </c>
      <c r="J263" s="100">
        <f t="shared" ref="J263:J326" si="24">+H263-I263</f>
        <v>12095</v>
      </c>
    </row>
    <row r="264" spans="1:10">
      <c r="A264" s="37">
        <v>2014</v>
      </c>
      <c r="B264" s="37" t="s">
        <v>44</v>
      </c>
      <c r="C264" s="99">
        <f t="shared" si="20"/>
        <v>0.6874560455582428</v>
      </c>
      <c r="D264" s="99">
        <f t="shared" si="21"/>
        <v>0.75307690862286025</v>
      </c>
      <c r="E264" s="99">
        <f t="shared" si="22"/>
        <v>0.91286299936534077</v>
      </c>
      <c r="F26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58299</v>
      </c>
      <c r="G264" s="100">
        <f t="shared" si="23"/>
        <v>5080</v>
      </c>
      <c r="H26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53219</v>
      </c>
      <c r="I26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40078</v>
      </c>
      <c r="J264" s="100">
        <f t="shared" si="24"/>
        <v>13141</v>
      </c>
    </row>
    <row r="265" spans="1:10">
      <c r="A265" s="37">
        <v>2014</v>
      </c>
      <c r="B265" s="37" t="s">
        <v>45</v>
      </c>
      <c r="C265" s="99">
        <f t="shared" si="20"/>
        <v>0.67461867402942866</v>
      </c>
      <c r="D265" s="99">
        <f t="shared" si="21"/>
        <v>0.76362077179609333</v>
      </c>
      <c r="E265" s="99">
        <f t="shared" si="22"/>
        <v>0.88344725411630021</v>
      </c>
      <c r="F26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59398</v>
      </c>
      <c r="G265" s="100">
        <f t="shared" si="23"/>
        <v>6923</v>
      </c>
      <c r="H26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52475</v>
      </c>
      <c r="I26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40071</v>
      </c>
      <c r="J265" s="100">
        <f t="shared" si="24"/>
        <v>12404</v>
      </c>
    </row>
    <row r="266" spans="1:10">
      <c r="A266" s="37">
        <v>2014</v>
      </c>
      <c r="B266" s="37" t="s">
        <v>46</v>
      </c>
      <c r="C266" s="99">
        <f t="shared" si="20"/>
        <v>0.7267713194739075</v>
      </c>
      <c r="D266" s="99">
        <f t="shared" si="21"/>
        <v>0.77706809892761886</v>
      </c>
      <c r="E266" s="99">
        <f t="shared" si="22"/>
        <v>0.9352736529486636</v>
      </c>
      <c r="F26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58925</v>
      </c>
      <c r="G266" s="100">
        <f t="shared" si="23"/>
        <v>3814</v>
      </c>
      <c r="H26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55111</v>
      </c>
      <c r="I26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42825</v>
      </c>
      <c r="J266" s="100">
        <f t="shared" si="24"/>
        <v>12286</v>
      </c>
    </row>
    <row r="267" spans="1:10">
      <c r="A267" s="37">
        <v>2014</v>
      </c>
      <c r="B267" s="37" t="s">
        <v>47</v>
      </c>
      <c r="C267" s="99">
        <f t="shared" si="20"/>
        <v>0.69503205393675349</v>
      </c>
      <c r="D267" s="99">
        <f t="shared" si="21"/>
        <v>0.7736148243754033</v>
      </c>
      <c r="E267" s="99">
        <f t="shared" si="22"/>
        <v>0.89842132290821142</v>
      </c>
      <c r="F26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60367</v>
      </c>
      <c r="G267" s="100">
        <f t="shared" si="23"/>
        <v>6132</v>
      </c>
      <c r="H26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54235</v>
      </c>
      <c r="I26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41957</v>
      </c>
      <c r="J267" s="100">
        <f t="shared" si="24"/>
        <v>12278</v>
      </c>
    </row>
    <row r="268" spans="1:10">
      <c r="A268" s="37">
        <v>2014</v>
      </c>
      <c r="B268" s="37" t="s">
        <v>48</v>
      </c>
      <c r="C268" s="99">
        <f t="shared" si="20"/>
        <v>0.67765269128692607</v>
      </c>
      <c r="D268" s="99">
        <f t="shared" si="21"/>
        <v>0.76553467500146966</v>
      </c>
      <c r="E268" s="99">
        <f t="shared" si="22"/>
        <v>0.88520182483651055</v>
      </c>
      <c r="F26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57649</v>
      </c>
      <c r="G268" s="100">
        <f t="shared" si="23"/>
        <v>6618</v>
      </c>
      <c r="H26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51031</v>
      </c>
      <c r="I26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39066</v>
      </c>
      <c r="J268" s="100">
        <f t="shared" si="24"/>
        <v>11965</v>
      </c>
    </row>
    <row r="269" spans="1:10">
      <c r="A269" s="37">
        <v>2014</v>
      </c>
      <c r="B269" s="37" t="s">
        <v>49</v>
      </c>
      <c r="C269" s="99">
        <f t="shared" si="20"/>
        <v>0.75396096831225345</v>
      </c>
      <c r="D269" s="99">
        <f t="shared" si="21"/>
        <v>0.83054307116104864</v>
      </c>
      <c r="E269" s="99">
        <f t="shared" si="22"/>
        <v>0.90779273765809876</v>
      </c>
      <c r="F26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58824</v>
      </c>
      <c r="G269" s="100">
        <f t="shared" si="23"/>
        <v>5424</v>
      </c>
      <c r="H26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53400</v>
      </c>
      <c r="I26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44351</v>
      </c>
      <c r="J269" s="100">
        <f t="shared" si="24"/>
        <v>9049</v>
      </c>
    </row>
    <row r="270" spans="1:10">
      <c r="A270" s="37">
        <v>2015</v>
      </c>
      <c r="B270" s="37" t="s">
        <v>38</v>
      </c>
      <c r="C270" s="99">
        <f t="shared" si="20"/>
        <v>0.79814286684321312</v>
      </c>
      <c r="D270" s="99">
        <f t="shared" si="21"/>
        <v>0.88137594901115379</v>
      </c>
      <c r="E270" s="99">
        <f t="shared" si="22"/>
        <v>0.90556460922115845</v>
      </c>
      <c r="F27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58908</v>
      </c>
      <c r="G270" s="100">
        <f t="shared" si="23"/>
        <v>5563</v>
      </c>
      <c r="H27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53345</v>
      </c>
      <c r="I27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47017</v>
      </c>
      <c r="J270" s="100">
        <f t="shared" si="24"/>
        <v>6328</v>
      </c>
    </row>
    <row r="271" spans="1:10">
      <c r="A271" s="37">
        <v>2015</v>
      </c>
      <c r="B271" s="37" t="s">
        <v>39</v>
      </c>
      <c r="C271" s="99">
        <f t="shared" si="20"/>
        <v>0.80146153695851818</v>
      </c>
      <c r="D271" s="99">
        <f t="shared" si="21"/>
        <v>0.86607124004983005</v>
      </c>
      <c r="E271" s="99">
        <f t="shared" si="22"/>
        <v>0.92539908947029059</v>
      </c>
      <c r="F27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51179</v>
      </c>
      <c r="G271" s="100">
        <f t="shared" si="23"/>
        <v>3818</v>
      </c>
      <c r="H27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47361</v>
      </c>
      <c r="I27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41018</v>
      </c>
      <c r="J271" s="100">
        <f t="shared" si="24"/>
        <v>6343</v>
      </c>
    </row>
    <row r="272" spans="1:10">
      <c r="A272" s="37">
        <v>2015</v>
      </c>
      <c r="B272" s="37" t="s">
        <v>40</v>
      </c>
      <c r="C272" s="99">
        <f t="shared" si="20"/>
        <v>0.75539746147192266</v>
      </c>
      <c r="D272" s="99">
        <f t="shared" si="21"/>
        <v>0.84568864997331961</v>
      </c>
      <c r="E272" s="99">
        <f t="shared" si="22"/>
        <v>0.89323353399120875</v>
      </c>
      <c r="F27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56647</v>
      </c>
      <c r="G272" s="100">
        <f t="shared" si="23"/>
        <v>6048</v>
      </c>
      <c r="H27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50599</v>
      </c>
      <c r="I27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42791</v>
      </c>
      <c r="J272" s="100">
        <f t="shared" si="24"/>
        <v>7808</v>
      </c>
    </row>
    <row r="273" spans="1:11">
      <c r="A273" s="37">
        <v>2015</v>
      </c>
      <c r="B273" s="37" t="s">
        <v>41</v>
      </c>
      <c r="C273" s="99">
        <f t="shared" si="20"/>
        <v>0.76058499593752826</v>
      </c>
      <c r="D273" s="99">
        <f t="shared" si="21"/>
        <v>0.81637596899224807</v>
      </c>
      <c r="E273" s="99">
        <f t="shared" si="22"/>
        <v>0.93166019680418888</v>
      </c>
      <c r="F27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55385</v>
      </c>
      <c r="G273" s="100">
        <f t="shared" si="23"/>
        <v>3785</v>
      </c>
      <c r="H27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51600</v>
      </c>
      <c r="I27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42125</v>
      </c>
      <c r="J273" s="100">
        <f t="shared" si="24"/>
        <v>9475</v>
      </c>
    </row>
    <row r="274" spans="1:11">
      <c r="A274" s="37">
        <v>2015</v>
      </c>
      <c r="B274" s="37" t="s">
        <v>42</v>
      </c>
      <c r="C274" s="99">
        <f t="shared" si="20"/>
        <v>0.71483984415405299</v>
      </c>
      <c r="D274" s="99">
        <f t="shared" si="21"/>
        <v>0.78388188366069911</v>
      </c>
      <c r="E274" s="99">
        <f t="shared" si="22"/>
        <v>0.91192290452711788</v>
      </c>
      <c r="F27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58006</v>
      </c>
      <c r="G274" s="100">
        <f t="shared" si="23"/>
        <v>5109</v>
      </c>
      <c r="H27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52897</v>
      </c>
      <c r="I27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41465</v>
      </c>
      <c r="J274" s="100">
        <f t="shared" si="24"/>
        <v>11432</v>
      </c>
      <c r="K274" s="37" t="s">
        <v>82</v>
      </c>
    </row>
    <row r="275" spans="1:11">
      <c r="A275" s="37">
        <v>2015</v>
      </c>
      <c r="B275" s="37" t="s">
        <v>43</v>
      </c>
      <c r="C275" s="99">
        <f t="shared" si="20"/>
        <v>0.67164102034493445</v>
      </c>
      <c r="D275" s="99">
        <f t="shared" si="21"/>
        <v>0.76953872246435406</v>
      </c>
      <c r="E275" s="99">
        <f t="shared" si="22"/>
        <v>0.87278391683018353</v>
      </c>
      <c r="F27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58098</v>
      </c>
      <c r="G275" s="100">
        <f t="shared" si="23"/>
        <v>7391</v>
      </c>
      <c r="H27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50707</v>
      </c>
      <c r="I27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39021</v>
      </c>
      <c r="J275" s="100">
        <f t="shared" si="24"/>
        <v>11686</v>
      </c>
    </row>
    <row r="276" spans="1:11">
      <c r="A276" s="37">
        <v>2015</v>
      </c>
      <c r="B276" s="37" t="s">
        <v>44</v>
      </c>
      <c r="C276" s="99">
        <f t="shared" si="20"/>
        <v>0.71740157352054856</v>
      </c>
      <c r="D276" s="99">
        <f t="shared" si="21"/>
        <v>0.79108364916566376</v>
      </c>
      <c r="E276" s="99">
        <f t="shared" si="22"/>
        <v>0.90685931162548261</v>
      </c>
      <c r="F27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61391</v>
      </c>
      <c r="G276" s="100">
        <f t="shared" si="23"/>
        <v>5718</v>
      </c>
      <c r="H27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55673</v>
      </c>
      <c r="I27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44042</v>
      </c>
      <c r="J276" s="100">
        <f t="shared" si="24"/>
        <v>11631</v>
      </c>
    </row>
    <row r="277" spans="1:11">
      <c r="A277" s="37">
        <v>2015</v>
      </c>
      <c r="B277" s="37" t="s">
        <v>45</v>
      </c>
      <c r="C277" s="99">
        <f t="shared" si="20"/>
        <v>0.74582154372573539</v>
      </c>
      <c r="D277" s="99">
        <f t="shared" si="21"/>
        <v>0.81490069201042514</v>
      </c>
      <c r="E277" s="99">
        <f t="shared" si="22"/>
        <v>0.91522997960123709</v>
      </c>
      <c r="F27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60788</v>
      </c>
      <c r="G277" s="100">
        <f t="shared" si="23"/>
        <v>5153</v>
      </c>
      <c r="H27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55635</v>
      </c>
      <c r="I27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45337</v>
      </c>
      <c r="J277" s="100">
        <f t="shared" si="24"/>
        <v>10298</v>
      </c>
    </row>
    <row r="278" spans="1:11">
      <c r="A278" s="37">
        <v>2015</v>
      </c>
      <c r="B278" s="37" t="s">
        <v>46</v>
      </c>
      <c r="C278" s="99">
        <f t="shared" si="20"/>
        <v>0.76342166464672934</v>
      </c>
      <c r="D278" s="99">
        <f t="shared" si="21"/>
        <v>0.86272441236350172</v>
      </c>
      <c r="E278" s="99">
        <f t="shared" si="22"/>
        <v>0.88489632808149632</v>
      </c>
      <c r="F27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61058</v>
      </c>
      <c r="G278" s="100">
        <f t="shared" si="23"/>
        <v>7028</v>
      </c>
      <c r="H27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54030</v>
      </c>
      <c r="I27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46613</v>
      </c>
      <c r="J278" s="100">
        <f t="shared" si="24"/>
        <v>7417</v>
      </c>
    </row>
    <row r="279" spans="1:11">
      <c r="A279" s="37">
        <v>2015</v>
      </c>
      <c r="B279" s="37" t="s">
        <v>47</v>
      </c>
      <c r="C279" s="99">
        <f t="shared" si="20"/>
        <v>0.78156955180422194</v>
      </c>
      <c r="D279" s="99">
        <f t="shared" si="21"/>
        <v>0.85598496640218669</v>
      </c>
      <c r="E279" s="99">
        <f t="shared" si="22"/>
        <v>0.9130645776283407</v>
      </c>
      <c r="F27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57698</v>
      </c>
      <c r="G279" s="100">
        <f t="shared" si="23"/>
        <v>5016</v>
      </c>
      <c r="H27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52682</v>
      </c>
      <c r="I27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45095</v>
      </c>
      <c r="J279" s="100">
        <f t="shared" si="24"/>
        <v>7587</v>
      </c>
    </row>
    <row r="280" spans="1:11">
      <c r="A280" s="37">
        <v>2015</v>
      </c>
      <c r="B280" s="37" t="s">
        <v>48</v>
      </c>
      <c r="C280" s="99">
        <f t="shared" si="20"/>
        <v>0.78182241818116638</v>
      </c>
      <c r="D280" s="99">
        <f t="shared" si="21"/>
        <v>0.84208799057933248</v>
      </c>
      <c r="E280" s="99">
        <f t="shared" si="22"/>
        <v>0.92843316485643612</v>
      </c>
      <c r="F28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55794</v>
      </c>
      <c r="G280" s="100">
        <f t="shared" si="23"/>
        <v>3993</v>
      </c>
      <c r="H28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51801</v>
      </c>
      <c r="I28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43621</v>
      </c>
      <c r="J280" s="100">
        <f t="shared" si="24"/>
        <v>8180</v>
      </c>
    </row>
    <row r="281" spans="1:11">
      <c r="A281" s="37">
        <v>2015</v>
      </c>
      <c r="B281" s="37" t="s">
        <v>49</v>
      </c>
      <c r="C281" s="99">
        <f t="shared" si="20"/>
        <v>0.75993776876551411</v>
      </c>
      <c r="D281" s="99">
        <f t="shared" si="21"/>
        <v>0.82540014050010446</v>
      </c>
      <c r="E281" s="99">
        <f t="shared" si="22"/>
        <v>0.92069013739817507</v>
      </c>
      <c r="F28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57206</v>
      </c>
      <c r="G281" s="100">
        <f t="shared" si="23"/>
        <v>4537</v>
      </c>
      <c r="H28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52669</v>
      </c>
      <c r="I28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43473</v>
      </c>
      <c r="J281" s="100">
        <f t="shared" si="24"/>
        <v>9196</v>
      </c>
    </row>
    <row r="282" spans="1:11">
      <c r="A282" s="37">
        <v>2016</v>
      </c>
      <c r="B282" s="37" t="s">
        <v>38</v>
      </c>
      <c r="C282" s="99">
        <f t="shared" si="20"/>
        <v>0.77962451588252657</v>
      </c>
      <c r="D282" s="99">
        <f t="shared" si="21"/>
        <v>0.8532436182547376</v>
      </c>
      <c r="E282" s="99">
        <f t="shared" si="22"/>
        <v>0.91371854321888191</v>
      </c>
      <c r="F28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57579</v>
      </c>
      <c r="G282" s="100">
        <f t="shared" si="23"/>
        <v>4968</v>
      </c>
      <c r="H28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52611</v>
      </c>
      <c r="I28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44890</v>
      </c>
      <c r="J282" s="100">
        <f t="shared" si="24"/>
        <v>7721</v>
      </c>
    </row>
    <row r="283" spans="1:11">
      <c r="A283" s="37">
        <v>2016</v>
      </c>
      <c r="B283" s="37" t="s">
        <v>39</v>
      </c>
      <c r="C283" s="99">
        <f t="shared" si="20"/>
        <v>0.77754526081363873</v>
      </c>
      <c r="D283" s="99">
        <f t="shared" si="21"/>
        <v>0.8406326539084229</v>
      </c>
      <c r="E283" s="99">
        <f t="shared" si="22"/>
        <v>0.92495248334517255</v>
      </c>
      <c r="F28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52087</v>
      </c>
      <c r="G283" s="100">
        <f t="shared" si="23"/>
        <v>3909</v>
      </c>
      <c r="H28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48178</v>
      </c>
      <c r="I28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40500</v>
      </c>
      <c r="J283" s="100">
        <f t="shared" si="24"/>
        <v>7678</v>
      </c>
    </row>
    <row r="284" spans="1:11">
      <c r="A284" s="37">
        <v>2016</v>
      </c>
      <c r="B284" s="37" t="s">
        <v>40</v>
      </c>
      <c r="C284" s="99">
        <f t="shared" si="20"/>
        <v>0.81348013591217982</v>
      </c>
      <c r="D284" s="99">
        <f t="shared" si="21"/>
        <v>0.86318489885770744</v>
      </c>
      <c r="E284" s="99">
        <f t="shared" si="22"/>
        <v>0.94241701515943543</v>
      </c>
      <c r="F28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61216</v>
      </c>
      <c r="G284" s="100">
        <f t="shared" si="23"/>
        <v>3525</v>
      </c>
      <c r="H28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57691</v>
      </c>
      <c r="I28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49798</v>
      </c>
      <c r="J284" s="100">
        <f t="shared" si="24"/>
        <v>7893</v>
      </c>
    </row>
    <row r="285" spans="1:11">
      <c r="A285" s="37">
        <v>2016</v>
      </c>
      <c r="B285" s="37" t="s">
        <v>41</v>
      </c>
      <c r="C285" s="99">
        <f t="shared" si="20"/>
        <v>0.76545898501946807</v>
      </c>
      <c r="D285" s="99">
        <f t="shared" si="21"/>
        <v>0.82370486098782092</v>
      </c>
      <c r="E285" s="99">
        <f t="shared" si="22"/>
        <v>0.92928792978288133</v>
      </c>
      <c r="F28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60612</v>
      </c>
      <c r="G285" s="100">
        <f t="shared" si="23"/>
        <v>4286</v>
      </c>
      <c r="H28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56326</v>
      </c>
      <c r="I28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46396</v>
      </c>
      <c r="J285" s="100">
        <f t="shared" si="24"/>
        <v>9930</v>
      </c>
    </row>
    <row r="286" spans="1:11">
      <c r="A286" s="37">
        <v>2016</v>
      </c>
      <c r="B286" s="37" t="s">
        <v>42</v>
      </c>
      <c r="C286" s="99">
        <f t="shared" si="20"/>
        <v>0.77474688850196682</v>
      </c>
      <c r="D286" s="99">
        <f t="shared" si="21"/>
        <v>0.83032690579860391</v>
      </c>
      <c r="E286" s="99">
        <f t="shared" si="22"/>
        <v>0.9330624879086864</v>
      </c>
      <c r="F28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62028</v>
      </c>
      <c r="G286" s="100">
        <f t="shared" si="23"/>
        <v>4152</v>
      </c>
      <c r="H28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57876</v>
      </c>
      <c r="I28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48056</v>
      </c>
      <c r="J286" s="100">
        <f t="shared" si="24"/>
        <v>9820</v>
      </c>
    </row>
    <row r="287" spans="1:11">
      <c r="A287" s="37">
        <v>2016</v>
      </c>
      <c r="B287" s="37" t="s">
        <v>43</v>
      </c>
      <c r="C287" s="99">
        <f t="shared" si="20"/>
        <v>0.77925540779255409</v>
      </c>
      <c r="D287" s="99">
        <f t="shared" si="21"/>
        <v>0.83770759060534938</v>
      </c>
      <c r="E287" s="99">
        <f t="shared" si="22"/>
        <v>0.93022364430223647</v>
      </c>
      <c r="F28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60006</v>
      </c>
      <c r="G287" s="100">
        <f t="shared" si="23"/>
        <v>4187</v>
      </c>
      <c r="H28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55819</v>
      </c>
      <c r="I28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46760</v>
      </c>
      <c r="J287" s="100">
        <f t="shared" si="24"/>
        <v>9059</v>
      </c>
    </row>
    <row r="288" spans="1:11">
      <c r="A288" s="37">
        <v>2016</v>
      </c>
      <c r="B288" s="37" t="s">
        <v>44</v>
      </c>
      <c r="C288" s="99">
        <f t="shared" si="20"/>
        <v>0.79502822652805571</v>
      </c>
      <c r="D288" s="99">
        <f t="shared" si="21"/>
        <v>0.84980436483784016</v>
      </c>
      <c r="E288" s="99">
        <f t="shared" si="22"/>
        <v>0.93554264890103633</v>
      </c>
      <c r="F28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61467</v>
      </c>
      <c r="G288" s="100">
        <f t="shared" si="23"/>
        <v>3962</v>
      </c>
      <c r="H28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57505</v>
      </c>
      <c r="I28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48868</v>
      </c>
      <c r="J288" s="100">
        <f t="shared" si="24"/>
        <v>8637</v>
      </c>
    </row>
    <row r="289" spans="1:10">
      <c r="A289" s="37">
        <v>2016</v>
      </c>
      <c r="B289" s="37" t="s">
        <v>45</v>
      </c>
      <c r="C289" s="99">
        <f t="shared" si="20"/>
        <v>0.81183746991216743</v>
      </c>
      <c r="D289" s="99">
        <f t="shared" si="21"/>
        <v>0.8539832654224726</v>
      </c>
      <c r="E289" s="99">
        <f t="shared" si="22"/>
        <v>0.95064798431447561</v>
      </c>
      <c r="F28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62733</v>
      </c>
      <c r="G289" s="100">
        <f t="shared" si="23"/>
        <v>3096</v>
      </c>
      <c r="H28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I28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50929</v>
      </c>
      <c r="J289" s="100">
        <f t="shared" si="24"/>
        <v>8708</v>
      </c>
    </row>
    <row r="290" spans="1:10">
      <c r="A290" s="37">
        <v>2016</v>
      </c>
      <c r="B290" s="37" t="s">
        <v>46</v>
      </c>
      <c r="C290" s="99">
        <f t="shared" si="20"/>
        <v>0.8046263228596704</v>
      </c>
      <c r="D290" s="99">
        <f t="shared" si="21"/>
        <v>0.8439175257731959</v>
      </c>
      <c r="E290" s="99">
        <f t="shared" si="22"/>
        <v>0.95344189246748146</v>
      </c>
      <c r="F29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61042</v>
      </c>
      <c r="G290" s="100">
        <f t="shared" si="23"/>
        <v>2842</v>
      </c>
      <c r="H29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58200</v>
      </c>
      <c r="I29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49116</v>
      </c>
      <c r="J290" s="100">
        <f t="shared" si="24"/>
        <v>9084</v>
      </c>
    </row>
    <row r="291" spans="1:10">
      <c r="A291" s="37">
        <v>2016</v>
      </c>
      <c r="B291" s="37" t="s">
        <v>47</v>
      </c>
      <c r="C291" s="99">
        <f t="shared" si="20"/>
        <v>0.82081300813008129</v>
      </c>
      <c r="D291" s="99">
        <f t="shared" si="21"/>
        <v>0.86131586131586135</v>
      </c>
      <c r="E291" s="99">
        <f t="shared" si="22"/>
        <v>0.95297560975609752</v>
      </c>
      <c r="F29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61500</v>
      </c>
      <c r="G291" s="100">
        <f t="shared" si="23"/>
        <v>2892</v>
      </c>
      <c r="H29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58608</v>
      </c>
      <c r="I29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50480</v>
      </c>
      <c r="J291" s="100">
        <f t="shared" si="24"/>
        <v>8128</v>
      </c>
    </row>
    <row r="292" spans="1:10">
      <c r="A292" s="37">
        <v>2016</v>
      </c>
      <c r="B292" s="37" t="s">
        <v>48</v>
      </c>
      <c r="C292" s="99">
        <f t="shared" si="20"/>
        <v>0.84167233287450871</v>
      </c>
      <c r="D292" s="99">
        <f t="shared" si="21"/>
        <v>0.87289738915070003</v>
      </c>
      <c r="E292" s="99">
        <f t="shared" si="22"/>
        <v>0.96422826249191529</v>
      </c>
      <c r="F29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60299</v>
      </c>
      <c r="G292" s="100">
        <f t="shared" si="23"/>
        <v>2157</v>
      </c>
      <c r="H29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58142</v>
      </c>
      <c r="I29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50752</v>
      </c>
      <c r="J292" s="100">
        <f t="shared" si="24"/>
        <v>7390</v>
      </c>
    </row>
    <row r="293" spans="1:10">
      <c r="A293" s="37">
        <v>2016</v>
      </c>
      <c r="B293" s="37" t="s">
        <v>49</v>
      </c>
      <c r="C293" s="99">
        <f t="shared" si="20"/>
        <v>0.80696530508167863</v>
      </c>
      <c r="D293" s="99">
        <f t="shared" si="21"/>
        <v>0.86103212216956293</v>
      </c>
      <c r="E293" s="99">
        <f t="shared" si="22"/>
        <v>0.93720696859525887</v>
      </c>
      <c r="F29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60787</v>
      </c>
      <c r="G293" s="100">
        <f t="shared" si="23"/>
        <v>3817</v>
      </c>
      <c r="H29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56970</v>
      </c>
      <c r="I29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49053</v>
      </c>
      <c r="J293" s="100">
        <f t="shared" si="24"/>
        <v>7917</v>
      </c>
    </row>
    <row r="294" spans="1:10">
      <c r="A294" s="37">
        <v>2017</v>
      </c>
      <c r="B294" s="37" t="s">
        <v>38</v>
      </c>
      <c r="C294" s="99">
        <f t="shared" si="20"/>
        <v>0.85664163688231632</v>
      </c>
      <c r="D294" s="99">
        <f t="shared" si="21"/>
        <v>0.8964570644248091</v>
      </c>
      <c r="E294" s="99">
        <f t="shared" si="22"/>
        <v>0.95558579532413024</v>
      </c>
      <c r="F29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60994</v>
      </c>
      <c r="G294" s="100">
        <f t="shared" si="23"/>
        <v>2709</v>
      </c>
      <c r="H29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58285</v>
      </c>
      <c r="I29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52250</v>
      </c>
      <c r="J294" s="100">
        <f t="shared" si="24"/>
        <v>6035</v>
      </c>
    </row>
    <row r="295" spans="1:10">
      <c r="A295" s="37">
        <v>2017</v>
      </c>
      <c r="B295" s="37" t="s">
        <v>39</v>
      </c>
      <c r="C295" s="99">
        <f t="shared" si="20"/>
        <v>0.84794282116801833</v>
      </c>
      <c r="D295" s="99">
        <f t="shared" si="21"/>
        <v>0.8878935939196525</v>
      </c>
      <c r="E295" s="99">
        <f t="shared" si="22"/>
        <v>0.95500499944450612</v>
      </c>
      <c r="F29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54006</v>
      </c>
      <c r="G295" s="100">
        <f t="shared" si="23"/>
        <v>2430</v>
      </c>
      <c r="H29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51576</v>
      </c>
      <c r="I29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45794</v>
      </c>
      <c r="J295" s="100">
        <f t="shared" si="24"/>
        <v>5782</v>
      </c>
    </row>
    <row r="296" spans="1:10">
      <c r="A296" s="37">
        <v>2017</v>
      </c>
      <c r="B296" s="37" t="s">
        <v>40</v>
      </c>
      <c r="C296" s="99">
        <f t="shared" si="20"/>
        <v>0.78061640224320572</v>
      </c>
      <c r="D296" s="99">
        <f t="shared" si="21"/>
        <v>0.83965766137347908</v>
      </c>
      <c r="E296" s="99">
        <f t="shared" si="22"/>
        <v>0.92968412979916604</v>
      </c>
      <c r="F29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62589</v>
      </c>
      <c r="G296" s="100">
        <f t="shared" si="23"/>
        <v>4401</v>
      </c>
      <c r="H29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58188</v>
      </c>
      <c r="I29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J296" s="100">
        <f t="shared" si="24"/>
        <v>9330</v>
      </c>
    </row>
    <row r="297" spans="1:10">
      <c r="A297" s="37">
        <v>2017</v>
      </c>
      <c r="B297" s="37" t="s">
        <v>41</v>
      </c>
      <c r="C297" s="99">
        <f t="shared" si="20"/>
        <v>0.74879227053140096</v>
      </c>
      <c r="D297" s="99">
        <f t="shared" si="21"/>
        <v>0.84439208294062207</v>
      </c>
      <c r="E297" s="99">
        <f t="shared" si="22"/>
        <v>0.88678267555956736</v>
      </c>
      <c r="F29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59823</v>
      </c>
      <c r="G297" s="100">
        <f t="shared" si="23"/>
        <v>6773</v>
      </c>
      <c r="H29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53050</v>
      </c>
      <c r="I29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44795</v>
      </c>
      <c r="J297" s="100">
        <f t="shared" si="24"/>
        <v>8255</v>
      </c>
    </row>
    <row r="298" spans="1:10">
      <c r="A298" s="37">
        <v>2017</v>
      </c>
      <c r="B298" s="37" t="s">
        <v>42</v>
      </c>
      <c r="C298" s="99">
        <f t="shared" si="20"/>
        <v>0.79171665786821521</v>
      </c>
      <c r="D298" s="99">
        <f t="shared" si="21"/>
        <v>0.83939959294436906</v>
      </c>
      <c r="E298" s="99">
        <f t="shared" si="22"/>
        <v>0.94319399785637725</v>
      </c>
      <c r="F29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62511</v>
      </c>
      <c r="G298" s="100">
        <f t="shared" si="23"/>
        <v>3551</v>
      </c>
      <c r="H29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58960</v>
      </c>
      <c r="I29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49491</v>
      </c>
      <c r="J298" s="100">
        <f t="shared" si="24"/>
        <v>9469</v>
      </c>
    </row>
    <row r="299" spans="1:10">
      <c r="A299" s="37">
        <v>2017</v>
      </c>
      <c r="B299" s="37" t="s">
        <v>43</v>
      </c>
      <c r="C299" s="99">
        <f t="shared" si="20"/>
        <v>0.78007902535396778</v>
      </c>
      <c r="D299" s="99">
        <f t="shared" si="21"/>
        <v>0.82600282412007742</v>
      </c>
      <c r="E299" s="99">
        <f t="shared" si="22"/>
        <v>0.94440237076061906</v>
      </c>
      <c r="F29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60740</v>
      </c>
      <c r="G299" s="100">
        <f t="shared" si="23"/>
        <v>3377</v>
      </c>
      <c r="H29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57363</v>
      </c>
      <c r="I29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47382</v>
      </c>
      <c r="J299" s="100">
        <f t="shared" si="24"/>
        <v>9981</v>
      </c>
    </row>
    <row r="300" spans="1:10">
      <c r="A300" s="37">
        <v>2017</v>
      </c>
      <c r="B300" s="37" t="s">
        <v>44</v>
      </c>
      <c r="C300" s="99">
        <f t="shared" si="20"/>
        <v>0.81072590066622463</v>
      </c>
      <c r="D300" s="99">
        <f t="shared" si="21"/>
        <v>0.85594039602640171</v>
      </c>
      <c r="E300" s="99">
        <f t="shared" si="22"/>
        <v>0.94717564964794287</v>
      </c>
      <c r="F30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63342</v>
      </c>
      <c r="G300" s="100">
        <f t="shared" si="23"/>
        <v>3346</v>
      </c>
      <c r="H30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59996</v>
      </c>
      <c r="I30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51353</v>
      </c>
      <c r="J300" s="100">
        <f t="shared" si="24"/>
        <v>8643</v>
      </c>
    </row>
    <row r="301" spans="1:10">
      <c r="A301" s="37">
        <v>2017</v>
      </c>
      <c r="B301" s="37" t="s">
        <v>45</v>
      </c>
      <c r="C301" s="99">
        <f t="shared" si="20"/>
        <v>0.82440345022980543</v>
      </c>
      <c r="D301" s="99">
        <f t="shared" si="21"/>
        <v>0.86649240644542236</v>
      </c>
      <c r="E301" s="99">
        <f t="shared" si="22"/>
        <v>0.95142605301265504</v>
      </c>
      <c r="F30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63532</v>
      </c>
      <c r="G301" s="100">
        <f t="shared" si="23"/>
        <v>3086</v>
      </c>
      <c r="H30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60446</v>
      </c>
      <c r="I30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52376</v>
      </c>
      <c r="J301" s="100">
        <f t="shared" si="24"/>
        <v>8070</v>
      </c>
    </row>
    <row r="302" spans="1:10">
      <c r="A302" s="37">
        <v>2017</v>
      </c>
      <c r="B302" s="37" t="s">
        <v>46</v>
      </c>
      <c r="C302" s="99">
        <f t="shared" si="20"/>
        <v>0.81065859977150945</v>
      </c>
      <c r="D302" s="99">
        <f t="shared" si="21"/>
        <v>0.85699219215132594</v>
      </c>
      <c r="E302" s="99">
        <f t="shared" si="22"/>
        <v>0.94593463884016926</v>
      </c>
      <c r="F30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62147</v>
      </c>
      <c r="G302" s="100">
        <f t="shared" si="23"/>
        <v>3360</v>
      </c>
      <c r="H30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58787</v>
      </c>
      <c r="I30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50380</v>
      </c>
      <c r="J302" s="100">
        <f t="shared" si="24"/>
        <v>8407</v>
      </c>
    </row>
    <row r="303" spans="1:10">
      <c r="A303" s="37">
        <v>2017</v>
      </c>
      <c r="B303" s="37" t="s">
        <v>47</v>
      </c>
      <c r="C303" s="99">
        <f t="shared" si="20"/>
        <v>0.81298581807798476</v>
      </c>
      <c r="D303" s="99">
        <f t="shared" si="21"/>
        <v>0.85650538982201052</v>
      </c>
      <c r="E303" s="99">
        <f t="shared" si="22"/>
        <v>0.94918937783559121</v>
      </c>
      <c r="F30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63038</v>
      </c>
      <c r="G303" s="100">
        <f t="shared" si="23"/>
        <v>3203</v>
      </c>
      <c r="H30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59835</v>
      </c>
      <c r="I30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51249</v>
      </c>
      <c r="J303" s="100">
        <f t="shared" si="24"/>
        <v>8586</v>
      </c>
    </row>
    <row r="304" spans="1:10">
      <c r="A304" s="37">
        <v>2017</v>
      </c>
      <c r="B304" s="37" t="s">
        <v>48</v>
      </c>
      <c r="C304" s="99">
        <f t="shared" si="20"/>
        <v>0.80003219315895369</v>
      </c>
      <c r="D304" s="99">
        <f t="shared" si="21"/>
        <v>0.84982474138668029</v>
      </c>
      <c r="E304" s="99">
        <f t="shared" si="22"/>
        <v>0.9414084507042253</v>
      </c>
      <c r="F30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62125</v>
      </c>
      <c r="G304" s="100">
        <f t="shared" si="23"/>
        <v>3640</v>
      </c>
      <c r="H30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58485</v>
      </c>
      <c r="I30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49702</v>
      </c>
      <c r="J304" s="100">
        <f t="shared" si="24"/>
        <v>8783</v>
      </c>
    </row>
    <row r="305" spans="1:10">
      <c r="A305" s="37">
        <v>2017</v>
      </c>
      <c r="B305" s="37" t="s">
        <v>49</v>
      </c>
      <c r="C305" s="99">
        <f t="shared" si="20"/>
        <v>0.78531082461067148</v>
      </c>
      <c r="D305" s="99">
        <f t="shared" si="21"/>
        <v>0.86292627334093097</v>
      </c>
      <c r="E305" s="99">
        <f t="shared" si="22"/>
        <v>0.91005552718917537</v>
      </c>
      <c r="F30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62672</v>
      </c>
      <c r="G305" s="100">
        <f t="shared" si="23"/>
        <v>5637</v>
      </c>
      <c r="H30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57035</v>
      </c>
      <c r="I30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49217</v>
      </c>
      <c r="J305" s="100">
        <f t="shared" si="24"/>
        <v>7818</v>
      </c>
    </row>
    <row r="306" spans="1:10">
      <c r="A306" s="37">
        <v>2018</v>
      </c>
      <c r="B306" s="37" t="s">
        <v>38</v>
      </c>
      <c r="C306" s="99">
        <f t="shared" si="20"/>
        <v>0.83064845344638094</v>
      </c>
      <c r="D306" s="99">
        <f t="shared" si="21"/>
        <v>0.88336756332548549</v>
      </c>
      <c r="E306" s="99">
        <f t="shared" si="22"/>
        <v>0.94032030146019785</v>
      </c>
      <c r="F30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63690</v>
      </c>
      <c r="G306" s="100">
        <f t="shared" si="23"/>
        <v>3801</v>
      </c>
      <c r="H30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59889</v>
      </c>
      <c r="I30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52904</v>
      </c>
      <c r="J306" s="100">
        <f t="shared" si="24"/>
        <v>6985</v>
      </c>
    </row>
    <row r="307" spans="1:10">
      <c r="A307" s="37">
        <v>2018</v>
      </c>
      <c r="B307" s="37" t="s">
        <v>39</v>
      </c>
      <c r="C307" s="99">
        <f t="shared" si="20"/>
        <v>0.8254287149314774</v>
      </c>
      <c r="D307" s="99">
        <f t="shared" si="21"/>
        <v>0.87739770430538078</v>
      </c>
      <c r="E307" s="99">
        <f t="shared" si="22"/>
        <v>0.94076917557580542</v>
      </c>
      <c r="F30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55748</v>
      </c>
      <c r="G307" s="100">
        <f t="shared" si="23"/>
        <v>3302</v>
      </c>
      <c r="H30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52446</v>
      </c>
      <c r="I30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46016</v>
      </c>
      <c r="J307" s="100">
        <f t="shared" si="24"/>
        <v>6430</v>
      </c>
    </row>
    <row r="308" spans="1:10">
      <c r="A308" s="37">
        <v>2018</v>
      </c>
      <c r="B308" s="37" t="s">
        <v>40</v>
      </c>
      <c r="C308" s="99">
        <f t="shared" si="20"/>
        <v>0.75065880668403173</v>
      </c>
      <c r="D308" s="99">
        <f t="shared" si="21"/>
        <v>0.8085581151145238</v>
      </c>
      <c r="E308" s="99">
        <f t="shared" si="22"/>
        <v>0.92839190238998304</v>
      </c>
      <c r="F30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65649</v>
      </c>
      <c r="G308" s="100">
        <f t="shared" si="23"/>
        <v>4701</v>
      </c>
      <c r="H30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60948</v>
      </c>
      <c r="I30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49280</v>
      </c>
      <c r="J308" s="100">
        <f t="shared" si="24"/>
        <v>11668</v>
      </c>
    </row>
    <row r="309" spans="1:10">
      <c r="A309" s="37">
        <v>2018</v>
      </c>
      <c r="B309" s="37" t="s">
        <v>41</v>
      </c>
      <c r="C309" s="99">
        <f t="shared" si="20"/>
        <v>0.73708413941835016</v>
      </c>
      <c r="D309" s="99">
        <f t="shared" si="21"/>
        <v>0.78813774861386643</v>
      </c>
      <c r="E309" s="99">
        <f t="shared" si="22"/>
        <v>0.93522247946465387</v>
      </c>
      <c r="F30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63062</v>
      </c>
      <c r="G309" s="100">
        <f t="shared" si="23"/>
        <v>4085</v>
      </c>
      <c r="H30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58977</v>
      </c>
      <c r="I30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46482</v>
      </c>
      <c r="J309" s="100">
        <f t="shared" si="24"/>
        <v>12495</v>
      </c>
    </row>
    <row r="310" spans="1:10">
      <c r="A310" s="37">
        <v>2018</v>
      </c>
      <c r="B310" s="37" t="s">
        <v>42</v>
      </c>
      <c r="C310" s="99">
        <f t="shared" si="20"/>
        <v>0.72797755520695062</v>
      </c>
      <c r="D310" s="99">
        <f t="shared" si="21"/>
        <v>0.78995007774776982</v>
      </c>
      <c r="E310" s="99">
        <f t="shared" si="22"/>
        <v>0.92154881139133582</v>
      </c>
      <c r="F31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66296</v>
      </c>
      <c r="G310" s="100">
        <f t="shared" si="23"/>
        <v>5201</v>
      </c>
      <c r="H31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61095</v>
      </c>
      <c r="I31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48262</v>
      </c>
      <c r="J310" s="100">
        <f t="shared" si="24"/>
        <v>12833</v>
      </c>
    </row>
    <row r="311" spans="1:10">
      <c r="A311" s="37">
        <v>2018</v>
      </c>
      <c r="B311" s="37" t="s">
        <v>43</v>
      </c>
      <c r="C311" s="99">
        <f t="shared" si="20"/>
        <v>0.74959127606141818</v>
      </c>
      <c r="D311" s="99">
        <f t="shared" si="21"/>
        <v>0.77035266403381142</v>
      </c>
      <c r="E311" s="99">
        <f t="shared" si="22"/>
        <v>0.97304950194670581</v>
      </c>
      <c r="F31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59331</v>
      </c>
      <c r="G311" s="100">
        <f t="shared" si="23"/>
        <v>1599</v>
      </c>
      <c r="H31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57732</v>
      </c>
      <c r="I31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44474</v>
      </c>
      <c r="J311" s="100">
        <f t="shared" si="24"/>
        <v>13258</v>
      </c>
    </row>
    <row r="312" spans="1:10">
      <c r="A312" s="37">
        <v>2018</v>
      </c>
      <c r="B312" s="37" t="s">
        <v>44</v>
      </c>
      <c r="C312" s="99">
        <f t="shared" si="20"/>
        <v>0.82765352138252479</v>
      </c>
      <c r="D312" s="99">
        <f t="shared" si="21"/>
        <v>0.86534080121511292</v>
      </c>
      <c r="E312" s="99">
        <f t="shared" si="22"/>
        <v>0.95644804939317818</v>
      </c>
      <c r="F31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66082</v>
      </c>
      <c r="G312" s="100">
        <f t="shared" si="23"/>
        <v>2878</v>
      </c>
      <c r="H31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63204</v>
      </c>
      <c r="I31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54693</v>
      </c>
      <c r="J312" s="100">
        <f t="shared" si="24"/>
        <v>8511</v>
      </c>
    </row>
    <row r="313" spans="1:10">
      <c r="A313" s="37">
        <v>2018</v>
      </c>
      <c r="B313" s="37" t="s">
        <v>45</v>
      </c>
      <c r="C313" s="99">
        <f t="shared" si="20"/>
        <v>0.84300856643095279</v>
      </c>
      <c r="D313" s="99">
        <f t="shared" si="21"/>
        <v>0.86716082797650174</v>
      </c>
      <c r="E313" s="99">
        <f t="shared" si="22"/>
        <v>0.97214788679753028</v>
      </c>
      <c r="F31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66889</v>
      </c>
      <c r="G313" s="100">
        <f t="shared" si="23"/>
        <v>1863</v>
      </c>
      <c r="H31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65026</v>
      </c>
      <c r="I31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56388</v>
      </c>
      <c r="J313" s="100">
        <f t="shared" si="24"/>
        <v>8638</v>
      </c>
    </row>
    <row r="314" spans="1:10">
      <c r="A314" s="37">
        <v>2018</v>
      </c>
      <c r="B314" s="37" t="s">
        <v>46</v>
      </c>
      <c r="C314" s="99">
        <f t="shared" si="20"/>
        <v>0.82192911423944193</v>
      </c>
      <c r="D314" s="99">
        <f t="shared" si="21"/>
        <v>0.87737291798264572</v>
      </c>
      <c r="E314" s="99">
        <f t="shared" si="22"/>
        <v>0.93680702628628376</v>
      </c>
      <c r="F31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64216</v>
      </c>
      <c r="G314" s="100">
        <f t="shared" si="23"/>
        <v>4058</v>
      </c>
      <c r="H31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60158</v>
      </c>
      <c r="I31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52781</v>
      </c>
      <c r="J314" s="100">
        <f t="shared" si="24"/>
        <v>7377</v>
      </c>
    </row>
    <row r="315" spans="1:10">
      <c r="A315" s="37">
        <v>2018</v>
      </c>
      <c r="B315" s="37" t="s">
        <v>47</v>
      </c>
      <c r="C315" s="99">
        <f t="shared" si="20"/>
        <v>0.83240090110250786</v>
      </c>
      <c r="D315" s="99">
        <f t="shared" si="21"/>
        <v>0.87896594095592173</v>
      </c>
      <c r="E315" s="99">
        <f t="shared" si="22"/>
        <v>0.94702293037342045</v>
      </c>
      <c r="F31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67029</v>
      </c>
      <c r="G315" s="100">
        <f t="shared" si="23"/>
        <v>3551</v>
      </c>
      <c r="H31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63478</v>
      </c>
      <c r="I31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55795</v>
      </c>
      <c r="J315" s="100">
        <f t="shared" si="24"/>
        <v>7683</v>
      </c>
    </row>
    <row r="316" spans="1:10">
      <c r="A316" s="37">
        <v>2018</v>
      </c>
      <c r="B316" s="37" t="s">
        <v>48</v>
      </c>
      <c r="C316" s="99">
        <f t="shared" si="20"/>
        <v>0.77407996540700819</v>
      </c>
      <c r="D316" s="99">
        <f t="shared" si="21"/>
        <v>0.84362534713456194</v>
      </c>
      <c r="E316" s="99">
        <f t="shared" si="22"/>
        <v>0.91756366500393804</v>
      </c>
      <c r="F31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64753</v>
      </c>
      <c r="G316" s="100">
        <f t="shared" si="23"/>
        <v>5338</v>
      </c>
      <c r="H31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59415</v>
      </c>
      <c r="I31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50124</v>
      </c>
      <c r="J316" s="100">
        <f t="shared" si="24"/>
        <v>9291</v>
      </c>
    </row>
    <row r="317" spans="1:10">
      <c r="A317" s="37">
        <v>2018</v>
      </c>
      <c r="B317" s="37" t="s">
        <v>49</v>
      </c>
      <c r="C317" s="99">
        <f t="shared" si="20"/>
        <v>0.76702865807894371</v>
      </c>
      <c r="D317" s="99">
        <f t="shared" si="21"/>
        <v>0.8364149588281472</v>
      </c>
      <c r="E317" s="99">
        <f t="shared" si="22"/>
        <v>0.91704320921469817</v>
      </c>
      <c r="F31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65287</v>
      </c>
      <c r="G317" s="100">
        <f t="shared" si="23"/>
        <v>5416</v>
      </c>
      <c r="H31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59871</v>
      </c>
      <c r="I31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50077</v>
      </c>
      <c r="J317" s="100">
        <f t="shared" si="24"/>
        <v>9794</v>
      </c>
    </row>
    <row r="318" spans="1:10">
      <c r="A318" s="37">
        <v>2019</v>
      </c>
      <c r="B318" s="37" t="s">
        <v>38</v>
      </c>
      <c r="C318" s="99">
        <f t="shared" si="20"/>
        <v>0.83001041620820681</v>
      </c>
      <c r="D318" s="99">
        <f t="shared" si="21"/>
        <v>0.87056071890195108</v>
      </c>
      <c r="E318" s="99">
        <f t="shared" si="22"/>
        <v>0.95342047738509161</v>
      </c>
      <c r="F31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68163</v>
      </c>
      <c r="G318" s="100">
        <f t="shared" si="23"/>
        <v>3175</v>
      </c>
      <c r="H31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64988</v>
      </c>
      <c r="I31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56576</v>
      </c>
      <c r="J318" s="100">
        <f t="shared" si="24"/>
        <v>8412</v>
      </c>
    </row>
    <row r="319" spans="1:10">
      <c r="A319" s="37">
        <v>2019</v>
      </c>
      <c r="B319" s="37" t="s">
        <v>39</v>
      </c>
      <c r="C319" s="99">
        <f t="shared" si="20"/>
        <v>0.82562397610099258</v>
      </c>
      <c r="D319" s="99">
        <f t="shared" si="21"/>
        <v>0.87043026228897502</v>
      </c>
      <c r="E319" s="99">
        <f t="shared" si="22"/>
        <v>0.94852397931322474</v>
      </c>
      <c r="F31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62262</v>
      </c>
      <c r="G319" s="100">
        <f t="shared" si="23"/>
        <v>3205</v>
      </c>
      <c r="H31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59057</v>
      </c>
      <c r="I31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51405</v>
      </c>
      <c r="J319" s="100">
        <f t="shared" si="24"/>
        <v>7652</v>
      </c>
    </row>
    <row r="320" spans="1:10">
      <c r="A320" s="37">
        <v>2019</v>
      </c>
      <c r="B320" s="37" t="s">
        <v>40</v>
      </c>
      <c r="C320" s="99">
        <f t="shared" si="20"/>
        <v>0.77439653393851871</v>
      </c>
      <c r="D320" s="99">
        <f t="shared" si="21"/>
        <v>0.83690078037904125</v>
      </c>
      <c r="E320" s="99">
        <f t="shared" si="22"/>
        <v>0.92531462760470395</v>
      </c>
      <c r="F32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67858</v>
      </c>
      <c r="G320" s="100">
        <f t="shared" si="23"/>
        <v>5068</v>
      </c>
      <c r="H32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62790</v>
      </c>
      <c r="I32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52549</v>
      </c>
      <c r="J320" s="100">
        <f t="shared" si="24"/>
        <v>10241</v>
      </c>
    </row>
    <row r="321" spans="1:11">
      <c r="A321" s="37">
        <v>2019</v>
      </c>
      <c r="B321" s="37" t="s">
        <v>41</v>
      </c>
      <c r="C321" s="99">
        <f t="shared" si="20"/>
        <v>0.79526443503293187</v>
      </c>
      <c r="D321" s="99">
        <f t="shared" si="21"/>
        <v>0.8540098729465081</v>
      </c>
      <c r="E321" s="99">
        <f t="shared" si="22"/>
        <v>0.93121222625811995</v>
      </c>
      <c r="F32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66349</v>
      </c>
      <c r="G321" s="100">
        <f t="shared" si="23"/>
        <v>4564</v>
      </c>
      <c r="H32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61785</v>
      </c>
      <c r="I32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52765</v>
      </c>
      <c r="J321" s="100">
        <f t="shared" si="24"/>
        <v>9020</v>
      </c>
    </row>
    <row r="322" spans="1:11">
      <c r="A322" s="37">
        <v>2019</v>
      </c>
      <c r="B322" s="37" t="s">
        <v>42</v>
      </c>
      <c r="C322" s="99">
        <f t="shared" si="20"/>
        <v>0.72953612300165982</v>
      </c>
      <c r="D322" s="99">
        <f t="shared" si="21"/>
        <v>0.81946193474527762</v>
      </c>
      <c r="E322" s="99">
        <f t="shared" si="22"/>
        <v>0.89026236859730357</v>
      </c>
      <c r="F32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68682</v>
      </c>
      <c r="G322" s="100">
        <f t="shared" si="23"/>
        <v>7537</v>
      </c>
      <c r="H32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61145</v>
      </c>
      <c r="I32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50106</v>
      </c>
      <c r="J322" s="100">
        <f t="shared" si="24"/>
        <v>11039</v>
      </c>
    </row>
    <row r="323" spans="1:11">
      <c r="A323" s="37">
        <v>2019</v>
      </c>
      <c r="B323" s="37" t="s">
        <v>43</v>
      </c>
      <c r="C323" s="99">
        <f t="shared" si="20"/>
        <v>0.75207010334952062</v>
      </c>
      <c r="D323" s="99">
        <f t="shared" si="21"/>
        <v>0.81852215747391244</v>
      </c>
      <c r="E323" s="99">
        <f t="shared" si="22"/>
        <v>0.91881459345037975</v>
      </c>
      <c r="F32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64248</v>
      </c>
      <c r="G323" s="100">
        <f t="shared" si="23"/>
        <v>5216</v>
      </c>
      <c r="H32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59032</v>
      </c>
      <c r="I32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48319</v>
      </c>
      <c r="J323" s="100">
        <f t="shared" si="24"/>
        <v>10713</v>
      </c>
    </row>
    <row r="324" spans="1:11">
      <c r="A324" s="37">
        <v>2019</v>
      </c>
      <c r="B324" s="37" t="s">
        <v>44</v>
      </c>
      <c r="C324" s="99">
        <f t="shared" si="20"/>
        <v>0.78714089883996874</v>
      </c>
      <c r="D324" s="99">
        <f t="shared" si="21"/>
        <v>0.84579809306598241</v>
      </c>
      <c r="E324" s="99">
        <f t="shared" si="22"/>
        <v>0.93064870362454488</v>
      </c>
      <c r="F32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67843</v>
      </c>
      <c r="G324" s="100">
        <f t="shared" si="23"/>
        <v>4705</v>
      </c>
      <c r="H32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63138</v>
      </c>
      <c r="I32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53402</v>
      </c>
      <c r="J324" s="100">
        <f t="shared" si="24"/>
        <v>9736</v>
      </c>
    </row>
    <row r="325" spans="1:11">
      <c r="A325" s="37">
        <v>2019</v>
      </c>
      <c r="B325" s="37" t="s">
        <v>45</v>
      </c>
      <c r="C325" s="99">
        <f t="shared" si="20"/>
        <v>0.81781979616819811</v>
      </c>
      <c r="D325" s="99">
        <f t="shared" si="21"/>
        <v>0.86084891014096754</v>
      </c>
      <c r="E325" s="99">
        <f t="shared" si="22"/>
        <v>0.95001548649724932</v>
      </c>
      <c r="F32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67801</v>
      </c>
      <c r="G325" s="100">
        <f t="shared" si="23"/>
        <v>3389</v>
      </c>
      <c r="H32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64412</v>
      </c>
      <c r="I32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55449</v>
      </c>
      <c r="J325" s="100">
        <f t="shared" si="24"/>
        <v>8963</v>
      </c>
    </row>
    <row r="326" spans="1:11">
      <c r="A326" s="37">
        <v>2019</v>
      </c>
      <c r="B326" s="37" t="s">
        <v>46</v>
      </c>
      <c r="C326" s="99">
        <f t="shared" si="20"/>
        <v>0.83236142748671227</v>
      </c>
      <c r="D326" s="99">
        <f t="shared" si="21"/>
        <v>0.87990432158222565</v>
      </c>
      <c r="E326" s="99">
        <f t="shared" si="22"/>
        <v>0.94596810933940778</v>
      </c>
      <c r="F326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65850</v>
      </c>
      <c r="G326" s="100">
        <f t="shared" si="23"/>
        <v>3558</v>
      </c>
      <c r="H326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62292</v>
      </c>
      <c r="I326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54811</v>
      </c>
      <c r="J326" s="100">
        <f t="shared" si="24"/>
        <v>7481</v>
      </c>
    </row>
    <row r="327" spans="1:11">
      <c r="A327" s="37">
        <v>2019</v>
      </c>
      <c r="B327" s="37" t="s">
        <v>47</v>
      </c>
      <c r="C327" s="99">
        <f t="shared" ref="C327:C334" si="25">+I327/F327</f>
        <v>0.82173473425067045</v>
      </c>
      <c r="D327" s="99">
        <f t="shared" ref="D327:D334" si="26">+I327/H327</f>
        <v>0.87204528489674049</v>
      </c>
      <c r="E327" s="99">
        <f t="shared" ref="E327:E334" si="27">+H327/F327</f>
        <v>0.94230741050101841</v>
      </c>
      <c r="F32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68241</v>
      </c>
      <c r="G327" s="100">
        <f t="shared" ref="G327:G334" si="28">+F327-H327</f>
        <v>3937</v>
      </c>
      <c r="H32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64304</v>
      </c>
      <c r="I32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56076</v>
      </c>
      <c r="J327" s="100">
        <f t="shared" ref="J327:J334" si="29">+H327-I327</f>
        <v>8228</v>
      </c>
    </row>
    <row r="328" spans="1:11">
      <c r="A328" s="37">
        <v>2019</v>
      </c>
      <c r="B328" s="37" t="s">
        <v>48</v>
      </c>
      <c r="C328" s="99">
        <f t="shared" si="25"/>
        <v>0.80238456066557384</v>
      </c>
      <c r="D328" s="99">
        <f t="shared" si="26"/>
        <v>0.86589456469135395</v>
      </c>
      <c r="E328" s="99">
        <f t="shared" si="27"/>
        <v>0.92665388302972196</v>
      </c>
      <c r="F32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64666</v>
      </c>
      <c r="G328" s="100">
        <f t="shared" si="28"/>
        <v>4743</v>
      </c>
      <c r="H32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59923</v>
      </c>
      <c r="I32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51887</v>
      </c>
      <c r="J328" s="100">
        <f t="shared" si="29"/>
        <v>8036</v>
      </c>
    </row>
    <row r="329" spans="1:11">
      <c r="A329" s="37">
        <v>2019</v>
      </c>
      <c r="B329" s="37" t="s">
        <v>49</v>
      </c>
      <c r="C329" s="99">
        <f t="shared" si="25"/>
        <v>0.81849216779202727</v>
      </c>
      <c r="D329" s="99">
        <f t="shared" si="26"/>
        <v>0.87276915147219891</v>
      </c>
      <c r="E329" s="99">
        <f t="shared" si="27"/>
        <v>0.93781060709052733</v>
      </c>
      <c r="F32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66201</v>
      </c>
      <c r="G329" s="100">
        <f t="shared" si="28"/>
        <v>4117</v>
      </c>
      <c r="H32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62084</v>
      </c>
      <c r="I32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54185</v>
      </c>
      <c r="J329" s="100">
        <f t="shared" si="29"/>
        <v>7899</v>
      </c>
    </row>
    <row r="330" spans="1:11">
      <c r="A330" s="37">
        <v>2020</v>
      </c>
      <c r="B330" s="37" t="s">
        <v>38</v>
      </c>
      <c r="C330" s="99">
        <f t="shared" si="25"/>
        <v>0.87300753196706959</v>
      </c>
      <c r="D330" s="99">
        <f t="shared" si="26"/>
        <v>0.90332130072950811</v>
      </c>
      <c r="E330" s="99">
        <f t="shared" si="27"/>
        <v>0.96644187540141302</v>
      </c>
      <c r="F33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68508</v>
      </c>
      <c r="G330" s="100">
        <f t="shared" si="28"/>
        <v>2299</v>
      </c>
      <c r="H33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66209</v>
      </c>
      <c r="I33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59808</v>
      </c>
      <c r="J330" s="100">
        <f t="shared" si="29"/>
        <v>6401</v>
      </c>
    </row>
    <row r="331" spans="1:11">
      <c r="A331" s="37">
        <v>2020</v>
      </c>
      <c r="B331" s="37" t="s">
        <v>39</v>
      </c>
      <c r="C331" s="99">
        <f t="shared" si="25"/>
        <v>0.85458390745666035</v>
      </c>
      <c r="D331" s="99">
        <f t="shared" si="26"/>
        <v>0.89171612471788009</v>
      </c>
      <c r="E331" s="99">
        <f t="shared" si="27"/>
        <v>0.958358701573365</v>
      </c>
      <c r="F331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62414</v>
      </c>
      <c r="G331" s="100">
        <f t="shared" si="28"/>
        <v>2599</v>
      </c>
      <c r="H331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59815</v>
      </c>
      <c r="I331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53338</v>
      </c>
      <c r="J331" s="100">
        <f t="shared" si="29"/>
        <v>6477</v>
      </c>
    </row>
    <row r="332" spans="1:11">
      <c r="A332" s="37">
        <v>2020</v>
      </c>
      <c r="B332" s="37" t="s">
        <v>40</v>
      </c>
      <c r="C332" s="99">
        <f t="shared" si="25"/>
        <v>0.74980983451376804</v>
      </c>
      <c r="D332" s="99">
        <f t="shared" si="26"/>
        <v>0.8791770721845642</v>
      </c>
      <c r="E332" s="99">
        <f t="shared" si="27"/>
        <v>0.85285417265335794</v>
      </c>
      <c r="F33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59159</v>
      </c>
      <c r="G332" s="100">
        <f t="shared" si="28"/>
        <v>8705</v>
      </c>
      <c r="H33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50454</v>
      </c>
      <c r="I33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44358</v>
      </c>
      <c r="J332" s="100">
        <f t="shared" si="29"/>
        <v>6096</v>
      </c>
    </row>
    <row r="333" spans="1:11">
      <c r="A333" s="37">
        <v>2020</v>
      </c>
      <c r="B333" s="37" t="s">
        <v>41</v>
      </c>
      <c r="C333" s="99">
        <f t="shared" si="25"/>
        <v>0.78375725503584837</v>
      </c>
      <c r="D333" s="99">
        <f t="shared" si="26"/>
        <v>0.93641647970630226</v>
      </c>
      <c r="E333" s="99">
        <f t="shared" si="27"/>
        <v>0.83697507681802663</v>
      </c>
      <c r="F33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46864</v>
      </c>
      <c r="G333" s="100">
        <f t="shared" si="28"/>
        <v>7640</v>
      </c>
      <c r="H33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39224</v>
      </c>
      <c r="I33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36730</v>
      </c>
      <c r="J333" s="100">
        <f t="shared" si="29"/>
        <v>2494</v>
      </c>
    </row>
    <row r="334" spans="1:11">
      <c r="A334" s="37">
        <v>2020</v>
      </c>
      <c r="B334" s="37" t="s">
        <v>42</v>
      </c>
      <c r="C334" s="99">
        <f t="shared" si="25"/>
        <v>0.83630924903521242</v>
      </c>
      <c r="D334" s="99">
        <f t="shared" si="26"/>
        <v>0.94395698297242658</v>
      </c>
      <c r="E334" s="99">
        <f t="shared" si="27"/>
        <v>0.88596118691951176</v>
      </c>
      <c r="F334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54157</v>
      </c>
      <c r="G334" s="100">
        <f t="shared" si="28"/>
        <v>6176</v>
      </c>
      <c r="H334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47981</v>
      </c>
      <c r="I334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45292</v>
      </c>
      <c r="J334" s="100">
        <f t="shared" si="29"/>
        <v>2689</v>
      </c>
    </row>
    <row r="335" spans="1:11">
      <c r="A335" s="37">
        <v>2020</v>
      </c>
      <c r="B335" s="37" t="s">
        <v>43</v>
      </c>
      <c r="C335" s="99">
        <f t="shared" ref="C335" si="30">+I335/F335</f>
        <v>0.85221123686189626</v>
      </c>
      <c r="D335" s="99">
        <f t="shared" ref="D335" si="31">+I335/H335</f>
        <v>0.94849233407508726</v>
      </c>
      <c r="E335" s="99">
        <f t="shared" ref="E335" si="32">+H335/F335</f>
        <v>0.89849037914778873</v>
      </c>
      <c r="F335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54517</v>
      </c>
      <c r="G335" s="100">
        <f t="shared" ref="G335" si="33">+F335-H335</f>
        <v>5534</v>
      </c>
      <c r="H335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48983</v>
      </c>
      <c r="I335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46460</v>
      </c>
      <c r="J335" s="100">
        <f t="shared" ref="J335" si="34">+H335-I335</f>
        <v>2523</v>
      </c>
    </row>
    <row r="336" spans="1:11">
      <c r="A336" s="102">
        <v>2020</v>
      </c>
      <c r="B336" s="102" t="s">
        <v>44</v>
      </c>
      <c r="C336" s="103">
        <f>+I336/F336</f>
        <v>0.81645592550994528</v>
      </c>
      <c r="D336" s="103">
        <f>+I336/H336</f>
        <v>0.95463017876810985</v>
      </c>
      <c r="E336" s="103">
        <f>+H336/F336</f>
        <v>0.85525886743233936</v>
      </c>
      <c r="F336" s="104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55202</v>
      </c>
      <c r="G336" s="104">
        <f>+F336-H336</f>
        <v>7990</v>
      </c>
      <c r="H336" s="104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47212</v>
      </c>
      <c r="I336" s="104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45070</v>
      </c>
      <c r="J336" s="104">
        <f>+H336-I336</f>
        <v>2142</v>
      </c>
      <c r="K336" s="102"/>
    </row>
    <row r="337" spans="1:14">
      <c r="A337" s="37">
        <v>2020</v>
      </c>
      <c r="B337" s="37" t="s">
        <v>45</v>
      </c>
      <c r="C337" s="99">
        <f>+I337/F337</f>
        <v>0.83430730942944054</v>
      </c>
      <c r="D337" s="99">
        <f>+I337/H337</f>
        <v>0.95527271192164809</v>
      </c>
      <c r="E337" s="99">
        <f>+H337/F337</f>
        <v>0.8733708175868744</v>
      </c>
      <c r="F337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54245</v>
      </c>
      <c r="G337" s="100">
        <f>+F337-H337</f>
        <v>6869</v>
      </c>
      <c r="H337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47376</v>
      </c>
      <c r="I337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45257</v>
      </c>
      <c r="J337" s="100">
        <f>+H337-I337</f>
        <v>2119</v>
      </c>
    </row>
    <row r="338" spans="1:14">
      <c r="A338" s="37">
        <v>2020</v>
      </c>
      <c r="B338" s="37" t="s">
        <v>46</v>
      </c>
      <c r="C338" s="99">
        <f>+I338/F338</f>
        <v>0.83295380912709438</v>
      </c>
      <c r="D338" s="99">
        <f>+I338/H338</f>
        <v>0.94190549961270331</v>
      </c>
      <c r="E338" s="99">
        <f>+H338/F338</f>
        <v>0.88432842728871608</v>
      </c>
      <c r="F33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54015</v>
      </c>
      <c r="G338" s="100">
        <f>+F338-H338</f>
        <v>6248</v>
      </c>
      <c r="H33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47767</v>
      </c>
      <c r="I33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44992</v>
      </c>
      <c r="J338" s="100">
        <f>+H338-I338</f>
        <v>2775</v>
      </c>
    </row>
    <row r="339" spans="1:14">
      <c r="A339" s="37">
        <v>2020</v>
      </c>
      <c r="B339" s="37" t="s">
        <v>47</v>
      </c>
      <c r="C339" s="99">
        <f>+I339/F339</f>
        <v>0.82625193833804611</v>
      </c>
      <c r="D339" s="99">
        <f>+I339/H339</f>
        <v>0.93241240169638073</v>
      </c>
      <c r="E339" s="99">
        <f>+H339/F339</f>
        <v>0.88614430356654206</v>
      </c>
      <c r="F339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54815</v>
      </c>
      <c r="G339" s="100">
        <f>+F339-H339</f>
        <v>6241</v>
      </c>
      <c r="H339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48574</v>
      </c>
      <c r="I339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45291</v>
      </c>
      <c r="J339" s="100">
        <f>+H339-I339</f>
        <v>3283</v>
      </c>
    </row>
    <row r="340" spans="1:14">
      <c r="A340" s="37">
        <v>2020</v>
      </c>
      <c r="B340" s="37" t="s">
        <v>48</v>
      </c>
      <c r="C340" s="99">
        <f t="shared" ref="C340" si="35">+I340/F340</f>
        <v>0.81478171585031944</v>
      </c>
      <c r="D340" s="99">
        <f t="shared" ref="D340" si="36">+I340/H340</f>
        <v>0.92861631812764112</v>
      </c>
      <c r="E340" s="99">
        <f t="shared" ref="E340" si="37">+H340/F340</f>
        <v>0.8774148159415881</v>
      </c>
      <c r="F340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52592</v>
      </c>
      <c r="G340" s="100">
        <f t="shared" ref="G340" si="38">+F340-H340</f>
        <v>6447</v>
      </c>
      <c r="H340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46145</v>
      </c>
      <c r="I340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42851</v>
      </c>
      <c r="J340" s="100">
        <f t="shared" ref="J340" si="39">+H340-I340</f>
        <v>3294</v>
      </c>
    </row>
    <row r="341" spans="1:14">
      <c r="A341" s="102">
        <v>2020</v>
      </c>
      <c r="B341" s="102" t="s">
        <v>49</v>
      </c>
      <c r="C341" s="103">
        <f>+I341/F341</f>
        <v>0.78969771164893121</v>
      </c>
      <c r="D341" s="103">
        <f>+I341/H341</f>
        <v>0.90342806662213704</v>
      </c>
      <c r="E341" s="103">
        <f>+H341/F341</f>
        <v>0.87411243996609855</v>
      </c>
      <c r="F341" s="104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53095</v>
      </c>
      <c r="G341" s="104">
        <f>+F341-H341</f>
        <v>6684</v>
      </c>
      <c r="H341" s="104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46411</v>
      </c>
      <c r="I341" s="104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41929</v>
      </c>
      <c r="J341" s="104">
        <f>+H341-I341</f>
        <v>4482</v>
      </c>
      <c r="K341" s="102"/>
    </row>
    <row r="342" spans="1:14">
      <c r="A342" s="49">
        <v>2021</v>
      </c>
      <c r="B342" s="52" t="s">
        <v>38</v>
      </c>
      <c r="C342" s="99">
        <f t="shared" ref="C342:C343" si="40">+I342/F342</f>
        <v>0.82943925233644855</v>
      </c>
      <c r="D342" s="99">
        <f t="shared" ref="D342:D343" si="41">+I342/H342</f>
        <v>0.91105362853127481</v>
      </c>
      <c r="E342" s="99">
        <f t="shared" ref="E342:E343" si="42">+H342/F342</f>
        <v>0.91041759382880882</v>
      </c>
      <c r="F342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53928</v>
      </c>
      <c r="G342" s="100">
        <f t="shared" ref="G342:G343" si="43">+F342-H342</f>
        <v>4831</v>
      </c>
      <c r="H342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49097</v>
      </c>
      <c r="I342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44730</v>
      </c>
      <c r="J342" s="100">
        <f t="shared" ref="J342:J343" si="44">+H342-I342</f>
        <v>4367</v>
      </c>
    </row>
    <row r="343" spans="1:14">
      <c r="A343" s="49">
        <v>2021</v>
      </c>
      <c r="B343" s="52" t="s">
        <v>39</v>
      </c>
      <c r="C343" s="99">
        <f t="shared" si="40"/>
        <v>0.81825679938965301</v>
      </c>
      <c r="D343" s="99">
        <f t="shared" si="41"/>
        <v>0.89872041671384895</v>
      </c>
      <c r="E343" s="99">
        <f t="shared" si="42"/>
        <v>0.9104686887848733</v>
      </c>
      <c r="F343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48497</v>
      </c>
      <c r="G343" s="100">
        <f t="shared" si="43"/>
        <v>4342</v>
      </c>
      <c r="H343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44155</v>
      </c>
      <c r="I343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39683</v>
      </c>
      <c r="J343" s="100">
        <f t="shared" si="44"/>
        <v>4472</v>
      </c>
    </row>
    <row r="344" spans="1:14" s="6" customFormat="1" ht="17.25" customHeight="1">
      <c r="A344" s="49">
        <v>2021</v>
      </c>
      <c r="B344" s="52" t="s">
        <v>40</v>
      </c>
      <c r="C344" s="99">
        <f t="shared" ref="C344:C345" si="45">+I344/F344</f>
        <v>0.82690141356880698</v>
      </c>
      <c r="D344" s="99">
        <f t="shared" ref="D344:D345" si="46">+I344/H344</f>
        <v>0.89073080987982933</v>
      </c>
      <c r="E344" s="99">
        <f t="shared" ref="E344:E345" si="47">+H344/F344</f>
        <v>0.92834041934663325</v>
      </c>
      <c r="F344" s="15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55038</v>
      </c>
      <c r="G344" s="152">
        <f t="shared" ref="G344:G345" si="48">+F344-H344</f>
        <v>3944</v>
      </c>
      <c r="H344" s="15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51094</v>
      </c>
      <c r="I344" s="15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45511</v>
      </c>
      <c r="J344" s="152">
        <f t="shared" ref="J344:J345" si="49">+H344-I344</f>
        <v>5583</v>
      </c>
      <c r="K344" s="151"/>
    </row>
    <row r="345" spans="1:14">
      <c r="A345" s="49">
        <v>2021</v>
      </c>
      <c r="B345" s="52" t="s">
        <v>41</v>
      </c>
      <c r="C345" s="99">
        <f t="shared" si="45"/>
        <v>0.78864732068640675</v>
      </c>
      <c r="D345" s="99">
        <f t="shared" si="46"/>
        <v>0.8766760436130675</v>
      </c>
      <c r="E345" s="99">
        <f t="shared" si="47"/>
        <v>0.89958808208803587</v>
      </c>
      <c r="F345" s="15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54137</v>
      </c>
      <c r="G345" s="152">
        <f t="shared" si="48"/>
        <v>5436</v>
      </c>
      <c r="H345" s="15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48701</v>
      </c>
      <c r="I345" s="15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42695</v>
      </c>
      <c r="J345" s="152">
        <f t="shared" si="49"/>
        <v>6006</v>
      </c>
      <c r="K345" s="151"/>
      <c r="M345" s="155"/>
      <c r="N345" s="155"/>
    </row>
    <row r="346" spans="1:14">
      <c r="A346" s="49">
        <v>2021</v>
      </c>
      <c r="B346" s="52" t="s">
        <v>42</v>
      </c>
      <c r="C346" s="99">
        <f t="shared" ref="C346:C347" si="50">+I346/F346</f>
        <v>0.83293138680756273</v>
      </c>
      <c r="D346" s="99">
        <f t="shared" ref="D346:D347" si="51">+I346/H346</f>
        <v>0.90247940478327648</v>
      </c>
      <c r="E346" s="99">
        <f t="shared" ref="E346:E347" si="52">+H346/F346</f>
        <v>0.92293672563927909</v>
      </c>
      <c r="F346" s="158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54319</v>
      </c>
      <c r="G346" s="158">
        <f t="shared" ref="G346:G347" si="53">+F346-H346</f>
        <v>4186</v>
      </c>
      <c r="H346" s="158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50133</v>
      </c>
      <c r="I346" s="158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45244</v>
      </c>
      <c r="J346" s="158">
        <f t="shared" ref="J346:J347" si="54">+H346-I346</f>
        <v>4889</v>
      </c>
      <c r="K346" s="157"/>
    </row>
    <row r="347" spans="1:14">
      <c r="A347" s="49">
        <v>2021</v>
      </c>
      <c r="B347" s="52" t="s">
        <v>43</v>
      </c>
      <c r="C347" s="99">
        <f t="shared" si="50"/>
        <v>0.81865765702681881</v>
      </c>
      <c r="D347" s="99">
        <f t="shared" si="51"/>
        <v>0.8972735470749631</v>
      </c>
      <c r="E347" s="99">
        <f t="shared" si="52"/>
        <v>0.91238358658357255</v>
      </c>
      <c r="F347" s="158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57124</v>
      </c>
      <c r="G347" s="158">
        <f t="shared" si="53"/>
        <v>5005</v>
      </c>
      <c r="H347" s="158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52119</v>
      </c>
      <c r="I347" s="158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46765</v>
      </c>
      <c r="J347" s="158">
        <f t="shared" si="54"/>
        <v>5354</v>
      </c>
      <c r="K347" s="157"/>
    </row>
    <row r="348" spans="1:14" ht="17.25" customHeight="1">
      <c r="A348" s="49">
        <v>2021</v>
      </c>
      <c r="B348" s="52" t="s">
        <v>44</v>
      </c>
      <c r="C348" s="99">
        <f>+I348/F348</f>
        <v>0.81371649852236827</v>
      </c>
      <c r="D348" s="99">
        <f>+I348/H348</f>
        <v>0.89339325339847464</v>
      </c>
      <c r="E348" s="99">
        <f>+H348/F348</f>
        <v>0.91081558476850433</v>
      </c>
      <c r="F348" s="10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58878</v>
      </c>
      <c r="G348" s="100">
        <f>+F348-H348</f>
        <v>5251</v>
      </c>
      <c r="H348" s="10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53627</v>
      </c>
      <c r="I348" s="10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47910</v>
      </c>
      <c r="J348" s="100">
        <f>+H348-I348</f>
        <v>5717</v>
      </c>
    </row>
    <row r="349" spans="1:14">
      <c r="A349" s="49">
        <v>2021</v>
      </c>
      <c r="B349" s="52" t="s">
        <v>45</v>
      </c>
      <c r="C349" s="164">
        <f>+I349/F349</f>
        <v>0.78127831244978552</v>
      </c>
      <c r="D349" s="164">
        <f>+I349/H349</f>
        <v>0.85673046281890264</v>
      </c>
      <c r="E349" s="164">
        <f>+H349/F349</f>
        <v>0.91193011846356353</v>
      </c>
      <c r="F349" s="165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58499</v>
      </c>
      <c r="G349" s="165">
        <f>+F349-H349</f>
        <v>5152</v>
      </c>
      <c r="H349" s="165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53347</v>
      </c>
      <c r="I349" s="165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45704</v>
      </c>
      <c r="J349" s="165">
        <f>+H349-I349</f>
        <v>7643</v>
      </c>
      <c r="K349" s="163"/>
    </row>
    <row r="350" spans="1:14">
      <c r="A350" s="6" t="s">
        <v>93</v>
      </c>
      <c r="B350" s="6"/>
      <c r="C350" s="8">
        <f>+I350/F350</f>
        <v>0.83555048248681651</v>
      </c>
      <c r="D350" s="8">
        <f>+I350/H350</f>
        <v>0.88864129369954514</v>
      </c>
      <c r="E350" s="8">
        <f>+H350/F350</f>
        <v>0.94025619607242894</v>
      </c>
      <c r="F350" s="9">
        <f>SUBTOTAL(109,RED[Trenes Programados])</f>
        <v>21853965</v>
      </c>
      <c r="G350" s="9">
        <f>SUBTOTAL(109,RED[Trenes Cancelados])</f>
        <v>1305639</v>
      </c>
      <c r="H350" s="9">
        <f>SUBTOTAL(109,RED[Trenes Corridos])</f>
        <v>20548326</v>
      </c>
      <c r="I350" s="9">
        <f>SUBTOTAL(109,RED[Trenes Puntuales])</f>
        <v>18260091</v>
      </c>
      <c r="J350" s="9">
        <f>SUBTOTAL(109,RED[Trenes Atrasados])</f>
        <v>2288235</v>
      </c>
      <c r="K350" s="6">
        <f>SUBTOTAL(103,RED[Observaciones])</f>
        <v>1</v>
      </c>
    </row>
  </sheetData>
  <phoneticPr fontId="0" type="noConversion"/>
  <printOptions horizontalCentered="1"/>
  <pageMargins left="0.39370078740157483" right="0.39370078740157483" top="1.7716535433070868" bottom="0.39370078740157483" header="0.98425196850393704" footer="0"/>
  <pageSetup paperSize="9" scale="10" orientation="portrait" r:id="rId1"/>
  <headerFooter alignWithMargins="0">
    <oddHeader>&amp;C&amp;14Cumplimiento de la Programación de Trenes
Red Metropolitana de Pasajeros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6">
    <pageSetUpPr fitToPage="1"/>
  </sheetPr>
  <dimension ref="A1:BS356"/>
  <sheetViews>
    <sheetView showGridLines="0" tabSelected="1" topLeftCell="Y1" zoomScale="80" zoomScaleNormal="80" workbookViewId="0">
      <pane ySplit="5" topLeftCell="A328" activePane="bottomLeft" state="frozen"/>
      <selection pane="bottomLeft" activeCell="U349" sqref="U349"/>
    </sheetView>
  </sheetViews>
  <sheetFormatPr baseColWidth="10" defaultColWidth="11.5546875" defaultRowHeight="15"/>
  <cols>
    <col min="1" max="1" width="5.77734375" style="21" customWidth="1"/>
    <col min="2" max="2" width="8.77734375" style="41" bestFit="1" customWidth="1"/>
    <col min="3" max="8" width="8.77734375" style="21" customWidth="1"/>
    <col min="9" max="9" width="8.6640625" style="21" customWidth="1"/>
    <col min="10" max="10" width="8.77734375" style="21" customWidth="1"/>
    <col min="11" max="11" width="19.88671875" style="21" customWidth="1"/>
    <col min="12" max="12" width="7.77734375" style="21" customWidth="1"/>
    <col min="13" max="13" width="5.77734375" style="21" customWidth="1"/>
    <col min="14" max="14" width="9.109375" style="21" customWidth="1"/>
    <col min="15" max="22" width="8.77734375" style="21" customWidth="1"/>
    <col min="23" max="23" width="15.77734375" style="21" customWidth="1"/>
    <col min="24" max="24" width="7.77734375" style="21" customWidth="1"/>
    <col min="25" max="25" width="5.77734375" style="21" customWidth="1"/>
    <col min="26" max="26" width="8.88671875" style="21" bestFit="1" customWidth="1"/>
    <col min="27" max="34" width="8.77734375" style="21" customWidth="1"/>
    <col min="35" max="35" width="15.77734375" style="21" customWidth="1"/>
    <col min="36" max="36" width="7.77734375" style="21" customWidth="1"/>
    <col min="37" max="37" width="5.77734375" style="21" customWidth="1"/>
    <col min="38" max="38" width="8.88671875" style="108" bestFit="1" customWidth="1"/>
    <col min="39" max="46" width="8.77734375" style="21" customWidth="1"/>
    <col min="47" max="47" width="14" style="21" customWidth="1"/>
    <col min="48" max="48" width="7.77734375" style="21" customWidth="1"/>
    <col min="49" max="49" width="5.77734375" style="21" customWidth="1"/>
    <col min="50" max="50" width="8.88671875" style="41" bestFit="1" customWidth="1"/>
    <col min="51" max="58" width="8.77734375" style="21" customWidth="1"/>
    <col min="59" max="59" width="14" style="21" customWidth="1"/>
    <col min="60" max="60" width="7.77734375" style="21" customWidth="1"/>
    <col min="61" max="61" width="5.77734375" style="21" customWidth="1"/>
    <col min="62" max="62" width="8.88671875" style="41" bestFit="1" customWidth="1"/>
    <col min="63" max="70" width="8.77734375" style="21" customWidth="1"/>
    <col min="71" max="71" width="14" style="21" customWidth="1"/>
    <col min="72" max="16384" width="11.5546875" style="21"/>
  </cols>
  <sheetData>
    <row r="1" spans="1:71" s="13" customFormat="1" ht="20.25">
      <c r="A1" s="14" t="s">
        <v>7</v>
      </c>
      <c r="B1" s="39"/>
      <c r="D1" s="14"/>
      <c r="E1" s="14"/>
      <c r="F1" s="14"/>
      <c r="G1" s="14"/>
      <c r="H1" s="14"/>
      <c r="I1" s="14"/>
      <c r="J1" s="14"/>
      <c r="K1" s="14"/>
      <c r="L1" s="15"/>
      <c r="M1" s="14" t="s">
        <v>7</v>
      </c>
      <c r="N1" s="14"/>
      <c r="O1" s="14"/>
      <c r="P1" s="14"/>
      <c r="Q1" s="14"/>
      <c r="R1" s="14"/>
      <c r="S1" s="14"/>
      <c r="T1" s="14"/>
      <c r="U1" s="14"/>
      <c r="W1" s="15"/>
      <c r="X1" s="15"/>
      <c r="Y1" s="14" t="s">
        <v>7</v>
      </c>
      <c r="Z1" s="14"/>
      <c r="AA1" s="14"/>
      <c r="AB1" s="14"/>
      <c r="AC1" s="14"/>
      <c r="AD1" s="14"/>
      <c r="AE1" s="14"/>
      <c r="AF1" s="14"/>
      <c r="AG1" s="14"/>
      <c r="AI1" s="15"/>
      <c r="AJ1" s="15"/>
      <c r="AL1" s="166" t="s">
        <v>7</v>
      </c>
      <c r="AM1" s="166"/>
      <c r="AN1" s="166"/>
      <c r="AO1" s="166"/>
      <c r="AP1" s="166"/>
      <c r="AQ1" s="166"/>
      <c r="AR1" s="166"/>
      <c r="AS1" s="166"/>
      <c r="AT1" s="166"/>
      <c r="AU1" s="15"/>
      <c r="AV1" s="15"/>
      <c r="AW1" s="14" t="s">
        <v>7</v>
      </c>
      <c r="AX1" s="14"/>
      <c r="AY1" s="14"/>
      <c r="AZ1" s="14"/>
      <c r="BA1" s="14"/>
      <c r="BB1" s="14"/>
      <c r="BC1" s="14"/>
      <c r="BD1" s="14"/>
      <c r="BE1" s="14"/>
      <c r="BG1" s="15"/>
      <c r="BH1" s="15"/>
      <c r="BI1" s="14" t="s">
        <v>7</v>
      </c>
      <c r="BJ1" s="14"/>
      <c r="BK1" s="14"/>
      <c r="BL1" s="14"/>
      <c r="BM1" s="14"/>
      <c r="BN1" s="14"/>
      <c r="BO1" s="14"/>
      <c r="BP1" s="14"/>
      <c r="BQ1" s="14"/>
    </row>
    <row r="2" spans="1:71" s="13" customFormat="1" ht="20.25">
      <c r="A2" s="14" t="s">
        <v>5</v>
      </c>
      <c r="B2" s="39"/>
      <c r="D2" s="14"/>
      <c r="E2" s="14"/>
      <c r="F2" s="14"/>
      <c r="G2" s="14"/>
      <c r="H2" s="14"/>
      <c r="I2" s="14"/>
      <c r="J2" s="14"/>
      <c r="K2" s="14"/>
      <c r="L2" s="15"/>
      <c r="M2" s="14" t="s">
        <v>5</v>
      </c>
      <c r="N2" s="14"/>
      <c r="O2" s="14"/>
      <c r="P2" s="14"/>
      <c r="Q2" s="14"/>
      <c r="R2" s="14"/>
      <c r="S2" s="14"/>
      <c r="T2" s="14"/>
      <c r="U2" s="14"/>
      <c r="W2" s="15"/>
      <c r="X2" s="15"/>
      <c r="Y2" s="14" t="s">
        <v>5</v>
      </c>
      <c r="Z2" s="14"/>
      <c r="AA2" s="14"/>
      <c r="AB2" s="14"/>
      <c r="AC2" s="14"/>
      <c r="AD2" s="14"/>
      <c r="AE2" s="14"/>
      <c r="AF2" s="14"/>
      <c r="AG2" s="14"/>
      <c r="AI2" s="15"/>
      <c r="AJ2" s="15"/>
      <c r="AL2" s="166" t="s">
        <v>5</v>
      </c>
      <c r="AM2" s="166"/>
      <c r="AN2" s="166"/>
      <c r="AO2" s="166"/>
      <c r="AP2" s="166"/>
      <c r="AQ2" s="166"/>
      <c r="AR2" s="166"/>
      <c r="AS2" s="166"/>
      <c r="AT2" s="166"/>
      <c r="AU2" s="15"/>
      <c r="AV2" s="15"/>
      <c r="AW2" s="14" t="s">
        <v>5</v>
      </c>
      <c r="AX2" s="14"/>
      <c r="AY2" s="14"/>
      <c r="AZ2" s="14"/>
      <c r="BA2" s="14"/>
      <c r="BB2" s="14"/>
      <c r="BC2" s="14"/>
      <c r="BD2" s="14"/>
      <c r="BE2" s="14"/>
      <c r="BG2" s="15"/>
      <c r="BH2" s="15"/>
      <c r="BI2" s="14" t="s">
        <v>5</v>
      </c>
      <c r="BJ2" s="14"/>
      <c r="BK2" s="14"/>
      <c r="BL2" s="14"/>
      <c r="BM2" s="14"/>
      <c r="BN2" s="14"/>
      <c r="BO2" s="14"/>
      <c r="BP2" s="14"/>
      <c r="BQ2" s="14"/>
    </row>
    <row r="3" spans="1:71" s="16" customFormat="1" ht="15.75">
      <c r="A3" s="16" t="s">
        <v>37</v>
      </c>
      <c r="B3" s="18"/>
      <c r="C3" s="17"/>
      <c r="D3" s="17"/>
      <c r="E3" s="17"/>
      <c r="F3" s="17"/>
      <c r="G3" s="17"/>
      <c r="H3" s="17"/>
      <c r="I3" s="17"/>
      <c r="J3" s="17"/>
      <c r="K3" s="17"/>
      <c r="L3" s="17"/>
      <c r="M3" s="18" t="s">
        <v>14</v>
      </c>
      <c r="O3" s="17"/>
      <c r="P3" s="17"/>
      <c r="Q3" s="17"/>
      <c r="R3" s="17"/>
      <c r="S3" s="17"/>
      <c r="T3" s="17"/>
      <c r="U3" s="17"/>
      <c r="W3" s="17"/>
      <c r="X3" s="17"/>
      <c r="Y3" s="18" t="s">
        <v>15</v>
      </c>
      <c r="Z3" s="17"/>
      <c r="AB3" s="17"/>
      <c r="AC3" s="17"/>
      <c r="AD3" s="17"/>
      <c r="AE3" s="17"/>
      <c r="AF3" s="17"/>
      <c r="AG3" s="17"/>
      <c r="AH3" s="17"/>
      <c r="AI3" s="17"/>
      <c r="AJ3" s="17"/>
      <c r="AK3" s="18" t="s">
        <v>16</v>
      </c>
      <c r="AL3" s="17"/>
      <c r="AN3" s="17"/>
      <c r="AO3" s="17"/>
      <c r="AP3" s="17"/>
      <c r="AQ3" s="17"/>
      <c r="AR3" s="17"/>
      <c r="AS3" s="17"/>
      <c r="AT3" s="17"/>
      <c r="AU3" s="17"/>
      <c r="AV3" s="17"/>
      <c r="AW3" s="18" t="s">
        <v>17</v>
      </c>
      <c r="AX3" s="17"/>
      <c r="AZ3" s="17"/>
      <c r="BA3" s="17"/>
      <c r="BB3" s="17"/>
      <c r="BC3" s="17"/>
      <c r="BD3" s="17"/>
      <c r="BE3" s="17"/>
      <c r="BF3" s="17"/>
      <c r="BG3" s="17"/>
      <c r="BH3" s="17"/>
      <c r="BI3" s="18" t="s">
        <v>18</v>
      </c>
      <c r="BJ3" s="17"/>
      <c r="BL3" s="17"/>
      <c r="BM3" s="17"/>
      <c r="BN3" s="17"/>
      <c r="BO3" s="17"/>
      <c r="BP3" s="17"/>
      <c r="BQ3" s="17"/>
      <c r="BR3" s="17"/>
      <c r="BS3" s="17"/>
    </row>
    <row r="4" spans="1:71" s="3" customFormat="1" ht="12.75">
      <c r="B4" s="40"/>
      <c r="C4" s="1"/>
      <c r="D4" s="1"/>
      <c r="E4" s="1"/>
      <c r="F4" s="1"/>
      <c r="G4" s="1"/>
      <c r="H4" s="1"/>
      <c r="I4" s="1"/>
      <c r="J4" s="1"/>
      <c r="K4" s="1"/>
      <c r="L4" s="1"/>
      <c r="N4" s="19"/>
      <c r="O4" s="1"/>
      <c r="P4" s="1"/>
      <c r="Q4" s="1"/>
      <c r="R4" s="1"/>
      <c r="S4" s="1"/>
      <c r="T4" s="1"/>
      <c r="U4" s="1"/>
      <c r="V4" s="1"/>
      <c r="W4" s="1"/>
      <c r="X4" s="1"/>
      <c r="Z4" s="19"/>
      <c r="AA4" s="1"/>
      <c r="AB4" s="1"/>
      <c r="AC4" s="1"/>
      <c r="AD4" s="1"/>
      <c r="AE4" s="1"/>
      <c r="AF4" s="1"/>
      <c r="AG4" s="1"/>
      <c r="AH4" s="1"/>
      <c r="AI4" s="1"/>
      <c r="AJ4" s="1"/>
      <c r="AL4" s="19"/>
      <c r="AM4" s="1"/>
      <c r="AN4" s="1"/>
      <c r="AO4" s="1"/>
      <c r="AP4" s="1"/>
      <c r="AQ4" s="1"/>
      <c r="AR4" s="1"/>
      <c r="AS4" s="1"/>
      <c r="AT4" s="1"/>
      <c r="AU4" s="1"/>
      <c r="AV4" s="1"/>
      <c r="AX4" s="19"/>
      <c r="AY4" s="1"/>
      <c r="AZ4" s="1"/>
      <c r="BA4" s="1"/>
      <c r="BB4" s="1"/>
      <c r="BC4" s="1"/>
      <c r="BD4" s="1"/>
      <c r="BE4" s="1"/>
      <c r="BF4" s="1"/>
      <c r="BG4" s="1"/>
      <c r="BH4" s="1"/>
      <c r="BJ4" s="19"/>
      <c r="BK4" s="1"/>
      <c r="BL4" s="1"/>
      <c r="BM4" s="1"/>
      <c r="BN4" s="1"/>
      <c r="BO4" s="1"/>
      <c r="BP4" s="1"/>
      <c r="BQ4" s="1"/>
      <c r="BR4" s="1"/>
    </row>
    <row r="5" spans="1:71" s="23" customFormat="1" ht="54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  <c r="L5" s="22"/>
      <c r="M5" s="78" t="s">
        <v>34</v>
      </c>
      <c r="N5" s="78" t="s">
        <v>33</v>
      </c>
      <c r="O5" s="78" t="s">
        <v>8</v>
      </c>
      <c r="P5" s="78" t="s">
        <v>10</v>
      </c>
      <c r="Q5" s="78" t="s">
        <v>9</v>
      </c>
      <c r="R5" s="78" t="s">
        <v>54</v>
      </c>
      <c r="S5" s="78" t="s">
        <v>55</v>
      </c>
      <c r="T5" s="78" t="s">
        <v>27</v>
      </c>
      <c r="U5" s="78" t="s">
        <v>56</v>
      </c>
      <c r="V5" s="78" t="s">
        <v>57</v>
      </c>
      <c r="W5" s="78" t="s">
        <v>36</v>
      </c>
      <c r="X5" s="22"/>
      <c r="Y5" s="78" t="s">
        <v>34</v>
      </c>
      <c r="Z5" s="78" t="s">
        <v>33</v>
      </c>
      <c r="AA5" s="78" t="s">
        <v>8</v>
      </c>
      <c r="AB5" s="78" t="s">
        <v>10</v>
      </c>
      <c r="AC5" s="78" t="s">
        <v>9</v>
      </c>
      <c r="AD5" s="78" t="s">
        <v>54</v>
      </c>
      <c r="AE5" s="78" t="s">
        <v>55</v>
      </c>
      <c r="AF5" s="78" t="s">
        <v>27</v>
      </c>
      <c r="AG5" s="78" t="s">
        <v>56</v>
      </c>
      <c r="AH5" s="78" t="s">
        <v>57</v>
      </c>
      <c r="AI5" s="78" t="s">
        <v>36</v>
      </c>
      <c r="AJ5" s="22"/>
      <c r="AK5" s="78" t="s">
        <v>34</v>
      </c>
      <c r="AL5" s="78" t="s">
        <v>33</v>
      </c>
      <c r="AM5" s="78" t="s">
        <v>8</v>
      </c>
      <c r="AN5" s="78" t="s">
        <v>10</v>
      </c>
      <c r="AO5" s="78" t="s">
        <v>9</v>
      </c>
      <c r="AP5" s="78" t="s">
        <v>54</v>
      </c>
      <c r="AQ5" s="78" t="s">
        <v>55</v>
      </c>
      <c r="AR5" s="78" t="s">
        <v>27</v>
      </c>
      <c r="AS5" s="78" t="s">
        <v>56</v>
      </c>
      <c r="AT5" s="78" t="s">
        <v>57</v>
      </c>
      <c r="AU5" s="78" t="s">
        <v>36</v>
      </c>
      <c r="AV5" s="22"/>
      <c r="AW5" s="78" t="s">
        <v>34</v>
      </c>
      <c r="AX5" s="78" t="s">
        <v>33</v>
      </c>
      <c r="AY5" s="78" t="s">
        <v>8</v>
      </c>
      <c r="AZ5" s="78" t="s">
        <v>10</v>
      </c>
      <c r="BA5" s="78" t="s">
        <v>9</v>
      </c>
      <c r="BB5" s="78" t="s">
        <v>54</v>
      </c>
      <c r="BC5" s="78" t="s">
        <v>55</v>
      </c>
      <c r="BD5" s="78" t="s">
        <v>27</v>
      </c>
      <c r="BE5" s="78" t="s">
        <v>56</v>
      </c>
      <c r="BF5" s="78" t="s">
        <v>57</v>
      </c>
      <c r="BG5" s="78" t="s">
        <v>36</v>
      </c>
      <c r="BH5" s="22"/>
      <c r="BI5" s="78" t="s">
        <v>34</v>
      </c>
      <c r="BJ5" s="78" t="s">
        <v>33</v>
      </c>
      <c r="BK5" s="78" t="s">
        <v>8</v>
      </c>
      <c r="BL5" s="78" t="s">
        <v>10</v>
      </c>
      <c r="BM5" s="78" t="s">
        <v>9</v>
      </c>
      <c r="BN5" s="78" t="s">
        <v>54</v>
      </c>
      <c r="BO5" s="78" t="s">
        <v>55</v>
      </c>
      <c r="BP5" s="78" t="s">
        <v>27</v>
      </c>
      <c r="BQ5" s="78" t="s">
        <v>56</v>
      </c>
      <c r="BR5" s="78" t="s">
        <v>57</v>
      </c>
      <c r="BS5" s="78" t="s">
        <v>36</v>
      </c>
    </row>
    <row r="6" spans="1:71" s="3" customFormat="1" ht="12.75">
      <c r="A6" s="3">
        <v>1993</v>
      </c>
      <c r="B6" s="38" t="s">
        <v>38</v>
      </c>
      <c r="C6" s="25">
        <f>+MITRE[[#This Row],[Trenes Puntuales]]/MITRE[[#This Row],[Trenes Programados]]</f>
        <v>0.80596813394544964</v>
      </c>
      <c r="D6" s="25">
        <f>+MITRE[[#This Row],[Trenes Puntuales]]/MITRE[[#This Row],[Trenes Corridos]]</f>
        <v>0.896650142706925</v>
      </c>
      <c r="E6" s="25">
        <f>+MITRE[[#This Row],[Trenes Corridos]]/MITRE[[#This Row],[Trenes Programados]]</f>
        <v>0.89886578449905485</v>
      </c>
      <c r="F6" s="20">
        <v>14812</v>
      </c>
      <c r="G6" s="20">
        <f t="shared" ref="G6:G17" si="0">F6-H6</f>
        <v>1498</v>
      </c>
      <c r="H6" s="20">
        <v>13314</v>
      </c>
      <c r="I6" s="20">
        <v>11938</v>
      </c>
      <c r="J6" s="20">
        <f t="shared" ref="J6:J17" si="1">H6-I6</f>
        <v>1376</v>
      </c>
      <c r="K6" s="20"/>
      <c r="L6" s="5"/>
      <c r="M6" s="29"/>
      <c r="N6" s="24"/>
      <c r="O6" s="30"/>
      <c r="P6" s="30"/>
      <c r="Q6" s="30"/>
      <c r="R6" s="20"/>
      <c r="S6" s="20"/>
      <c r="T6" s="20"/>
      <c r="U6" s="20"/>
      <c r="V6" s="20"/>
      <c r="W6" s="20"/>
      <c r="X6" s="5"/>
      <c r="Y6" s="29"/>
      <c r="Z6" s="24"/>
      <c r="AA6" s="30"/>
      <c r="AB6" s="30"/>
      <c r="AC6" s="30"/>
      <c r="AD6" s="20"/>
      <c r="AE6" s="20"/>
      <c r="AF6" s="20"/>
      <c r="AG6" s="20"/>
      <c r="AH6" s="20"/>
      <c r="AI6" s="20"/>
      <c r="AJ6" s="5"/>
      <c r="AK6" s="29"/>
      <c r="AL6" s="24"/>
      <c r="AM6" s="30"/>
      <c r="AN6" s="30"/>
      <c r="AO6" s="30"/>
      <c r="AP6" s="20"/>
      <c r="AQ6" s="20"/>
      <c r="AR6" s="20"/>
      <c r="AS6" s="20"/>
      <c r="AT6" s="20"/>
      <c r="AU6" s="20"/>
      <c r="AV6" s="5"/>
      <c r="AW6" s="29"/>
      <c r="AX6" s="24"/>
      <c r="AY6" s="30"/>
      <c r="AZ6" s="30"/>
      <c r="BA6" s="30"/>
      <c r="BB6" s="20"/>
      <c r="BC6" s="20"/>
      <c r="BD6" s="20"/>
      <c r="BE6" s="20"/>
      <c r="BF6" s="20"/>
      <c r="BG6" s="20"/>
      <c r="BH6" s="5"/>
      <c r="BI6" s="29"/>
      <c r="BJ6" s="24"/>
      <c r="BK6" s="30"/>
      <c r="BL6" s="30"/>
      <c r="BM6" s="30"/>
      <c r="BN6" s="20"/>
      <c r="BO6" s="20"/>
      <c r="BP6" s="20"/>
      <c r="BQ6" s="20"/>
      <c r="BR6" s="20"/>
      <c r="BS6" s="29"/>
    </row>
    <row r="7" spans="1:71" s="3" customFormat="1" ht="12.75">
      <c r="A7" s="3">
        <v>1993</v>
      </c>
      <c r="B7" s="38" t="s">
        <v>39</v>
      </c>
      <c r="C7" s="25">
        <f>+MITRE[[#This Row],[Trenes Puntuales]]/MITRE[[#This Row],[Trenes Programados]]</f>
        <v>0.72908772952491985</v>
      </c>
      <c r="D7" s="25">
        <f>+MITRE[[#This Row],[Trenes Puntuales]]/MITRE[[#This Row],[Trenes Corridos]]</f>
        <v>0.83127025006230792</v>
      </c>
      <c r="E7" s="25">
        <f>+MITRE[[#This Row],[Trenes Corridos]]/MITRE[[#This Row],[Trenes Programados]]</f>
        <v>0.87707665403672397</v>
      </c>
      <c r="F7" s="20">
        <v>13724</v>
      </c>
      <c r="G7" s="20">
        <f t="shared" si="0"/>
        <v>1687</v>
      </c>
      <c r="H7" s="20">
        <v>12037</v>
      </c>
      <c r="I7" s="20">
        <v>10006</v>
      </c>
      <c r="J7" s="20">
        <f t="shared" si="1"/>
        <v>2031</v>
      </c>
      <c r="K7" s="20"/>
      <c r="L7" s="5"/>
      <c r="M7" s="29"/>
      <c r="N7" s="24"/>
      <c r="O7" s="30"/>
      <c r="P7" s="30"/>
      <c r="Q7" s="30"/>
      <c r="R7" s="20"/>
      <c r="S7" s="20"/>
      <c r="T7" s="20"/>
      <c r="U7" s="20"/>
      <c r="V7" s="20"/>
      <c r="W7" s="20"/>
      <c r="X7" s="5"/>
      <c r="Y7" s="29"/>
      <c r="Z7" s="24"/>
      <c r="AA7" s="30"/>
      <c r="AB7" s="30"/>
      <c r="AC7" s="30"/>
      <c r="AD7" s="20"/>
      <c r="AE7" s="20"/>
      <c r="AF7" s="20"/>
      <c r="AG7" s="20"/>
      <c r="AH7" s="20"/>
      <c r="AI7" s="20"/>
      <c r="AJ7" s="5"/>
      <c r="AK7" s="29"/>
      <c r="AL7" s="24"/>
      <c r="AM7" s="30"/>
      <c r="AN7" s="30"/>
      <c r="AO7" s="30"/>
      <c r="AP7" s="20"/>
      <c r="AQ7" s="20"/>
      <c r="AR7" s="20"/>
      <c r="AS7" s="20"/>
      <c r="AT7" s="20"/>
      <c r="AU7" s="20"/>
      <c r="AV7" s="5"/>
      <c r="AW7" s="29"/>
      <c r="AX7" s="24"/>
      <c r="AY7" s="30"/>
      <c r="AZ7" s="30"/>
      <c r="BA7" s="30"/>
      <c r="BB7" s="20"/>
      <c r="BC7" s="20"/>
      <c r="BD7" s="20"/>
      <c r="BE7" s="20"/>
      <c r="BF7" s="20"/>
      <c r="BG7" s="20"/>
      <c r="BH7" s="5"/>
      <c r="BI7" s="29"/>
      <c r="BJ7" s="24"/>
      <c r="BK7" s="30"/>
      <c r="BL7" s="30"/>
      <c r="BM7" s="30"/>
      <c r="BN7" s="20"/>
      <c r="BO7" s="20"/>
      <c r="BP7" s="20"/>
      <c r="BQ7" s="20"/>
      <c r="BR7" s="20"/>
      <c r="BS7" s="29"/>
    </row>
    <row r="8" spans="1:71" s="3" customFormat="1" ht="12.75">
      <c r="A8" s="3">
        <v>1993</v>
      </c>
      <c r="B8" s="38" t="s">
        <v>40</v>
      </c>
      <c r="C8" s="25">
        <f>+MITRE[[#This Row],[Trenes Puntuales]]/MITRE[[#This Row],[Trenes Programados]]</f>
        <v>0.6631173242748889</v>
      </c>
      <c r="D8" s="25">
        <f>+MITRE[[#This Row],[Trenes Puntuales]]/MITRE[[#This Row],[Trenes Corridos]]</f>
        <v>0.79348080981786917</v>
      </c>
      <c r="E8" s="25">
        <f>+MITRE[[#This Row],[Trenes Corridos]]/MITRE[[#This Row],[Trenes Programados]]</f>
        <v>0.83570681996341778</v>
      </c>
      <c r="F8" s="20">
        <v>15308</v>
      </c>
      <c r="G8" s="20">
        <f t="shared" si="0"/>
        <v>2515</v>
      </c>
      <c r="H8" s="20">
        <v>12793</v>
      </c>
      <c r="I8" s="20">
        <v>10151</v>
      </c>
      <c r="J8" s="20">
        <f t="shared" si="1"/>
        <v>2642</v>
      </c>
      <c r="K8" s="20"/>
      <c r="L8" s="5"/>
      <c r="M8" s="29"/>
      <c r="N8" s="24"/>
      <c r="O8" s="30"/>
      <c r="P8" s="30"/>
      <c r="Q8" s="30"/>
      <c r="R8" s="20"/>
      <c r="S8" s="20"/>
      <c r="T8" s="20"/>
      <c r="U8" s="20"/>
      <c r="V8" s="20"/>
      <c r="W8" s="20"/>
      <c r="X8" s="5"/>
      <c r="Y8" s="29"/>
      <c r="Z8" s="24"/>
      <c r="AA8" s="30"/>
      <c r="AB8" s="30"/>
      <c r="AC8" s="30"/>
      <c r="AD8" s="20"/>
      <c r="AE8" s="20"/>
      <c r="AF8" s="20"/>
      <c r="AG8" s="20"/>
      <c r="AH8" s="20"/>
      <c r="AI8" s="20"/>
      <c r="AJ8" s="5"/>
      <c r="AK8" s="29"/>
      <c r="AL8" s="24"/>
      <c r="AM8" s="30"/>
      <c r="AN8" s="30"/>
      <c r="AO8" s="30"/>
      <c r="AP8" s="20"/>
      <c r="AQ8" s="20"/>
      <c r="AR8" s="20"/>
      <c r="AS8" s="20"/>
      <c r="AT8" s="20"/>
      <c r="AU8" s="20"/>
      <c r="AV8" s="5"/>
      <c r="AW8" s="29"/>
      <c r="AX8" s="24"/>
      <c r="AY8" s="30"/>
      <c r="AZ8" s="30"/>
      <c r="BA8" s="30"/>
      <c r="BB8" s="20"/>
      <c r="BC8" s="20"/>
      <c r="BD8" s="20"/>
      <c r="BE8" s="20"/>
      <c r="BF8" s="20"/>
      <c r="BG8" s="20"/>
      <c r="BH8" s="5"/>
      <c r="BI8" s="29"/>
      <c r="BJ8" s="24"/>
      <c r="BK8" s="30"/>
      <c r="BL8" s="30"/>
      <c r="BM8" s="30"/>
      <c r="BN8" s="20"/>
      <c r="BO8" s="20"/>
      <c r="BP8" s="20"/>
      <c r="BQ8" s="20"/>
      <c r="BR8" s="20"/>
      <c r="BS8" s="29"/>
    </row>
    <row r="9" spans="1:71" s="3" customFormat="1" ht="12.75">
      <c r="A9" s="3">
        <v>1993</v>
      </c>
      <c r="B9" s="38" t="s">
        <v>41</v>
      </c>
      <c r="C9" s="25">
        <f>+MITRE[[#This Row],[Trenes Puntuales]]/MITRE[[#This Row],[Trenes Programados]]</f>
        <v>0.77012131715771226</v>
      </c>
      <c r="D9" s="25">
        <f>+MITRE[[#This Row],[Trenes Puntuales]]/MITRE[[#This Row],[Trenes Corridos]]</f>
        <v>0.86870503597122306</v>
      </c>
      <c r="E9" s="25">
        <f>+MITRE[[#This Row],[Trenes Corridos]]/MITRE[[#This Row],[Trenes Programados]]</f>
        <v>0.88651646447140386</v>
      </c>
      <c r="F9" s="20">
        <v>14425</v>
      </c>
      <c r="G9" s="20">
        <f t="shared" si="0"/>
        <v>1637</v>
      </c>
      <c r="H9" s="20">
        <v>12788</v>
      </c>
      <c r="I9" s="20">
        <v>11109</v>
      </c>
      <c r="J9" s="20">
        <f t="shared" si="1"/>
        <v>1679</v>
      </c>
      <c r="K9" s="20"/>
      <c r="L9" s="5"/>
      <c r="M9" s="29"/>
      <c r="N9" s="24"/>
      <c r="O9" s="30"/>
      <c r="P9" s="30"/>
      <c r="Q9" s="30"/>
      <c r="R9" s="20"/>
      <c r="S9" s="20"/>
      <c r="T9" s="20"/>
      <c r="U9" s="20"/>
      <c r="V9" s="20"/>
      <c r="W9" s="20"/>
      <c r="X9" s="5"/>
      <c r="Y9" s="29"/>
      <c r="Z9" s="24"/>
      <c r="AA9" s="30"/>
      <c r="AB9" s="30"/>
      <c r="AC9" s="30"/>
      <c r="AD9" s="20"/>
      <c r="AE9" s="20"/>
      <c r="AF9" s="20"/>
      <c r="AG9" s="20"/>
      <c r="AH9" s="20"/>
      <c r="AI9" s="20"/>
      <c r="AJ9" s="5"/>
      <c r="AK9" s="29"/>
      <c r="AL9" s="24"/>
      <c r="AM9" s="30"/>
      <c r="AN9" s="30"/>
      <c r="AO9" s="30"/>
      <c r="AP9" s="20"/>
      <c r="AQ9" s="20"/>
      <c r="AR9" s="20"/>
      <c r="AS9" s="20"/>
      <c r="AT9" s="20"/>
      <c r="AU9" s="20"/>
      <c r="AV9" s="5"/>
      <c r="AW9" s="29"/>
      <c r="AX9" s="24"/>
      <c r="AY9" s="30"/>
      <c r="AZ9" s="30"/>
      <c r="BA9" s="30"/>
      <c r="BB9" s="20"/>
      <c r="BC9" s="20"/>
      <c r="BD9" s="20"/>
      <c r="BE9" s="20"/>
      <c r="BF9" s="20"/>
      <c r="BG9" s="20"/>
      <c r="BH9" s="5"/>
      <c r="BI9" s="29"/>
      <c r="BJ9" s="24"/>
      <c r="BK9" s="30"/>
      <c r="BL9" s="30"/>
      <c r="BM9" s="30"/>
      <c r="BN9" s="20"/>
      <c r="BO9" s="20"/>
      <c r="BP9" s="20"/>
      <c r="BQ9" s="20"/>
      <c r="BR9" s="20"/>
      <c r="BS9" s="29"/>
    </row>
    <row r="10" spans="1:71" s="3" customFormat="1" ht="12.75">
      <c r="A10" s="3">
        <v>1993</v>
      </c>
      <c r="B10" s="38" t="s">
        <v>42</v>
      </c>
      <c r="C10" s="25">
        <f>+MITRE[[#This Row],[Trenes Puntuales]]/MITRE[[#This Row],[Trenes Programados]]</f>
        <v>0.75830271094779167</v>
      </c>
      <c r="D10" s="25">
        <f>+MITRE[[#This Row],[Trenes Puntuales]]/MITRE[[#This Row],[Trenes Corridos]]</f>
        <v>0.82774540225535453</v>
      </c>
      <c r="E10" s="25">
        <f>+MITRE[[#This Row],[Trenes Corridos]]/MITRE[[#This Row],[Trenes Programados]]</f>
        <v>0.91610621923316926</v>
      </c>
      <c r="F10" s="20">
        <v>14423</v>
      </c>
      <c r="G10" s="20">
        <f t="shared" si="0"/>
        <v>1210</v>
      </c>
      <c r="H10" s="20">
        <v>13213</v>
      </c>
      <c r="I10" s="20">
        <v>10937</v>
      </c>
      <c r="J10" s="20">
        <f t="shared" si="1"/>
        <v>2276</v>
      </c>
      <c r="K10" s="20"/>
      <c r="L10" s="5"/>
      <c r="M10" s="29"/>
      <c r="N10" s="24"/>
      <c r="O10" s="30"/>
      <c r="P10" s="30"/>
      <c r="Q10" s="30"/>
      <c r="R10" s="20"/>
      <c r="S10" s="20"/>
      <c r="T10" s="20"/>
      <c r="U10" s="20"/>
      <c r="V10" s="20"/>
      <c r="W10" s="20"/>
      <c r="X10" s="5"/>
      <c r="Y10" s="29"/>
      <c r="Z10" s="24"/>
      <c r="AA10" s="30"/>
      <c r="AB10" s="30"/>
      <c r="AC10" s="30"/>
      <c r="AD10" s="20"/>
      <c r="AE10" s="20"/>
      <c r="AF10" s="20"/>
      <c r="AG10" s="20"/>
      <c r="AH10" s="20"/>
      <c r="AI10" s="20"/>
      <c r="AJ10" s="5"/>
      <c r="AK10" s="29"/>
      <c r="AL10" s="24"/>
      <c r="AM10" s="30"/>
      <c r="AN10" s="30"/>
      <c r="AO10" s="30"/>
      <c r="AP10" s="20"/>
      <c r="AQ10" s="20"/>
      <c r="AR10" s="20"/>
      <c r="AS10" s="20"/>
      <c r="AT10" s="20"/>
      <c r="AU10" s="20"/>
      <c r="AV10" s="5"/>
      <c r="AW10" s="29"/>
      <c r="AX10" s="24"/>
      <c r="AY10" s="30"/>
      <c r="AZ10" s="30"/>
      <c r="BA10" s="30"/>
      <c r="BB10" s="20"/>
      <c r="BC10" s="20"/>
      <c r="BD10" s="20"/>
      <c r="BE10" s="20"/>
      <c r="BF10" s="20"/>
      <c r="BG10" s="20"/>
      <c r="BH10" s="5"/>
      <c r="BI10" s="29"/>
      <c r="BJ10" s="24"/>
      <c r="BK10" s="30"/>
      <c r="BL10" s="30"/>
      <c r="BM10" s="30"/>
      <c r="BN10" s="20"/>
      <c r="BO10" s="20"/>
      <c r="BP10" s="20"/>
      <c r="BQ10" s="20"/>
      <c r="BR10" s="20"/>
      <c r="BS10" s="29"/>
    </row>
    <row r="11" spans="1:71" s="3" customFormat="1" ht="12.75">
      <c r="A11" s="3">
        <v>1993</v>
      </c>
      <c r="B11" s="38" t="s">
        <v>43</v>
      </c>
      <c r="C11" s="25">
        <f>+MITRE[[#This Row],[Trenes Puntuales]]/MITRE[[#This Row],[Trenes Programados]]</f>
        <v>0.72039863405115334</v>
      </c>
      <c r="D11" s="25">
        <f>+MITRE[[#This Row],[Trenes Puntuales]]/MITRE[[#This Row],[Trenes Corridos]]</f>
        <v>0.83315870073345688</v>
      </c>
      <c r="E11" s="25">
        <f>+MITRE[[#This Row],[Trenes Corridos]]/MITRE[[#This Row],[Trenes Programados]]</f>
        <v>0.86465955815736284</v>
      </c>
      <c r="F11" s="20">
        <v>14349</v>
      </c>
      <c r="G11" s="20">
        <f t="shared" si="0"/>
        <v>1942</v>
      </c>
      <c r="H11" s="20">
        <v>12407</v>
      </c>
      <c r="I11" s="20">
        <v>10337</v>
      </c>
      <c r="J11" s="20">
        <f t="shared" si="1"/>
        <v>2070</v>
      </c>
      <c r="K11" s="20"/>
      <c r="L11" s="5"/>
      <c r="M11" s="29"/>
      <c r="N11" s="24"/>
      <c r="O11" s="30"/>
      <c r="P11" s="30"/>
      <c r="Q11" s="30"/>
      <c r="R11" s="20"/>
      <c r="S11" s="20"/>
      <c r="T11" s="20"/>
      <c r="U11" s="20"/>
      <c r="V11" s="20"/>
      <c r="W11" s="20"/>
      <c r="X11" s="5"/>
      <c r="Y11" s="29"/>
      <c r="Z11" s="24"/>
      <c r="AA11" s="30"/>
      <c r="AB11" s="30"/>
      <c r="AC11" s="30"/>
      <c r="AD11" s="20"/>
      <c r="AE11" s="20"/>
      <c r="AF11" s="20"/>
      <c r="AG11" s="20"/>
      <c r="AH11" s="20"/>
      <c r="AI11" s="20"/>
      <c r="AJ11" s="5"/>
      <c r="AK11" s="29"/>
      <c r="AL11" s="24"/>
      <c r="AM11" s="30"/>
      <c r="AN11" s="30"/>
      <c r="AO11" s="30"/>
      <c r="AP11" s="20"/>
      <c r="AQ11" s="20"/>
      <c r="AR11" s="20"/>
      <c r="AS11" s="20"/>
      <c r="AT11" s="20"/>
      <c r="AU11" s="20"/>
      <c r="AV11" s="5"/>
      <c r="AW11" s="29"/>
      <c r="AX11" s="24"/>
      <c r="AY11" s="30"/>
      <c r="AZ11" s="30"/>
      <c r="BA11" s="30"/>
      <c r="BB11" s="20"/>
      <c r="BC11" s="20"/>
      <c r="BD11" s="20"/>
      <c r="BE11" s="20"/>
      <c r="BF11" s="20"/>
      <c r="BG11" s="20"/>
      <c r="BH11" s="5"/>
      <c r="BI11" s="29"/>
      <c r="BJ11" s="24"/>
      <c r="BK11" s="30"/>
      <c r="BL11" s="30"/>
      <c r="BM11" s="30"/>
      <c r="BN11" s="20"/>
      <c r="BO11" s="20"/>
      <c r="BP11" s="20"/>
      <c r="BQ11" s="20"/>
      <c r="BR11" s="20"/>
      <c r="BS11" s="29"/>
    </row>
    <row r="12" spans="1:71" s="3" customFormat="1" ht="12.75">
      <c r="A12" s="3">
        <v>1993</v>
      </c>
      <c r="B12" s="38" t="s">
        <v>44</v>
      </c>
      <c r="C12" s="25">
        <f>+MITRE[[#This Row],[Trenes Puntuales]]/MITRE[[#This Row],[Trenes Programados]]</f>
        <v>0.75643178612211992</v>
      </c>
      <c r="D12" s="25">
        <f>+MITRE[[#This Row],[Trenes Puntuales]]/MITRE[[#This Row],[Trenes Corridos]]</f>
        <v>0.87613786664591919</v>
      </c>
      <c r="E12" s="25">
        <f>+MITRE[[#This Row],[Trenes Corridos]]/MITRE[[#This Row],[Trenes Programados]]</f>
        <v>0.86337072613689791</v>
      </c>
      <c r="F12" s="20">
        <v>14887</v>
      </c>
      <c r="G12" s="20">
        <f t="shared" si="0"/>
        <v>2034</v>
      </c>
      <c r="H12" s="20">
        <v>12853</v>
      </c>
      <c r="I12" s="20">
        <v>11261</v>
      </c>
      <c r="J12" s="20">
        <f t="shared" si="1"/>
        <v>1592</v>
      </c>
      <c r="K12" s="20"/>
      <c r="L12" s="5"/>
      <c r="M12" s="29"/>
      <c r="N12" s="24"/>
      <c r="O12" s="30"/>
      <c r="P12" s="30"/>
      <c r="Q12" s="30"/>
      <c r="R12" s="20"/>
      <c r="S12" s="20"/>
      <c r="T12" s="20"/>
      <c r="U12" s="20"/>
      <c r="V12" s="20"/>
      <c r="W12" s="20"/>
      <c r="X12" s="5"/>
      <c r="Y12" s="29"/>
      <c r="Z12" s="24"/>
      <c r="AA12" s="30"/>
      <c r="AB12" s="30"/>
      <c r="AC12" s="30"/>
      <c r="AD12" s="20"/>
      <c r="AE12" s="20"/>
      <c r="AF12" s="20"/>
      <c r="AG12" s="20"/>
      <c r="AH12" s="20"/>
      <c r="AI12" s="20"/>
      <c r="AJ12" s="5"/>
      <c r="AK12" s="29"/>
      <c r="AL12" s="24"/>
      <c r="AM12" s="30"/>
      <c r="AN12" s="30"/>
      <c r="AO12" s="30"/>
      <c r="AP12" s="20"/>
      <c r="AQ12" s="20"/>
      <c r="AR12" s="20"/>
      <c r="AS12" s="20"/>
      <c r="AT12" s="20"/>
      <c r="AU12" s="20"/>
      <c r="AV12" s="5"/>
      <c r="AW12" s="29"/>
      <c r="AX12" s="24"/>
      <c r="AY12" s="30"/>
      <c r="AZ12" s="30"/>
      <c r="BA12" s="30"/>
      <c r="BB12" s="20"/>
      <c r="BC12" s="20"/>
      <c r="BD12" s="20"/>
      <c r="BE12" s="20"/>
      <c r="BF12" s="20"/>
      <c r="BG12" s="20"/>
      <c r="BH12" s="5"/>
      <c r="BI12" s="29"/>
      <c r="BJ12" s="24"/>
      <c r="BK12" s="30"/>
      <c r="BL12" s="30"/>
      <c r="BM12" s="30"/>
      <c r="BN12" s="20"/>
      <c r="BO12" s="20"/>
      <c r="BP12" s="20"/>
      <c r="BQ12" s="20"/>
      <c r="BR12" s="20"/>
      <c r="BS12" s="29"/>
    </row>
    <row r="13" spans="1:71" s="3" customFormat="1" ht="12.75">
      <c r="A13" s="3">
        <v>1993</v>
      </c>
      <c r="B13" s="38" t="s">
        <v>45</v>
      </c>
      <c r="C13" s="25">
        <f>+MITRE[[#This Row],[Trenes Puntuales]]/MITRE[[#This Row],[Trenes Programados]]</f>
        <v>0.75646434403919438</v>
      </c>
      <c r="D13" s="25">
        <f>+MITRE[[#This Row],[Trenes Puntuales]]/MITRE[[#This Row],[Trenes Corridos]]</f>
        <v>0.86716068642745714</v>
      </c>
      <c r="E13" s="25">
        <f>+MITRE[[#This Row],[Trenes Corridos]]/MITRE[[#This Row],[Trenes Programados]]</f>
        <v>0.87234621665759393</v>
      </c>
      <c r="F13" s="20">
        <v>14696</v>
      </c>
      <c r="G13" s="20">
        <f t="shared" si="0"/>
        <v>1876</v>
      </c>
      <c r="H13" s="20">
        <v>12820</v>
      </c>
      <c r="I13" s="20">
        <v>11117</v>
      </c>
      <c r="J13" s="20">
        <f t="shared" si="1"/>
        <v>1703</v>
      </c>
      <c r="K13" s="20"/>
      <c r="L13" s="5"/>
      <c r="M13" s="29"/>
      <c r="N13" s="24"/>
      <c r="O13" s="30"/>
      <c r="P13" s="30"/>
      <c r="Q13" s="30"/>
      <c r="R13" s="20"/>
      <c r="S13" s="20"/>
      <c r="T13" s="20"/>
      <c r="U13" s="20"/>
      <c r="V13" s="20"/>
      <c r="W13" s="20"/>
      <c r="X13" s="5"/>
      <c r="Y13" s="29"/>
      <c r="Z13" s="24"/>
      <c r="AA13" s="30"/>
      <c r="AB13" s="30"/>
      <c r="AC13" s="30"/>
      <c r="AD13" s="20"/>
      <c r="AE13" s="20"/>
      <c r="AF13" s="20"/>
      <c r="AG13" s="20"/>
      <c r="AH13" s="20"/>
      <c r="AI13" s="20"/>
      <c r="AJ13" s="5"/>
      <c r="AK13" s="29"/>
      <c r="AL13" s="24"/>
      <c r="AM13" s="30"/>
      <c r="AN13" s="30"/>
      <c r="AO13" s="30"/>
      <c r="AP13" s="20"/>
      <c r="AQ13" s="20"/>
      <c r="AR13" s="20"/>
      <c r="AS13" s="20"/>
      <c r="AT13" s="20"/>
      <c r="AU13" s="20"/>
      <c r="AV13" s="5"/>
      <c r="AW13" s="29"/>
      <c r="AX13" s="24"/>
      <c r="AY13" s="30"/>
      <c r="AZ13" s="30"/>
      <c r="BA13" s="30"/>
      <c r="BB13" s="20"/>
      <c r="BC13" s="20"/>
      <c r="BD13" s="20"/>
      <c r="BE13" s="20"/>
      <c r="BF13" s="20"/>
      <c r="BG13" s="20"/>
      <c r="BH13" s="5"/>
      <c r="BI13" s="29"/>
      <c r="BJ13" s="24"/>
      <c r="BK13" s="30"/>
      <c r="BL13" s="30"/>
      <c r="BM13" s="30"/>
      <c r="BN13" s="20"/>
      <c r="BO13" s="20"/>
      <c r="BP13" s="20"/>
      <c r="BQ13" s="20"/>
      <c r="BR13" s="20"/>
      <c r="BS13" s="29"/>
    </row>
    <row r="14" spans="1:71" s="3" customFormat="1" ht="12.75">
      <c r="A14" s="3">
        <v>1993</v>
      </c>
      <c r="B14" s="38" t="s">
        <v>46</v>
      </c>
      <c r="C14" s="25">
        <f>+MITRE[[#This Row],[Trenes Puntuales]]/MITRE[[#This Row],[Trenes Programados]]</f>
        <v>0.80990153172866519</v>
      </c>
      <c r="D14" s="25">
        <f>+MITRE[[#This Row],[Trenes Puntuales]]/MITRE[[#This Row],[Trenes Corridos]]</f>
        <v>0.90164433617539586</v>
      </c>
      <c r="E14" s="25">
        <f>+MITRE[[#This Row],[Trenes Corridos]]/MITRE[[#This Row],[Trenes Programados]]</f>
        <v>0.89824945295404812</v>
      </c>
      <c r="F14" s="20">
        <v>14624</v>
      </c>
      <c r="G14" s="20">
        <f t="shared" si="0"/>
        <v>1488</v>
      </c>
      <c r="H14" s="20">
        <v>13136</v>
      </c>
      <c r="I14" s="20">
        <v>11844</v>
      </c>
      <c r="J14" s="20">
        <f t="shared" si="1"/>
        <v>1292</v>
      </c>
      <c r="K14" s="20"/>
      <c r="L14" s="5"/>
      <c r="M14" s="29"/>
      <c r="N14" s="24"/>
      <c r="O14" s="30"/>
      <c r="P14" s="30"/>
      <c r="Q14" s="30"/>
      <c r="R14" s="20"/>
      <c r="S14" s="20"/>
      <c r="T14" s="20"/>
      <c r="U14" s="20"/>
      <c r="V14" s="20"/>
      <c r="W14" s="20"/>
      <c r="X14" s="5"/>
      <c r="Y14" s="29"/>
      <c r="Z14" s="24"/>
      <c r="AA14" s="30"/>
      <c r="AB14" s="30"/>
      <c r="AC14" s="30"/>
      <c r="AD14" s="20"/>
      <c r="AE14" s="20"/>
      <c r="AF14" s="20"/>
      <c r="AG14" s="20"/>
      <c r="AH14" s="20"/>
      <c r="AI14" s="20"/>
      <c r="AJ14" s="5"/>
      <c r="AK14" s="29"/>
      <c r="AL14" s="24"/>
      <c r="AM14" s="30"/>
      <c r="AN14" s="30"/>
      <c r="AO14" s="30"/>
      <c r="AP14" s="20"/>
      <c r="AQ14" s="20"/>
      <c r="AR14" s="20"/>
      <c r="AS14" s="20"/>
      <c r="AT14" s="20"/>
      <c r="AU14" s="20"/>
      <c r="AV14" s="5"/>
      <c r="AW14" s="29"/>
      <c r="AX14" s="24"/>
      <c r="AY14" s="30"/>
      <c r="AZ14" s="30"/>
      <c r="BA14" s="30"/>
      <c r="BB14" s="20"/>
      <c r="BC14" s="20"/>
      <c r="BD14" s="20"/>
      <c r="BE14" s="20"/>
      <c r="BF14" s="20"/>
      <c r="BG14" s="20"/>
      <c r="BH14" s="5"/>
      <c r="BI14" s="29"/>
      <c r="BJ14" s="24"/>
      <c r="BK14" s="30"/>
      <c r="BL14" s="30"/>
      <c r="BM14" s="30"/>
      <c r="BN14" s="20"/>
      <c r="BO14" s="20"/>
      <c r="BP14" s="20"/>
      <c r="BQ14" s="20"/>
      <c r="BR14" s="20"/>
      <c r="BS14" s="29"/>
    </row>
    <row r="15" spans="1:71" s="3" customFormat="1" ht="12.75">
      <c r="A15" s="3">
        <v>1993</v>
      </c>
      <c r="B15" s="38" t="s">
        <v>47</v>
      </c>
      <c r="C15" s="25">
        <f>+MITRE[[#This Row],[Trenes Puntuales]]/MITRE[[#This Row],[Trenes Programados]]</f>
        <v>0.79934524621470471</v>
      </c>
      <c r="D15" s="25">
        <f>+MITRE[[#This Row],[Trenes Puntuales]]/MITRE[[#This Row],[Trenes Corridos]]</f>
        <v>0.89193302891933024</v>
      </c>
      <c r="E15" s="25">
        <f>+MITRE[[#This Row],[Trenes Corridos]]/MITRE[[#This Row],[Trenes Programados]]</f>
        <v>0.89619424362297095</v>
      </c>
      <c r="F15" s="20">
        <v>14662</v>
      </c>
      <c r="G15" s="20">
        <f t="shared" si="0"/>
        <v>1522</v>
      </c>
      <c r="H15" s="20">
        <v>13140</v>
      </c>
      <c r="I15" s="20">
        <v>11720</v>
      </c>
      <c r="J15" s="20">
        <f t="shared" si="1"/>
        <v>1420</v>
      </c>
      <c r="K15" s="20"/>
      <c r="L15" s="5"/>
      <c r="M15" s="29"/>
      <c r="N15" s="24"/>
      <c r="O15" s="30"/>
      <c r="P15" s="30"/>
      <c r="Q15" s="30"/>
      <c r="R15" s="20"/>
      <c r="S15" s="20"/>
      <c r="T15" s="20"/>
      <c r="U15" s="20"/>
      <c r="V15" s="20"/>
      <c r="W15" s="20"/>
      <c r="X15" s="5"/>
      <c r="Y15" s="29"/>
      <c r="Z15" s="24"/>
      <c r="AA15" s="30"/>
      <c r="AB15" s="30"/>
      <c r="AC15" s="30"/>
      <c r="AD15" s="20"/>
      <c r="AE15" s="20"/>
      <c r="AF15" s="20"/>
      <c r="AG15" s="20"/>
      <c r="AH15" s="20"/>
      <c r="AI15" s="20"/>
      <c r="AJ15" s="5"/>
      <c r="AK15" s="29"/>
      <c r="AL15" s="24"/>
      <c r="AM15" s="30"/>
      <c r="AN15" s="30"/>
      <c r="AO15" s="30"/>
      <c r="AP15" s="20"/>
      <c r="AQ15" s="20"/>
      <c r="AR15" s="20"/>
      <c r="AS15" s="20"/>
      <c r="AT15" s="20"/>
      <c r="AU15" s="20"/>
      <c r="AV15" s="5"/>
      <c r="AW15" s="29"/>
      <c r="AX15" s="24"/>
      <c r="AY15" s="30"/>
      <c r="AZ15" s="30"/>
      <c r="BA15" s="30"/>
      <c r="BB15" s="20"/>
      <c r="BC15" s="20"/>
      <c r="BD15" s="20"/>
      <c r="BE15" s="20"/>
      <c r="BF15" s="20"/>
      <c r="BG15" s="20"/>
      <c r="BH15" s="5"/>
      <c r="BI15" s="29"/>
      <c r="BJ15" s="24"/>
      <c r="BK15" s="30"/>
      <c r="BL15" s="30"/>
      <c r="BM15" s="30"/>
      <c r="BN15" s="20"/>
      <c r="BO15" s="20"/>
      <c r="BP15" s="20"/>
      <c r="BQ15" s="20"/>
      <c r="BR15" s="20"/>
      <c r="BS15" s="29"/>
    </row>
    <row r="16" spans="1:71" s="3" customFormat="1" ht="12.75">
      <c r="A16" s="3">
        <v>1993</v>
      </c>
      <c r="B16" s="38" t="s">
        <v>48</v>
      </c>
      <c r="C16" s="25">
        <f>+MITRE[[#This Row],[Trenes Puntuales]]/MITRE[[#This Row],[Trenes Programados]]</f>
        <v>0.76962527352297594</v>
      </c>
      <c r="D16" s="25">
        <f>+MITRE[[#This Row],[Trenes Puntuales]]/MITRE[[#This Row],[Trenes Corridos]]</f>
        <v>0.86543637062668199</v>
      </c>
      <c r="E16" s="25">
        <f>+MITRE[[#This Row],[Trenes Corridos]]/MITRE[[#This Row],[Trenes Programados]]</f>
        <v>0.88929157549234139</v>
      </c>
      <c r="F16" s="20">
        <v>14624</v>
      </c>
      <c r="G16" s="20">
        <f t="shared" si="0"/>
        <v>1619</v>
      </c>
      <c r="H16" s="20">
        <v>13005</v>
      </c>
      <c r="I16" s="20">
        <v>11255</v>
      </c>
      <c r="J16" s="20">
        <f t="shared" si="1"/>
        <v>1750</v>
      </c>
      <c r="K16" s="20"/>
      <c r="L16" s="5"/>
      <c r="M16" s="29"/>
      <c r="N16" s="24"/>
      <c r="O16" s="30"/>
      <c r="P16" s="30"/>
      <c r="Q16" s="30"/>
      <c r="R16" s="20"/>
      <c r="S16" s="20"/>
      <c r="T16" s="20"/>
      <c r="U16" s="20"/>
      <c r="V16" s="20"/>
      <c r="W16" s="20"/>
      <c r="X16" s="5"/>
      <c r="Y16" s="29"/>
      <c r="Z16" s="24"/>
      <c r="AA16" s="30"/>
      <c r="AB16" s="30"/>
      <c r="AC16" s="30"/>
      <c r="AD16" s="20"/>
      <c r="AE16" s="20"/>
      <c r="AF16" s="20"/>
      <c r="AG16" s="20"/>
      <c r="AH16" s="20"/>
      <c r="AI16" s="20"/>
      <c r="AJ16" s="5"/>
      <c r="AK16" s="29"/>
      <c r="AL16" s="24"/>
      <c r="AM16" s="30"/>
      <c r="AN16" s="30"/>
      <c r="AO16" s="30"/>
      <c r="AP16" s="20"/>
      <c r="AQ16" s="20"/>
      <c r="AR16" s="20"/>
      <c r="AS16" s="20"/>
      <c r="AT16" s="20"/>
      <c r="AU16" s="20"/>
      <c r="AV16" s="5"/>
      <c r="AW16" s="29"/>
      <c r="AX16" s="24"/>
      <c r="AY16" s="30"/>
      <c r="AZ16" s="30"/>
      <c r="BA16" s="30"/>
      <c r="BB16" s="20"/>
      <c r="BC16" s="20"/>
      <c r="BD16" s="20"/>
      <c r="BE16" s="20"/>
      <c r="BF16" s="20"/>
      <c r="BG16" s="20"/>
      <c r="BH16" s="5"/>
      <c r="BI16" s="29"/>
      <c r="BJ16" s="24"/>
      <c r="BK16" s="30"/>
      <c r="BL16" s="30"/>
      <c r="BM16" s="30"/>
      <c r="BN16" s="20"/>
      <c r="BO16" s="20"/>
      <c r="BP16" s="20"/>
      <c r="BQ16" s="20"/>
      <c r="BR16" s="20"/>
      <c r="BS16" s="29"/>
    </row>
    <row r="17" spans="1:71" s="3" customFormat="1" ht="12.75">
      <c r="A17" s="3">
        <v>1993</v>
      </c>
      <c r="B17" s="38" t="s">
        <v>49</v>
      </c>
      <c r="C17" s="25">
        <f>+MITRE[[#This Row],[Trenes Puntuales]]/MITRE[[#This Row],[Trenes Programados]]</f>
        <v>0.77666332330324306</v>
      </c>
      <c r="D17" s="25">
        <f>+MITRE[[#This Row],[Trenes Puntuales]]/MITRE[[#This Row],[Trenes Corridos]]</f>
        <v>0.89857651245551606</v>
      </c>
      <c r="E17" s="25">
        <f>+MITRE[[#This Row],[Trenes Corridos]]/MITRE[[#This Row],[Trenes Programados]]</f>
        <v>0.86432631227014378</v>
      </c>
      <c r="F17" s="20">
        <v>14955</v>
      </c>
      <c r="G17" s="20">
        <f t="shared" si="0"/>
        <v>2029</v>
      </c>
      <c r="H17" s="20">
        <v>12926</v>
      </c>
      <c r="I17" s="20">
        <v>11615</v>
      </c>
      <c r="J17" s="20">
        <f t="shared" si="1"/>
        <v>1311</v>
      </c>
      <c r="K17" s="20"/>
      <c r="L17" s="5"/>
      <c r="M17" s="29"/>
      <c r="N17" s="24"/>
      <c r="O17" s="30"/>
      <c r="P17" s="30"/>
      <c r="Q17" s="30"/>
      <c r="R17" s="20"/>
      <c r="S17" s="20"/>
      <c r="T17" s="20"/>
      <c r="U17" s="20"/>
      <c r="V17" s="20"/>
      <c r="W17" s="20"/>
      <c r="X17" s="5"/>
      <c r="Y17" s="29"/>
      <c r="Z17" s="24"/>
      <c r="AA17" s="30"/>
      <c r="AB17" s="30"/>
      <c r="AC17" s="30"/>
      <c r="AD17" s="20"/>
      <c r="AE17" s="20"/>
      <c r="AF17" s="20"/>
      <c r="AG17" s="20"/>
      <c r="AH17" s="20"/>
      <c r="AI17" s="20"/>
      <c r="AJ17" s="5"/>
      <c r="AK17" s="29"/>
      <c r="AL17" s="24"/>
      <c r="AM17" s="30"/>
      <c r="AN17" s="30"/>
      <c r="AO17" s="30"/>
      <c r="AP17" s="20"/>
      <c r="AQ17" s="20"/>
      <c r="AR17" s="20"/>
      <c r="AS17" s="20"/>
      <c r="AT17" s="20"/>
      <c r="AU17" s="20"/>
      <c r="AV17" s="5"/>
      <c r="AW17" s="29"/>
      <c r="AX17" s="24"/>
      <c r="AY17" s="30"/>
      <c r="AZ17" s="30"/>
      <c r="BA17" s="30"/>
      <c r="BB17" s="20"/>
      <c r="BC17" s="20"/>
      <c r="BD17" s="20"/>
      <c r="BE17" s="20"/>
      <c r="BF17" s="20"/>
      <c r="BG17" s="20"/>
      <c r="BH17" s="5"/>
      <c r="BI17" s="29"/>
      <c r="BJ17" s="24"/>
      <c r="BK17" s="30"/>
      <c r="BL17" s="30"/>
      <c r="BM17" s="30"/>
      <c r="BN17" s="20"/>
      <c r="BO17" s="20"/>
      <c r="BP17" s="20"/>
      <c r="BQ17" s="20"/>
      <c r="BR17" s="20"/>
      <c r="BS17" s="29"/>
    </row>
    <row r="18" spans="1:71" s="3" customFormat="1" ht="12.75">
      <c r="A18" s="3">
        <v>1994</v>
      </c>
      <c r="B18" s="38" t="s">
        <v>38</v>
      </c>
      <c r="C18" s="25">
        <f>+MITRE[[#This Row],[Trenes Puntuales]]/MITRE[[#This Row],[Trenes Programados]]</f>
        <v>0.79348565211478306</v>
      </c>
      <c r="D18" s="25">
        <f>+MITRE[[#This Row],[Trenes Puntuales]]/MITRE[[#This Row],[Trenes Corridos]]</f>
        <v>0.90583760285669923</v>
      </c>
      <c r="E18" s="25">
        <f>+MITRE[[#This Row],[Trenes Corridos]]/MITRE[[#This Row],[Trenes Programados]]</f>
        <v>0.87596899224806202</v>
      </c>
      <c r="F18" s="20">
        <v>14706</v>
      </c>
      <c r="G18" s="20">
        <f t="shared" ref="G18:G29" si="2">F18-H18</f>
        <v>1824</v>
      </c>
      <c r="H18" s="20">
        <v>12882</v>
      </c>
      <c r="I18" s="20">
        <v>11669</v>
      </c>
      <c r="J18" s="20">
        <f t="shared" ref="J18:J29" si="3">H18-I18</f>
        <v>1213</v>
      </c>
      <c r="K18" s="20"/>
      <c r="L18" s="5"/>
      <c r="M18" s="29"/>
      <c r="N18" s="24"/>
      <c r="O18" s="30"/>
      <c r="P18" s="30"/>
      <c r="Q18" s="30"/>
      <c r="R18" s="20"/>
      <c r="S18" s="20"/>
      <c r="T18" s="20"/>
      <c r="U18" s="20"/>
      <c r="V18" s="20"/>
      <c r="W18" s="20"/>
      <c r="X18" s="5"/>
      <c r="Y18" s="29"/>
      <c r="Z18" s="24"/>
      <c r="AA18" s="30"/>
      <c r="AB18" s="30"/>
      <c r="AC18" s="30"/>
      <c r="AD18" s="20"/>
      <c r="AE18" s="20"/>
      <c r="AF18" s="20"/>
      <c r="AG18" s="20"/>
      <c r="AH18" s="20"/>
      <c r="AI18" s="20"/>
      <c r="AJ18" s="5"/>
      <c r="AK18" s="29"/>
      <c r="AL18" s="24"/>
      <c r="AM18" s="30"/>
      <c r="AN18" s="30"/>
      <c r="AO18" s="30"/>
      <c r="AP18" s="20"/>
      <c r="AQ18" s="20"/>
      <c r="AR18" s="20"/>
      <c r="AS18" s="20"/>
      <c r="AT18" s="20"/>
      <c r="AU18" s="20"/>
      <c r="AV18" s="5"/>
      <c r="AW18" s="29"/>
      <c r="AX18" s="24"/>
      <c r="AY18" s="30"/>
      <c r="AZ18" s="30"/>
      <c r="BA18" s="30"/>
      <c r="BB18" s="20"/>
      <c r="BC18" s="20"/>
      <c r="BD18" s="20"/>
      <c r="BE18" s="20"/>
      <c r="BF18" s="20"/>
      <c r="BG18" s="20"/>
      <c r="BH18" s="5"/>
      <c r="BI18" s="29"/>
      <c r="BJ18" s="24"/>
      <c r="BK18" s="30"/>
      <c r="BL18" s="30"/>
      <c r="BM18" s="30"/>
      <c r="BN18" s="20"/>
      <c r="BO18" s="20"/>
      <c r="BP18" s="20"/>
      <c r="BQ18" s="20"/>
      <c r="BR18" s="20"/>
      <c r="BS18" s="29"/>
    </row>
    <row r="19" spans="1:71" s="3" customFormat="1" ht="12.75">
      <c r="A19" s="3">
        <v>1994</v>
      </c>
      <c r="B19" s="38" t="s">
        <v>39</v>
      </c>
      <c r="C19" s="25">
        <f>+MITRE[[#This Row],[Trenes Puntuales]]/MITRE[[#This Row],[Trenes Programados]]</f>
        <v>0.74080070650574037</v>
      </c>
      <c r="D19" s="25">
        <f>+MITRE[[#This Row],[Trenes Puntuales]]/MITRE[[#This Row],[Trenes Corridos]]</f>
        <v>0.87843616371411115</v>
      </c>
      <c r="E19" s="25">
        <f>+MITRE[[#This Row],[Trenes Corridos]]/MITRE[[#This Row],[Trenes Programados]]</f>
        <v>0.8433176332057698</v>
      </c>
      <c r="F19" s="20">
        <v>13588</v>
      </c>
      <c r="G19" s="20">
        <f t="shared" si="2"/>
        <v>2129</v>
      </c>
      <c r="H19" s="20">
        <v>11459</v>
      </c>
      <c r="I19" s="20">
        <v>10066</v>
      </c>
      <c r="J19" s="20">
        <f t="shared" si="3"/>
        <v>1393</v>
      </c>
      <c r="K19" s="20"/>
      <c r="L19" s="5"/>
      <c r="M19" s="29"/>
      <c r="N19" s="24"/>
      <c r="O19" s="30"/>
      <c r="P19" s="30"/>
      <c r="Q19" s="30"/>
      <c r="R19" s="20"/>
      <c r="S19" s="20"/>
      <c r="T19" s="20"/>
      <c r="U19" s="20"/>
      <c r="V19" s="20"/>
      <c r="W19" s="20"/>
      <c r="X19" s="5"/>
      <c r="Y19" s="29"/>
      <c r="Z19" s="24"/>
      <c r="AA19" s="30"/>
      <c r="AB19" s="30"/>
      <c r="AC19" s="30"/>
      <c r="AD19" s="20"/>
      <c r="AE19" s="20"/>
      <c r="AF19" s="20"/>
      <c r="AG19" s="20"/>
      <c r="AH19" s="20"/>
      <c r="AI19" s="20"/>
      <c r="AJ19" s="5"/>
      <c r="AK19" s="29"/>
      <c r="AL19" s="24"/>
      <c r="AM19" s="30"/>
      <c r="AN19" s="30"/>
      <c r="AO19" s="30"/>
      <c r="AP19" s="20"/>
      <c r="AQ19" s="20"/>
      <c r="AR19" s="20"/>
      <c r="AS19" s="20"/>
      <c r="AT19" s="20"/>
      <c r="AU19" s="20"/>
      <c r="AV19" s="5"/>
      <c r="AW19" s="29"/>
      <c r="AX19" s="24"/>
      <c r="AY19" s="30"/>
      <c r="AZ19" s="30"/>
      <c r="BA19" s="30"/>
      <c r="BB19" s="20"/>
      <c r="BC19" s="20"/>
      <c r="BD19" s="20"/>
      <c r="BE19" s="20"/>
      <c r="BF19" s="20"/>
      <c r="BG19" s="20"/>
      <c r="BH19" s="5"/>
      <c r="BI19" s="29"/>
      <c r="BJ19" s="24"/>
      <c r="BK19" s="30"/>
      <c r="BL19" s="30"/>
      <c r="BM19" s="30"/>
      <c r="BN19" s="20"/>
      <c r="BO19" s="20"/>
      <c r="BP19" s="20"/>
      <c r="BQ19" s="20"/>
      <c r="BR19" s="20"/>
      <c r="BS19" s="29"/>
    </row>
    <row r="20" spans="1:71" s="3" customFormat="1" ht="12.75">
      <c r="A20" s="3">
        <v>1994</v>
      </c>
      <c r="B20" s="38" t="s">
        <v>40</v>
      </c>
      <c r="C20" s="25">
        <f>+MITRE[[#This Row],[Trenes Puntuales]]/MITRE[[#This Row],[Trenes Programados]]</f>
        <v>0.7361092780783951</v>
      </c>
      <c r="D20" s="25">
        <f>+MITRE[[#This Row],[Trenes Puntuales]]/MITRE[[#This Row],[Trenes Corridos]]</f>
        <v>0.84828897338403042</v>
      </c>
      <c r="E20" s="25">
        <f>+MITRE[[#This Row],[Trenes Corridos]]/MITRE[[#This Row],[Trenes Programados]]</f>
        <v>0.8677576877392108</v>
      </c>
      <c r="F20" s="20">
        <v>15154</v>
      </c>
      <c r="G20" s="20">
        <f t="shared" si="2"/>
        <v>2004</v>
      </c>
      <c r="H20" s="20">
        <v>13150</v>
      </c>
      <c r="I20" s="20">
        <v>11155</v>
      </c>
      <c r="J20" s="20">
        <f t="shared" si="3"/>
        <v>1995</v>
      </c>
      <c r="K20" s="20"/>
      <c r="L20" s="5"/>
      <c r="M20" s="29"/>
      <c r="N20" s="24"/>
      <c r="O20" s="30"/>
      <c r="P20" s="30"/>
      <c r="Q20" s="30"/>
      <c r="R20" s="20"/>
      <c r="S20" s="20"/>
      <c r="T20" s="20"/>
      <c r="U20" s="20"/>
      <c r="V20" s="20"/>
      <c r="W20" s="20"/>
      <c r="X20" s="5"/>
      <c r="Y20" s="29"/>
      <c r="Z20" s="24"/>
      <c r="AA20" s="30"/>
      <c r="AB20" s="30"/>
      <c r="AC20" s="30"/>
      <c r="AD20" s="20"/>
      <c r="AE20" s="20"/>
      <c r="AF20" s="20"/>
      <c r="AG20" s="20"/>
      <c r="AH20" s="20"/>
      <c r="AI20" s="20"/>
      <c r="AJ20" s="5"/>
      <c r="AK20" s="29"/>
      <c r="AL20" s="24"/>
      <c r="AM20" s="30"/>
      <c r="AN20" s="30"/>
      <c r="AO20" s="30"/>
      <c r="AP20" s="20"/>
      <c r="AQ20" s="20"/>
      <c r="AR20" s="20"/>
      <c r="AS20" s="20"/>
      <c r="AT20" s="20"/>
      <c r="AU20" s="20"/>
      <c r="AV20" s="5"/>
      <c r="AW20" s="29"/>
      <c r="AX20" s="24"/>
      <c r="AY20" s="30"/>
      <c r="AZ20" s="30"/>
      <c r="BA20" s="30"/>
      <c r="BB20" s="20"/>
      <c r="BC20" s="20"/>
      <c r="BD20" s="20"/>
      <c r="BE20" s="20"/>
      <c r="BF20" s="20"/>
      <c r="BG20" s="20"/>
      <c r="BH20" s="5"/>
      <c r="BI20" s="29"/>
      <c r="BJ20" s="24"/>
      <c r="BK20" s="30"/>
      <c r="BL20" s="30"/>
      <c r="BM20" s="30"/>
      <c r="BN20" s="20"/>
      <c r="BO20" s="20"/>
      <c r="BP20" s="20"/>
      <c r="BQ20" s="20"/>
      <c r="BR20" s="20"/>
      <c r="BS20" s="29"/>
    </row>
    <row r="21" spans="1:71" s="3" customFormat="1" ht="12.75">
      <c r="A21" s="3">
        <v>1994</v>
      </c>
      <c r="B21" s="38" t="s">
        <v>41</v>
      </c>
      <c r="C21" s="25">
        <f>+MITRE[[#This Row],[Trenes Puntuales]]/MITRE[[#This Row],[Trenes Programados]]</f>
        <v>0.74793014680303349</v>
      </c>
      <c r="D21" s="25">
        <f>+MITRE[[#This Row],[Trenes Puntuales]]/MITRE[[#This Row],[Trenes Corridos]]</f>
        <v>0.83644568938686581</v>
      </c>
      <c r="E21" s="25">
        <f>+MITRE[[#This Row],[Trenes Corridos]]/MITRE[[#This Row],[Trenes Programados]]</f>
        <v>0.8941765810895429</v>
      </c>
      <c r="F21" s="20">
        <v>14373</v>
      </c>
      <c r="G21" s="20">
        <f t="shared" si="2"/>
        <v>1521</v>
      </c>
      <c r="H21" s="20">
        <v>12852</v>
      </c>
      <c r="I21" s="20">
        <v>10750</v>
      </c>
      <c r="J21" s="20">
        <f t="shared" si="3"/>
        <v>2102</v>
      </c>
      <c r="K21" s="20"/>
      <c r="L21" s="5"/>
      <c r="M21" s="29"/>
      <c r="N21" s="24"/>
      <c r="O21" s="30"/>
      <c r="P21" s="30"/>
      <c r="Q21" s="30"/>
      <c r="R21" s="20"/>
      <c r="S21" s="20"/>
      <c r="T21" s="20"/>
      <c r="U21" s="20"/>
      <c r="V21" s="20"/>
      <c r="W21" s="20"/>
      <c r="X21" s="5"/>
      <c r="Y21" s="29"/>
      <c r="Z21" s="24"/>
      <c r="AA21" s="30"/>
      <c r="AB21" s="30"/>
      <c r="AC21" s="30"/>
      <c r="AD21" s="20"/>
      <c r="AE21" s="20"/>
      <c r="AF21" s="20"/>
      <c r="AG21" s="20"/>
      <c r="AH21" s="20"/>
      <c r="AI21" s="20"/>
      <c r="AJ21" s="5"/>
      <c r="AK21" s="29"/>
      <c r="AL21" s="24"/>
      <c r="AM21" s="30"/>
      <c r="AN21" s="30"/>
      <c r="AO21" s="30"/>
      <c r="AP21" s="20"/>
      <c r="AQ21" s="20"/>
      <c r="AR21" s="20"/>
      <c r="AS21" s="20"/>
      <c r="AT21" s="20"/>
      <c r="AU21" s="20"/>
      <c r="AV21" s="5"/>
      <c r="AW21" s="29"/>
      <c r="AX21" s="24"/>
      <c r="AY21" s="30"/>
      <c r="AZ21" s="30"/>
      <c r="BA21" s="30"/>
      <c r="BB21" s="20"/>
      <c r="BC21" s="20"/>
      <c r="BD21" s="20"/>
      <c r="BE21" s="20"/>
      <c r="BF21" s="20"/>
      <c r="BG21" s="20"/>
      <c r="BH21" s="5"/>
      <c r="BI21" s="29"/>
      <c r="BJ21" s="24"/>
      <c r="BK21" s="30"/>
      <c r="BL21" s="30"/>
      <c r="BM21" s="30"/>
      <c r="BN21" s="20"/>
      <c r="BO21" s="20"/>
      <c r="BP21" s="20"/>
      <c r="BQ21" s="20"/>
      <c r="BR21" s="20"/>
      <c r="BS21" s="29"/>
    </row>
    <row r="22" spans="1:71" s="3" customFormat="1" ht="12.75">
      <c r="A22" s="3">
        <v>1994</v>
      </c>
      <c r="B22" s="38" t="s">
        <v>42</v>
      </c>
      <c r="C22" s="25">
        <f>+MITRE[[#This Row],[Trenes Puntuales]]/MITRE[[#This Row],[Trenes Programados]]</f>
        <v>0.79613763089895284</v>
      </c>
      <c r="D22" s="25">
        <f>+MITRE[[#This Row],[Trenes Puntuales]]/MITRE[[#This Row],[Trenes Corridos]]</f>
        <v>0.87588838183586448</v>
      </c>
      <c r="E22" s="25">
        <f>+MITRE[[#This Row],[Trenes Corridos]]/MITRE[[#This Row],[Trenes Programados]]</f>
        <v>0.90894872841017271</v>
      </c>
      <c r="F22" s="20">
        <v>14706</v>
      </c>
      <c r="G22" s="20">
        <f t="shared" si="2"/>
        <v>1339</v>
      </c>
      <c r="H22" s="20">
        <v>13367</v>
      </c>
      <c r="I22" s="20">
        <v>11708</v>
      </c>
      <c r="J22" s="20">
        <f t="shared" si="3"/>
        <v>1659</v>
      </c>
      <c r="K22" s="20"/>
      <c r="L22" s="5"/>
      <c r="M22" s="29"/>
      <c r="N22" s="24"/>
      <c r="O22" s="30"/>
      <c r="P22" s="30"/>
      <c r="Q22" s="30"/>
      <c r="R22" s="20"/>
      <c r="S22" s="20"/>
      <c r="T22" s="20"/>
      <c r="U22" s="20"/>
      <c r="V22" s="20"/>
      <c r="W22" s="20"/>
      <c r="X22" s="5"/>
      <c r="Y22" s="29"/>
      <c r="Z22" s="24"/>
      <c r="AA22" s="30"/>
      <c r="AB22" s="30"/>
      <c r="AC22" s="30"/>
      <c r="AD22" s="20"/>
      <c r="AE22" s="20"/>
      <c r="AF22" s="20"/>
      <c r="AG22" s="20"/>
      <c r="AH22" s="20"/>
      <c r="AI22" s="20"/>
      <c r="AJ22" s="5"/>
      <c r="AK22" s="29"/>
      <c r="AL22" s="24"/>
      <c r="AM22" s="30"/>
      <c r="AN22" s="30"/>
      <c r="AO22" s="30"/>
      <c r="AP22" s="20"/>
      <c r="AQ22" s="20"/>
      <c r="AR22" s="20"/>
      <c r="AS22" s="20"/>
      <c r="AT22" s="20"/>
      <c r="AU22" s="20"/>
      <c r="AV22" s="5"/>
      <c r="AW22" s="29"/>
      <c r="AX22" s="24"/>
      <c r="AY22" s="30"/>
      <c r="AZ22" s="30"/>
      <c r="BA22" s="30"/>
      <c r="BB22" s="20"/>
      <c r="BC22" s="20"/>
      <c r="BD22" s="20"/>
      <c r="BE22" s="20"/>
      <c r="BF22" s="20"/>
      <c r="BG22" s="20"/>
      <c r="BH22" s="5"/>
      <c r="BI22" s="29"/>
      <c r="BJ22" s="24"/>
      <c r="BK22" s="30"/>
      <c r="BL22" s="30"/>
      <c r="BM22" s="30"/>
      <c r="BN22" s="20"/>
      <c r="BO22" s="20"/>
      <c r="BP22" s="20"/>
      <c r="BQ22" s="20"/>
      <c r="BR22" s="20"/>
      <c r="BS22" s="29"/>
    </row>
    <row r="23" spans="1:71" s="3" customFormat="1" ht="12.75">
      <c r="A23" s="3">
        <v>1994</v>
      </c>
      <c r="B23" s="38" t="s">
        <v>43</v>
      </c>
      <c r="C23" s="25">
        <f>+MITRE[[#This Row],[Trenes Puntuales]]/MITRE[[#This Row],[Trenes Programados]]</f>
        <v>0.71153295128939831</v>
      </c>
      <c r="D23" s="25">
        <f>+MITRE[[#This Row],[Trenes Puntuales]]/MITRE[[#This Row],[Trenes Corridos]]</f>
        <v>0.8458656220727242</v>
      </c>
      <c r="E23" s="25">
        <f>+MITRE[[#This Row],[Trenes Corridos]]/MITRE[[#This Row],[Trenes Programados]]</f>
        <v>0.84118911174785105</v>
      </c>
      <c r="F23" s="20">
        <v>13960</v>
      </c>
      <c r="G23" s="20">
        <f t="shared" si="2"/>
        <v>2217</v>
      </c>
      <c r="H23" s="20">
        <v>11743</v>
      </c>
      <c r="I23" s="20">
        <v>9933</v>
      </c>
      <c r="J23" s="20">
        <f t="shared" si="3"/>
        <v>1810</v>
      </c>
      <c r="K23" s="20"/>
      <c r="L23" s="5"/>
      <c r="M23" s="29"/>
      <c r="N23" s="24"/>
      <c r="O23" s="30"/>
      <c r="P23" s="30"/>
      <c r="Q23" s="30"/>
      <c r="R23" s="20"/>
      <c r="S23" s="20"/>
      <c r="T23" s="20"/>
      <c r="U23" s="20"/>
      <c r="V23" s="20"/>
      <c r="W23" s="20"/>
      <c r="X23" s="5"/>
      <c r="Y23" s="29"/>
      <c r="Z23" s="24"/>
      <c r="AA23" s="30"/>
      <c r="AB23" s="30"/>
      <c r="AC23" s="30"/>
      <c r="AD23" s="20"/>
      <c r="AE23" s="20"/>
      <c r="AF23" s="20"/>
      <c r="AG23" s="20"/>
      <c r="AH23" s="20"/>
      <c r="AI23" s="20"/>
      <c r="AJ23" s="5"/>
      <c r="AK23" s="29"/>
      <c r="AL23" s="24"/>
      <c r="AM23" s="30"/>
      <c r="AN23" s="30"/>
      <c r="AO23" s="30"/>
      <c r="AP23" s="20"/>
      <c r="AQ23" s="20"/>
      <c r="AR23" s="20"/>
      <c r="AS23" s="20"/>
      <c r="AT23" s="20"/>
      <c r="AU23" s="20"/>
      <c r="AV23" s="5"/>
      <c r="AW23" s="29"/>
      <c r="AX23" s="24"/>
      <c r="AY23" s="30"/>
      <c r="AZ23" s="30"/>
      <c r="BA23" s="30"/>
      <c r="BB23" s="20"/>
      <c r="BC23" s="20"/>
      <c r="BD23" s="20"/>
      <c r="BE23" s="20"/>
      <c r="BF23" s="20"/>
      <c r="BG23" s="20"/>
      <c r="BH23" s="5"/>
      <c r="BI23" s="29"/>
      <c r="BJ23" s="24"/>
      <c r="BK23" s="30"/>
      <c r="BL23" s="30"/>
      <c r="BM23" s="30"/>
      <c r="BN23" s="20"/>
      <c r="BO23" s="20"/>
      <c r="BP23" s="20"/>
      <c r="BQ23" s="20"/>
      <c r="BR23" s="20"/>
      <c r="BS23" s="29"/>
    </row>
    <row r="24" spans="1:71" s="3" customFormat="1" ht="12.75">
      <c r="A24" s="3">
        <v>1994</v>
      </c>
      <c r="B24" s="38" t="s">
        <v>44</v>
      </c>
      <c r="C24" s="25">
        <f>+MITRE[[#This Row],[Trenes Puntuales]]/MITRE[[#This Row],[Trenes Programados]]</f>
        <v>0.80032037888285279</v>
      </c>
      <c r="D24" s="25">
        <f>+MITRE[[#This Row],[Trenes Puntuales]]/MITRE[[#This Row],[Trenes Corridos]]</f>
        <v>0.90967384420519315</v>
      </c>
      <c r="E24" s="25">
        <f>+MITRE[[#This Row],[Trenes Corridos]]/MITRE[[#This Row],[Trenes Programados]]</f>
        <v>0.87978827134698423</v>
      </c>
      <c r="F24" s="20">
        <v>14358</v>
      </c>
      <c r="G24" s="20">
        <f t="shared" si="2"/>
        <v>1726</v>
      </c>
      <c r="H24" s="20">
        <v>12632</v>
      </c>
      <c r="I24" s="20">
        <v>11491</v>
      </c>
      <c r="J24" s="20">
        <f t="shared" si="3"/>
        <v>1141</v>
      </c>
      <c r="K24" s="20"/>
      <c r="L24" s="5"/>
      <c r="M24" s="29"/>
      <c r="N24" s="24"/>
      <c r="O24" s="30"/>
      <c r="P24" s="30"/>
      <c r="Q24" s="30"/>
      <c r="R24" s="20"/>
      <c r="S24" s="20"/>
      <c r="T24" s="20"/>
      <c r="U24" s="20"/>
      <c r="V24" s="20"/>
      <c r="W24" s="20"/>
      <c r="X24" s="5"/>
      <c r="Y24" s="29"/>
      <c r="Z24" s="24"/>
      <c r="AA24" s="30"/>
      <c r="AB24" s="30"/>
      <c r="AC24" s="30"/>
      <c r="AD24" s="20"/>
      <c r="AE24" s="20"/>
      <c r="AF24" s="20"/>
      <c r="AG24" s="20"/>
      <c r="AH24" s="20"/>
      <c r="AI24" s="20"/>
      <c r="AJ24" s="5"/>
      <c r="AK24" s="29"/>
      <c r="AL24" s="24"/>
      <c r="AM24" s="30"/>
      <c r="AN24" s="30"/>
      <c r="AO24" s="30"/>
      <c r="AP24" s="20"/>
      <c r="AQ24" s="20"/>
      <c r="AR24" s="20"/>
      <c r="AS24" s="20"/>
      <c r="AT24" s="20"/>
      <c r="AU24" s="20"/>
      <c r="AV24" s="5"/>
      <c r="AW24" s="29"/>
      <c r="AX24" s="24"/>
      <c r="AY24" s="30"/>
      <c r="AZ24" s="30"/>
      <c r="BA24" s="30"/>
      <c r="BB24" s="20"/>
      <c r="BC24" s="20"/>
      <c r="BD24" s="20"/>
      <c r="BE24" s="20"/>
      <c r="BF24" s="20"/>
      <c r="BG24" s="20"/>
      <c r="BH24" s="5"/>
      <c r="BI24" s="29"/>
      <c r="BJ24" s="24"/>
      <c r="BK24" s="30"/>
      <c r="BL24" s="30"/>
      <c r="BM24" s="30"/>
      <c r="BN24" s="20"/>
      <c r="BO24" s="20"/>
      <c r="BP24" s="20"/>
      <c r="BQ24" s="20"/>
      <c r="BR24" s="20"/>
      <c r="BS24" s="29"/>
    </row>
    <row r="25" spans="1:71" s="3" customFormat="1" ht="12.75">
      <c r="A25" s="3">
        <v>1994</v>
      </c>
      <c r="B25" s="38" t="s">
        <v>45</v>
      </c>
      <c r="C25" s="25">
        <f>+MITRE[[#This Row],[Trenes Puntuales]]/MITRE[[#This Row],[Trenes Programados]]</f>
        <v>0.85069161920260372</v>
      </c>
      <c r="D25" s="25">
        <f>+MITRE[[#This Row],[Trenes Puntuales]]/MITRE[[#This Row],[Trenes Corridos]]</f>
        <v>0.90998766954377308</v>
      </c>
      <c r="E25" s="25">
        <f>+MITRE[[#This Row],[Trenes Corridos]]/MITRE[[#This Row],[Trenes Programados]]</f>
        <v>0.93483862218605918</v>
      </c>
      <c r="F25" s="20">
        <v>14748</v>
      </c>
      <c r="G25" s="20">
        <f t="shared" si="2"/>
        <v>961</v>
      </c>
      <c r="H25" s="20">
        <v>13787</v>
      </c>
      <c r="I25" s="20">
        <v>12546</v>
      </c>
      <c r="J25" s="20">
        <f t="shared" si="3"/>
        <v>1241</v>
      </c>
      <c r="K25" s="20"/>
      <c r="L25" s="5"/>
      <c r="M25" s="29"/>
      <c r="N25" s="24"/>
      <c r="O25" s="30"/>
      <c r="P25" s="30"/>
      <c r="Q25" s="30"/>
      <c r="R25" s="20"/>
      <c r="S25" s="20"/>
      <c r="T25" s="20"/>
      <c r="U25" s="20"/>
      <c r="V25" s="20"/>
      <c r="W25" s="20"/>
      <c r="X25" s="5"/>
      <c r="Y25" s="29"/>
      <c r="Z25" s="24"/>
      <c r="AA25" s="30"/>
      <c r="AB25" s="30"/>
      <c r="AC25" s="30"/>
      <c r="AD25" s="20"/>
      <c r="AE25" s="20"/>
      <c r="AF25" s="20"/>
      <c r="AG25" s="20"/>
      <c r="AH25" s="20"/>
      <c r="AI25" s="20"/>
      <c r="AJ25" s="5"/>
      <c r="AK25" s="29"/>
      <c r="AL25" s="24"/>
      <c r="AM25" s="30"/>
      <c r="AN25" s="30"/>
      <c r="AO25" s="30"/>
      <c r="AP25" s="20"/>
      <c r="AQ25" s="20"/>
      <c r="AR25" s="20"/>
      <c r="AS25" s="20"/>
      <c r="AT25" s="20"/>
      <c r="AU25" s="20"/>
      <c r="AV25" s="5"/>
      <c r="AW25" s="29"/>
      <c r="AX25" s="24"/>
      <c r="AY25" s="30"/>
      <c r="AZ25" s="30"/>
      <c r="BA25" s="30"/>
      <c r="BB25" s="20"/>
      <c r="BC25" s="20"/>
      <c r="BD25" s="20"/>
      <c r="BE25" s="20"/>
      <c r="BF25" s="20"/>
      <c r="BG25" s="20"/>
      <c r="BH25" s="5"/>
      <c r="BI25" s="29"/>
      <c r="BJ25" s="24"/>
      <c r="BK25" s="30"/>
      <c r="BL25" s="30"/>
      <c r="BM25" s="30"/>
      <c r="BN25" s="20"/>
      <c r="BO25" s="20"/>
      <c r="BP25" s="20"/>
      <c r="BQ25" s="20"/>
      <c r="BR25" s="20"/>
      <c r="BS25" s="29"/>
    </row>
    <row r="26" spans="1:71" s="3" customFormat="1" ht="12.75">
      <c r="A26" s="3">
        <v>1994</v>
      </c>
      <c r="B26" s="38" t="s">
        <v>46</v>
      </c>
      <c r="C26" s="25">
        <f>+MITRE[[#This Row],[Trenes Puntuales]]/MITRE[[#This Row],[Trenes Programados]]</f>
        <v>0.86206896551724133</v>
      </c>
      <c r="D26" s="25">
        <f>+MITRE[[#This Row],[Trenes Puntuales]]/MITRE[[#This Row],[Trenes Corridos]]</f>
        <v>0.9276506966693987</v>
      </c>
      <c r="E26" s="25">
        <f>+MITRE[[#This Row],[Trenes Corridos]]/MITRE[[#This Row],[Trenes Programados]]</f>
        <v>0.92930342057886717</v>
      </c>
      <c r="F26" s="20">
        <v>14442</v>
      </c>
      <c r="G26" s="20">
        <f t="shared" si="2"/>
        <v>1021</v>
      </c>
      <c r="H26" s="20">
        <v>13421</v>
      </c>
      <c r="I26" s="20">
        <v>12450</v>
      </c>
      <c r="J26" s="20">
        <f t="shared" si="3"/>
        <v>971</v>
      </c>
      <c r="K26" s="20"/>
      <c r="L26" s="5"/>
      <c r="M26" s="29"/>
      <c r="N26" s="24"/>
      <c r="O26" s="30"/>
      <c r="P26" s="30"/>
      <c r="Q26" s="30"/>
      <c r="R26" s="20"/>
      <c r="S26" s="20"/>
      <c r="T26" s="20"/>
      <c r="U26" s="20"/>
      <c r="V26" s="20"/>
      <c r="W26" s="20"/>
      <c r="X26" s="5"/>
      <c r="Y26" s="29"/>
      <c r="Z26" s="24"/>
      <c r="AA26" s="30"/>
      <c r="AB26" s="30"/>
      <c r="AC26" s="30"/>
      <c r="AD26" s="20"/>
      <c r="AE26" s="20"/>
      <c r="AF26" s="20"/>
      <c r="AG26" s="20"/>
      <c r="AH26" s="20"/>
      <c r="AI26" s="20"/>
      <c r="AJ26" s="5"/>
      <c r="AK26" s="29"/>
      <c r="AL26" s="24"/>
      <c r="AM26" s="30"/>
      <c r="AN26" s="30"/>
      <c r="AO26" s="30"/>
      <c r="AP26" s="20"/>
      <c r="AQ26" s="20"/>
      <c r="AR26" s="20"/>
      <c r="AS26" s="20"/>
      <c r="AT26" s="20"/>
      <c r="AU26" s="20"/>
      <c r="AV26" s="5"/>
      <c r="AW26" s="29"/>
      <c r="AX26" s="24"/>
      <c r="AY26" s="30"/>
      <c r="AZ26" s="30"/>
      <c r="BA26" s="30"/>
      <c r="BB26" s="20"/>
      <c r="BC26" s="20"/>
      <c r="BD26" s="20"/>
      <c r="BE26" s="20"/>
      <c r="BF26" s="20"/>
      <c r="BG26" s="20"/>
      <c r="BH26" s="5"/>
      <c r="BI26" s="29"/>
      <c r="BJ26" s="24"/>
      <c r="BK26" s="30"/>
      <c r="BL26" s="30"/>
      <c r="BM26" s="30"/>
      <c r="BN26" s="20"/>
      <c r="BO26" s="20"/>
      <c r="BP26" s="20"/>
      <c r="BQ26" s="20"/>
      <c r="BR26" s="20"/>
      <c r="BS26" s="29"/>
    </row>
    <row r="27" spans="1:71" s="3" customFormat="1" ht="12.75">
      <c r="A27" s="3">
        <v>1994</v>
      </c>
      <c r="B27" s="38" t="s">
        <v>47</v>
      </c>
      <c r="C27" s="25">
        <f>+MITRE[[#This Row],[Trenes Puntuales]]/MITRE[[#This Row],[Trenes Programados]]</f>
        <v>0.82275515126455789</v>
      </c>
      <c r="D27" s="25">
        <f>+MITRE[[#This Row],[Trenes Puntuales]]/MITRE[[#This Row],[Trenes Corridos]]</f>
        <v>0.91081782117790666</v>
      </c>
      <c r="E27" s="25">
        <f>+MITRE[[#This Row],[Trenes Corridos]]/MITRE[[#This Row],[Trenes Programados]]</f>
        <v>0.90331472675901037</v>
      </c>
      <c r="F27" s="20">
        <v>14511</v>
      </c>
      <c r="G27" s="20">
        <f t="shared" si="2"/>
        <v>1403</v>
      </c>
      <c r="H27" s="20">
        <v>13108</v>
      </c>
      <c r="I27" s="20">
        <v>11939</v>
      </c>
      <c r="J27" s="20">
        <f t="shared" si="3"/>
        <v>1169</v>
      </c>
      <c r="K27" s="20"/>
      <c r="L27" s="5"/>
      <c r="M27" s="29"/>
      <c r="N27" s="24"/>
      <c r="O27" s="30"/>
      <c r="P27" s="30"/>
      <c r="Q27" s="30"/>
      <c r="R27" s="20"/>
      <c r="S27" s="20"/>
      <c r="T27" s="20"/>
      <c r="U27" s="20"/>
      <c r="V27" s="20"/>
      <c r="W27" s="20"/>
      <c r="X27" s="5"/>
      <c r="Y27" s="29"/>
      <c r="Z27" s="24"/>
      <c r="AA27" s="30"/>
      <c r="AB27" s="30"/>
      <c r="AC27" s="30"/>
      <c r="AD27" s="20"/>
      <c r="AE27" s="20"/>
      <c r="AF27" s="20"/>
      <c r="AG27" s="20"/>
      <c r="AH27" s="20"/>
      <c r="AI27" s="20"/>
      <c r="AJ27" s="5"/>
      <c r="AK27" s="29"/>
      <c r="AL27" s="24"/>
      <c r="AM27" s="30"/>
      <c r="AN27" s="30"/>
      <c r="AO27" s="30"/>
      <c r="AP27" s="20"/>
      <c r="AQ27" s="20"/>
      <c r="AR27" s="20"/>
      <c r="AS27" s="20"/>
      <c r="AT27" s="20"/>
      <c r="AU27" s="20"/>
      <c r="AV27" s="5"/>
      <c r="AW27" s="29"/>
      <c r="AX27" s="24"/>
      <c r="AY27" s="30"/>
      <c r="AZ27" s="30"/>
      <c r="BA27" s="30"/>
      <c r="BB27" s="20"/>
      <c r="BC27" s="20"/>
      <c r="BD27" s="20"/>
      <c r="BE27" s="20"/>
      <c r="BF27" s="20"/>
      <c r="BG27" s="20"/>
      <c r="BH27" s="5"/>
      <c r="BI27" s="29"/>
      <c r="BJ27" s="24"/>
      <c r="BK27" s="30"/>
      <c r="BL27" s="30"/>
      <c r="BM27" s="30"/>
      <c r="BN27" s="20"/>
      <c r="BO27" s="20"/>
      <c r="BP27" s="20"/>
      <c r="BQ27" s="20"/>
      <c r="BR27" s="20"/>
      <c r="BS27" s="29"/>
    </row>
    <row r="28" spans="1:71" s="3" customFormat="1" ht="12.75">
      <c r="A28" s="3">
        <v>1994</v>
      </c>
      <c r="B28" s="38" t="s">
        <v>48</v>
      </c>
      <c r="C28" s="25">
        <f>+MITRE[[#This Row],[Trenes Puntuales]]/MITRE[[#This Row],[Trenes Programados]]</f>
        <v>0.86186123805567094</v>
      </c>
      <c r="D28" s="25">
        <f>+MITRE[[#This Row],[Trenes Puntuales]]/MITRE[[#This Row],[Trenes Corridos]]</f>
        <v>0.92275187189561869</v>
      </c>
      <c r="E28" s="25">
        <f>+MITRE[[#This Row],[Trenes Corridos]]/MITRE[[#This Row],[Trenes Programados]]</f>
        <v>0.93401190970779668</v>
      </c>
      <c r="F28" s="20">
        <v>14442</v>
      </c>
      <c r="G28" s="20">
        <f t="shared" si="2"/>
        <v>953</v>
      </c>
      <c r="H28" s="20">
        <v>13489</v>
      </c>
      <c r="I28" s="20">
        <v>12447</v>
      </c>
      <c r="J28" s="20">
        <f t="shared" si="3"/>
        <v>1042</v>
      </c>
      <c r="K28" s="20"/>
      <c r="L28" s="5"/>
      <c r="M28" s="29"/>
      <c r="N28" s="24"/>
      <c r="O28" s="30"/>
      <c r="P28" s="30"/>
      <c r="Q28" s="30"/>
      <c r="R28" s="20"/>
      <c r="S28" s="20"/>
      <c r="T28" s="20"/>
      <c r="U28" s="20"/>
      <c r="V28" s="20"/>
      <c r="W28" s="20"/>
      <c r="X28" s="5"/>
      <c r="Y28" s="29"/>
      <c r="Z28" s="24"/>
      <c r="AA28" s="30"/>
      <c r="AB28" s="30"/>
      <c r="AC28" s="30"/>
      <c r="AD28" s="20"/>
      <c r="AE28" s="20"/>
      <c r="AF28" s="20"/>
      <c r="AG28" s="20"/>
      <c r="AH28" s="20"/>
      <c r="AI28" s="20"/>
      <c r="AJ28" s="5"/>
      <c r="AK28" s="29"/>
      <c r="AL28" s="24"/>
      <c r="AM28" s="30"/>
      <c r="AN28" s="30"/>
      <c r="AO28" s="30"/>
      <c r="AP28" s="20"/>
      <c r="AQ28" s="20"/>
      <c r="AR28" s="20"/>
      <c r="AS28" s="20"/>
      <c r="AT28" s="20"/>
      <c r="AU28" s="20"/>
      <c r="AV28" s="5"/>
      <c r="AW28" s="29"/>
      <c r="AX28" s="24"/>
      <c r="AY28" s="30"/>
      <c r="AZ28" s="30"/>
      <c r="BA28" s="30"/>
      <c r="BB28" s="20"/>
      <c r="BC28" s="20"/>
      <c r="BD28" s="20"/>
      <c r="BE28" s="20"/>
      <c r="BF28" s="20"/>
      <c r="BG28" s="20"/>
      <c r="BH28" s="5"/>
      <c r="BI28" s="29"/>
      <c r="BJ28" s="24"/>
      <c r="BK28" s="30"/>
      <c r="BL28" s="30"/>
      <c r="BM28" s="30"/>
      <c r="BN28" s="20"/>
      <c r="BO28" s="20"/>
      <c r="BP28" s="20"/>
      <c r="BQ28" s="20"/>
      <c r="BR28" s="20"/>
      <c r="BS28" s="29"/>
    </row>
    <row r="29" spans="1:71" s="3" customFormat="1" ht="12.75">
      <c r="A29" s="3">
        <v>1994</v>
      </c>
      <c r="B29" s="38" t="s">
        <v>49</v>
      </c>
      <c r="C29" s="25">
        <f>+MITRE[[#This Row],[Trenes Puntuales]]/MITRE[[#This Row],[Trenes Programados]]</f>
        <v>0.78345058626465658</v>
      </c>
      <c r="D29" s="25">
        <f>+MITRE[[#This Row],[Trenes Puntuales]]/MITRE[[#This Row],[Trenes Corridos]]</f>
        <v>0.87300283709123483</v>
      </c>
      <c r="E29" s="25">
        <f>+MITRE[[#This Row],[Trenes Corridos]]/MITRE[[#This Row],[Trenes Programados]]</f>
        <v>0.89742043551088779</v>
      </c>
      <c r="F29" s="20">
        <v>14925</v>
      </c>
      <c r="G29" s="20">
        <f t="shared" si="2"/>
        <v>1531</v>
      </c>
      <c r="H29" s="20">
        <v>13394</v>
      </c>
      <c r="I29" s="20">
        <v>11693</v>
      </c>
      <c r="J29" s="20">
        <f t="shared" si="3"/>
        <v>1701</v>
      </c>
      <c r="K29" s="20"/>
      <c r="L29" s="5"/>
      <c r="M29" s="29"/>
      <c r="N29" s="24"/>
      <c r="O29" s="30"/>
      <c r="P29" s="30"/>
      <c r="Q29" s="30"/>
      <c r="R29" s="20"/>
      <c r="S29" s="20"/>
      <c r="T29" s="20"/>
      <c r="U29" s="20"/>
      <c r="V29" s="20"/>
      <c r="W29" s="20"/>
      <c r="X29" s="5"/>
      <c r="Y29" s="29"/>
      <c r="Z29" s="24"/>
      <c r="AA29" s="30"/>
      <c r="AB29" s="30"/>
      <c r="AC29" s="30"/>
      <c r="AD29" s="20"/>
      <c r="AE29" s="20"/>
      <c r="AF29" s="20"/>
      <c r="AG29" s="20"/>
      <c r="AH29" s="20"/>
      <c r="AI29" s="20"/>
      <c r="AJ29" s="5"/>
      <c r="AK29" s="29"/>
      <c r="AL29" s="24"/>
      <c r="AM29" s="30"/>
      <c r="AN29" s="30"/>
      <c r="AO29" s="30"/>
      <c r="AP29" s="20"/>
      <c r="AQ29" s="20"/>
      <c r="AR29" s="20"/>
      <c r="AS29" s="20"/>
      <c r="AT29" s="20"/>
      <c r="AU29" s="20"/>
      <c r="AV29" s="5"/>
      <c r="AW29" s="29"/>
      <c r="AX29" s="24"/>
      <c r="AY29" s="30"/>
      <c r="AZ29" s="30"/>
      <c r="BA29" s="30"/>
      <c r="BB29" s="20"/>
      <c r="BC29" s="20"/>
      <c r="BD29" s="20"/>
      <c r="BE29" s="20"/>
      <c r="BF29" s="20"/>
      <c r="BG29" s="20"/>
      <c r="BH29" s="5"/>
      <c r="BI29" s="29"/>
      <c r="BJ29" s="24"/>
      <c r="BK29" s="30"/>
      <c r="BL29" s="30"/>
      <c r="BM29" s="30"/>
      <c r="BN29" s="20"/>
      <c r="BO29" s="20"/>
      <c r="BP29" s="20"/>
      <c r="BQ29" s="20"/>
      <c r="BR29" s="20"/>
      <c r="BS29" s="29"/>
    </row>
    <row r="30" spans="1:71" s="3" customFormat="1" ht="12.75">
      <c r="A30" s="3">
        <v>1995</v>
      </c>
      <c r="B30" s="38" t="s">
        <v>38</v>
      </c>
      <c r="C30" s="25">
        <f>+MITRE[[#This Row],[Trenes Puntuales]]/MITRE[[#This Row],[Trenes Programados]]</f>
        <v>0.81814483319772169</v>
      </c>
      <c r="D30" s="25">
        <f>+MITRE[[#This Row],[Trenes Puntuales]]/MITRE[[#This Row],[Trenes Corridos]]</f>
        <v>0.90375252790053184</v>
      </c>
      <c r="E30" s="25">
        <f>+MITRE[[#This Row],[Trenes Corridos]]/MITRE[[#This Row],[Trenes Programados]]</f>
        <v>0.90527529156495801</v>
      </c>
      <c r="F30" s="20">
        <v>14748</v>
      </c>
      <c r="G30" s="20">
        <f t="shared" ref="G30:G41" si="4">F30-H30</f>
        <v>1397</v>
      </c>
      <c r="H30" s="20">
        <v>13351</v>
      </c>
      <c r="I30" s="20">
        <v>12066</v>
      </c>
      <c r="J30" s="20">
        <f t="shared" ref="J30:J41" si="5">H30-I30</f>
        <v>1285</v>
      </c>
      <c r="K30" s="20"/>
      <c r="L30" s="5"/>
      <c r="M30" s="29"/>
      <c r="N30" s="24"/>
      <c r="O30" s="30"/>
      <c r="P30" s="30"/>
      <c r="Q30" s="30"/>
      <c r="R30" s="20"/>
      <c r="S30" s="20"/>
      <c r="T30" s="20"/>
      <c r="U30" s="20"/>
      <c r="V30" s="20"/>
      <c r="W30" s="20"/>
      <c r="X30" s="5"/>
      <c r="Y30" s="29"/>
      <c r="Z30" s="24"/>
      <c r="AA30" s="30"/>
      <c r="AB30" s="30"/>
      <c r="AC30" s="30"/>
      <c r="AD30" s="20"/>
      <c r="AE30" s="20"/>
      <c r="AF30" s="20"/>
      <c r="AG30" s="20"/>
      <c r="AH30" s="20"/>
      <c r="AI30" s="20"/>
      <c r="AJ30" s="5"/>
      <c r="AK30" s="29"/>
      <c r="AL30" s="24"/>
      <c r="AM30" s="30"/>
      <c r="AN30" s="30"/>
      <c r="AO30" s="30"/>
      <c r="AP30" s="20"/>
      <c r="AQ30" s="20"/>
      <c r="AR30" s="20"/>
      <c r="AS30" s="20"/>
      <c r="AT30" s="20"/>
      <c r="AU30" s="20"/>
      <c r="AV30" s="5"/>
      <c r="AW30" s="29"/>
      <c r="AX30" s="24"/>
      <c r="AY30" s="30"/>
      <c r="AZ30" s="30"/>
      <c r="BA30" s="30"/>
      <c r="BB30" s="20"/>
      <c r="BC30" s="20"/>
      <c r="BD30" s="20"/>
      <c r="BE30" s="20"/>
      <c r="BF30" s="20"/>
      <c r="BG30" s="20"/>
      <c r="BH30" s="5"/>
      <c r="BI30" s="29"/>
      <c r="BJ30" s="24"/>
      <c r="BK30" s="30"/>
      <c r="BL30" s="30"/>
      <c r="BM30" s="30"/>
      <c r="BN30" s="20"/>
      <c r="BO30" s="20"/>
      <c r="BP30" s="20"/>
      <c r="BQ30" s="20"/>
      <c r="BR30" s="20"/>
      <c r="BS30" s="29"/>
    </row>
    <row r="31" spans="1:71" s="3" customFormat="1" ht="12.75">
      <c r="A31" s="3">
        <v>1995</v>
      </c>
      <c r="B31" s="38" t="s">
        <v>39</v>
      </c>
      <c r="C31" s="25">
        <f>+MITRE[[#This Row],[Trenes Puntuales]]/MITRE[[#This Row],[Trenes Programados]]</f>
        <v>0.81611508646392372</v>
      </c>
      <c r="D31" s="25">
        <f>+MITRE[[#This Row],[Trenes Puntuales]]/MITRE[[#This Row],[Trenes Corridos]]</f>
        <v>0.87641079004242373</v>
      </c>
      <c r="E31" s="25">
        <f>+MITRE[[#This Row],[Trenes Corridos]]/MITRE[[#This Row],[Trenes Programados]]</f>
        <v>0.93120155038759689</v>
      </c>
      <c r="F31" s="20">
        <v>13416</v>
      </c>
      <c r="G31" s="20">
        <f t="shared" si="4"/>
        <v>923</v>
      </c>
      <c r="H31" s="20">
        <v>12493</v>
      </c>
      <c r="I31" s="20">
        <v>10949</v>
      </c>
      <c r="J31" s="20">
        <f t="shared" si="5"/>
        <v>1544</v>
      </c>
      <c r="K31" s="20"/>
      <c r="L31" s="5"/>
      <c r="M31" s="29"/>
      <c r="N31" s="24"/>
      <c r="O31" s="30"/>
      <c r="P31" s="30"/>
      <c r="Q31" s="30"/>
      <c r="R31" s="20"/>
      <c r="S31" s="20"/>
      <c r="T31" s="20"/>
      <c r="U31" s="20"/>
      <c r="V31" s="20"/>
      <c r="W31" s="20"/>
      <c r="X31" s="5"/>
      <c r="Y31" s="29"/>
      <c r="Z31" s="24"/>
      <c r="AA31" s="30"/>
      <c r="AB31" s="30"/>
      <c r="AC31" s="30"/>
      <c r="AD31" s="20"/>
      <c r="AE31" s="20"/>
      <c r="AF31" s="20"/>
      <c r="AG31" s="20"/>
      <c r="AH31" s="20"/>
      <c r="AI31" s="20"/>
      <c r="AJ31" s="5"/>
      <c r="AK31" s="29"/>
      <c r="AL31" s="24"/>
      <c r="AM31" s="30"/>
      <c r="AN31" s="30"/>
      <c r="AO31" s="30"/>
      <c r="AP31" s="20"/>
      <c r="AQ31" s="20"/>
      <c r="AR31" s="20"/>
      <c r="AS31" s="20"/>
      <c r="AT31" s="20"/>
      <c r="AU31" s="20"/>
      <c r="AV31" s="5"/>
      <c r="AW31" s="29"/>
      <c r="AX31" s="24"/>
      <c r="AY31" s="30"/>
      <c r="AZ31" s="30"/>
      <c r="BA31" s="30"/>
      <c r="BB31" s="20"/>
      <c r="BC31" s="20"/>
      <c r="BD31" s="20"/>
      <c r="BE31" s="20"/>
      <c r="BF31" s="20"/>
      <c r="BG31" s="20"/>
      <c r="BH31" s="5"/>
      <c r="BI31" s="29"/>
      <c r="BJ31" s="24"/>
      <c r="BK31" s="30"/>
      <c r="BL31" s="30"/>
      <c r="BM31" s="30"/>
      <c r="BN31" s="20"/>
      <c r="BO31" s="20"/>
      <c r="BP31" s="20"/>
      <c r="BQ31" s="20"/>
      <c r="BR31" s="20"/>
      <c r="BS31" s="29"/>
    </row>
    <row r="32" spans="1:71" s="3" customFormat="1" ht="12.75">
      <c r="A32" s="3">
        <v>1995</v>
      </c>
      <c r="B32" s="38" t="s">
        <v>40</v>
      </c>
      <c r="C32" s="25">
        <f>+MITRE[[#This Row],[Trenes Puntuales]]/MITRE[[#This Row],[Trenes Programados]]</f>
        <v>0.74764292878635907</v>
      </c>
      <c r="D32" s="25">
        <f>+MITRE[[#This Row],[Trenes Puntuales]]/MITRE[[#This Row],[Trenes Corridos]]</f>
        <v>0.83733992361267129</v>
      </c>
      <c r="E32" s="25">
        <f>+MITRE[[#This Row],[Trenes Corridos]]/MITRE[[#This Row],[Trenes Programados]]</f>
        <v>0.89287863590772321</v>
      </c>
      <c r="F32" s="20">
        <v>14955</v>
      </c>
      <c r="G32" s="20">
        <f t="shared" si="4"/>
        <v>1602</v>
      </c>
      <c r="H32" s="20">
        <v>13353</v>
      </c>
      <c r="I32" s="20">
        <v>11181</v>
      </c>
      <c r="J32" s="20">
        <f t="shared" si="5"/>
        <v>2172</v>
      </c>
      <c r="K32" s="20"/>
      <c r="L32" s="5"/>
      <c r="M32" s="29"/>
      <c r="N32" s="24"/>
      <c r="O32" s="30"/>
      <c r="P32" s="30"/>
      <c r="Q32" s="30"/>
      <c r="R32" s="20"/>
      <c r="S32" s="20"/>
      <c r="T32" s="20"/>
      <c r="U32" s="20"/>
      <c r="V32" s="20"/>
      <c r="W32" s="20"/>
      <c r="X32" s="5"/>
      <c r="Y32" s="29"/>
      <c r="Z32" s="24"/>
      <c r="AA32" s="30"/>
      <c r="AB32" s="30"/>
      <c r="AC32" s="30"/>
      <c r="AD32" s="20"/>
      <c r="AE32" s="20"/>
      <c r="AF32" s="20"/>
      <c r="AG32" s="20"/>
      <c r="AH32" s="20"/>
      <c r="AI32" s="20"/>
      <c r="AJ32" s="5"/>
      <c r="AK32" s="29"/>
      <c r="AL32" s="24"/>
      <c r="AM32" s="30"/>
      <c r="AN32" s="30"/>
      <c r="AO32" s="30"/>
      <c r="AP32" s="20"/>
      <c r="AQ32" s="20"/>
      <c r="AR32" s="20"/>
      <c r="AS32" s="20"/>
      <c r="AT32" s="20"/>
      <c r="AU32" s="20"/>
      <c r="AV32" s="5"/>
      <c r="AW32" s="29"/>
      <c r="AX32" s="24"/>
      <c r="AY32" s="30"/>
      <c r="AZ32" s="30"/>
      <c r="BA32" s="30"/>
      <c r="BB32" s="20"/>
      <c r="BC32" s="20"/>
      <c r="BD32" s="20"/>
      <c r="BE32" s="20"/>
      <c r="BF32" s="20"/>
      <c r="BG32" s="20"/>
      <c r="BH32" s="5"/>
      <c r="BI32" s="29"/>
      <c r="BJ32" s="24"/>
      <c r="BK32" s="30"/>
      <c r="BL32" s="30"/>
      <c r="BM32" s="30"/>
      <c r="BN32" s="20"/>
      <c r="BO32" s="20"/>
      <c r="BP32" s="20"/>
      <c r="BQ32" s="20"/>
      <c r="BR32" s="20"/>
      <c r="BS32" s="29"/>
    </row>
    <row r="33" spans="1:71" s="3" customFormat="1" ht="12.75">
      <c r="A33" s="3">
        <v>1995</v>
      </c>
      <c r="B33" s="38" t="s">
        <v>41</v>
      </c>
      <c r="C33" s="25">
        <f>+MITRE[[#This Row],[Trenes Puntuales]]/MITRE[[#This Row],[Trenes Programados]]</f>
        <v>0.72288898414059155</v>
      </c>
      <c r="D33" s="25">
        <f>+MITRE[[#This Row],[Trenes Puntuales]]/MITRE[[#This Row],[Trenes Corridos]]</f>
        <v>0.82094759045919197</v>
      </c>
      <c r="E33" s="25">
        <f>+MITRE[[#This Row],[Trenes Corridos]]/MITRE[[#This Row],[Trenes Programados]]</f>
        <v>0.88055436490927275</v>
      </c>
      <c r="F33" s="20">
        <v>13998</v>
      </c>
      <c r="G33" s="20">
        <f t="shared" si="4"/>
        <v>1672</v>
      </c>
      <c r="H33" s="20">
        <v>12326</v>
      </c>
      <c r="I33" s="20">
        <v>10119</v>
      </c>
      <c r="J33" s="20">
        <f t="shared" si="5"/>
        <v>2207</v>
      </c>
      <c r="K33" s="20"/>
      <c r="L33" s="5"/>
      <c r="M33" s="29"/>
      <c r="N33" s="24"/>
      <c r="O33" s="30"/>
      <c r="P33" s="30"/>
      <c r="Q33" s="30"/>
      <c r="R33" s="20"/>
      <c r="S33" s="20"/>
      <c r="T33" s="20"/>
      <c r="U33" s="20"/>
      <c r="V33" s="20"/>
      <c r="W33" s="20"/>
      <c r="X33" s="5"/>
      <c r="Y33" s="29"/>
      <c r="Z33" s="24"/>
      <c r="AA33" s="30"/>
      <c r="AB33" s="30"/>
      <c r="AC33" s="30"/>
      <c r="AD33" s="20"/>
      <c r="AE33" s="20"/>
      <c r="AF33" s="20"/>
      <c r="AG33" s="20"/>
      <c r="AH33" s="20"/>
      <c r="AI33" s="20"/>
      <c r="AJ33" s="5"/>
      <c r="AK33" s="29"/>
      <c r="AL33" s="24"/>
      <c r="AM33" s="30"/>
      <c r="AN33" s="30"/>
      <c r="AO33" s="30"/>
      <c r="AP33" s="20"/>
      <c r="AQ33" s="20"/>
      <c r="AR33" s="20"/>
      <c r="AS33" s="20"/>
      <c r="AT33" s="20"/>
      <c r="AU33" s="20"/>
      <c r="AV33" s="5"/>
      <c r="AW33" s="29"/>
      <c r="AX33" s="24"/>
      <c r="AY33" s="30"/>
      <c r="AZ33" s="30"/>
      <c r="BA33" s="30"/>
      <c r="BB33" s="20"/>
      <c r="BC33" s="20"/>
      <c r="BD33" s="20"/>
      <c r="BE33" s="20"/>
      <c r="BF33" s="20"/>
      <c r="BG33" s="20"/>
      <c r="BH33" s="5"/>
      <c r="BI33" s="29"/>
      <c r="BJ33" s="24"/>
      <c r="BK33" s="30"/>
      <c r="BL33" s="30"/>
      <c r="BM33" s="30"/>
      <c r="BN33" s="20"/>
      <c r="BO33" s="20"/>
      <c r="BP33" s="20"/>
      <c r="BQ33" s="20"/>
      <c r="BR33" s="20"/>
      <c r="BS33" s="29"/>
    </row>
    <row r="34" spans="1:71" s="3" customFormat="1" ht="12.75">
      <c r="A34" s="3">
        <v>1995</v>
      </c>
      <c r="B34" s="38" t="s">
        <v>42</v>
      </c>
      <c r="C34" s="25">
        <f>+MITRE[[#This Row],[Trenes Puntuales]]/MITRE[[#This Row],[Trenes Programados]]</f>
        <v>0.71512820512820507</v>
      </c>
      <c r="D34" s="25">
        <f>+MITRE[[#This Row],[Trenes Puntuales]]/MITRE[[#This Row],[Trenes Corridos]]</f>
        <v>0.84506615493384507</v>
      </c>
      <c r="E34" s="25">
        <f>+MITRE[[#This Row],[Trenes Corridos]]/MITRE[[#This Row],[Trenes Programados]]</f>
        <v>0.84623931623931625</v>
      </c>
      <c r="F34" s="20">
        <v>11700</v>
      </c>
      <c r="G34" s="20">
        <f t="shared" si="4"/>
        <v>1799</v>
      </c>
      <c r="H34" s="20">
        <f>3783+3008+2044+461+605</f>
        <v>9901</v>
      </c>
      <c r="I34" s="20">
        <f>3478+2480+1779+231+399</f>
        <v>8367</v>
      </c>
      <c r="J34" s="20">
        <f t="shared" si="5"/>
        <v>1534</v>
      </c>
      <c r="K34" s="20"/>
      <c r="L34" s="5"/>
      <c r="M34" s="29"/>
      <c r="N34" s="24"/>
      <c r="O34" s="30"/>
      <c r="P34" s="30"/>
      <c r="Q34" s="30"/>
      <c r="R34" s="20"/>
      <c r="S34" s="20"/>
      <c r="T34" s="20"/>
      <c r="U34" s="20"/>
      <c r="V34" s="20"/>
      <c r="W34" s="20"/>
      <c r="X34" s="5"/>
      <c r="Y34" s="29"/>
      <c r="Z34" s="24"/>
      <c r="AA34" s="30"/>
      <c r="AB34" s="30"/>
      <c r="AC34" s="30"/>
      <c r="AD34" s="20"/>
      <c r="AE34" s="20"/>
      <c r="AF34" s="20"/>
      <c r="AG34" s="20"/>
      <c r="AH34" s="20"/>
      <c r="AI34" s="20"/>
      <c r="AJ34" s="5"/>
      <c r="AK34" s="29"/>
      <c r="AL34" s="24"/>
      <c r="AM34" s="30"/>
      <c r="AN34" s="30"/>
      <c r="AO34" s="30"/>
      <c r="AP34" s="20"/>
      <c r="AQ34" s="20"/>
      <c r="AR34" s="20"/>
      <c r="AS34" s="20"/>
      <c r="AT34" s="20"/>
      <c r="AU34" s="20"/>
      <c r="AV34" s="5"/>
      <c r="AW34" s="29"/>
      <c r="AX34" s="24"/>
      <c r="AY34" s="30"/>
      <c r="AZ34" s="30"/>
      <c r="BA34" s="30"/>
      <c r="BB34" s="20"/>
      <c r="BC34" s="20"/>
      <c r="BD34" s="20"/>
      <c r="BE34" s="20"/>
      <c r="BF34" s="20"/>
      <c r="BG34" s="20"/>
      <c r="BH34" s="5"/>
      <c r="BI34" s="29"/>
      <c r="BJ34" s="24"/>
      <c r="BK34" s="30"/>
      <c r="BL34" s="30"/>
      <c r="BM34" s="30"/>
      <c r="BN34" s="20"/>
      <c r="BO34" s="20"/>
      <c r="BP34" s="20"/>
      <c r="BQ34" s="20"/>
      <c r="BR34" s="20"/>
      <c r="BS34" s="29"/>
    </row>
    <row r="35" spans="1:71" s="3" customFormat="1" ht="12.75">
      <c r="A35" s="3">
        <v>1995</v>
      </c>
      <c r="B35" s="38" t="s">
        <v>43</v>
      </c>
      <c r="C35" s="25">
        <f>+MITRE[[#This Row],[Trenes Puntuales]]/MITRE[[#This Row],[Trenes Programados]]</f>
        <v>0.81372854914196568</v>
      </c>
      <c r="D35" s="25">
        <f>+MITRE[[#This Row],[Trenes Puntuales]]/MITRE[[#This Row],[Trenes Corridos]]</f>
        <v>0.86730961090788161</v>
      </c>
      <c r="E35" s="25">
        <f>+MITRE[[#This Row],[Trenes Corridos]]/MITRE[[#This Row],[Trenes Programados]]</f>
        <v>0.9382215288611544</v>
      </c>
      <c r="F35" s="20">
        <v>12820</v>
      </c>
      <c r="G35" s="20">
        <f t="shared" si="4"/>
        <v>792</v>
      </c>
      <c r="H35" s="20">
        <v>12028</v>
      </c>
      <c r="I35" s="20">
        <v>10432</v>
      </c>
      <c r="J35" s="20">
        <f t="shared" si="5"/>
        <v>1596</v>
      </c>
      <c r="K35" s="20"/>
      <c r="L35" s="5"/>
      <c r="M35" s="29"/>
      <c r="N35" s="24"/>
      <c r="O35" s="30"/>
      <c r="P35" s="30"/>
      <c r="Q35" s="30"/>
      <c r="R35" s="20"/>
      <c r="S35" s="20"/>
      <c r="T35" s="20"/>
      <c r="U35" s="20"/>
      <c r="V35" s="20"/>
      <c r="W35" s="20"/>
      <c r="X35" s="5"/>
      <c r="Y35" s="29"/>
      <c r="Z35" s="24"/>
      <c r="AA35" s="30"/>
      <c r="AB35" s="30"/>
      <c r="AC35" s="30"/>
      <c r="AD35" s="20"/>
      <c r="AE35" s="20"/>
      <c r="AF35" s="20"/>
      <c r="AG35" s="20"/>
      <c r="AH35" s="20"/>
      <c r="AI35" s="20"/>
      <c r="AJ35" s="5"/>
      <c r="AK35" s="29"/>
      <c r="AL35" s="24"/>
      <c r="AM35" s="30"/>
      <c r="AN35" s="30"/>
      <c r="AO35" s="30"/>
      <c r="AP35" s="20"/>
      <c r="AQ35" s="20"/>
      <c r="AR35" s="20"/>
      <c r="AS35" s="20"/>
      <c r="AT35" s="20"/>
      <c r="AU35" s="20"/>
      <c r="AV35" s="5"/>
      <c r="AW35" s="29"/>
      <c r="AX35" s="24"/>
      <c r="AY35" s="30"/>
      <c r="AZ35" s="30"/>
      <c r="BA35" s="30"/>
      <c r="BB35" s="20"/>
      <c r="BC35" s="20"/>
      <c r="BD35" s="20"/>
      <c r="BE35" s="20"/>
      <c r="BF35" s="20"/>
      <c r="BG35" s="20"/>
      <c r="BH35" s="5"/>
      <c r="BI35" s="29"/>
      <c r="BJ35" s="24"/>
      <c r="BK35" s="30"/>
      <c r="BL35" s="30"/>
      <c r="BM35" s="30"/>
      <c r="BN35" s="20"/>
      <c r="BO35" s="20"/>
      <c r="BP35" s="20"/>
      <c r="BQ35" s="20"/>
      <c r="BR35" s="20"/>
      <c r="BS35" s="29"/>
    </row>
    <row r="36" spans="1:71" s="3" customFormat="1" ht="12.75">
      <c r="A36" s="3">
        <v>1995</v>
      </c>
      <c r="B36" s="38" t="s">
        <v>44</v>
      </c>
      <c r="C36" s="25">
        <f>+MITRE[[#This Row],[Trenes Puntuales]]/MITRE[[#This Row],[Trenes Programados]]</f>
        <v>0.8507050660299933</v>
      </c>
      <c r="D36" s="25">
        <f>+MITRE[[#This Row],[Trenes Puntuales]]/MITRE[[#This Row],[Trenes Corridos]]</f>
        <v>0.8800555727076258</v>
      </c>
      <c r="E36" s="25">
        <f>+MITRE[[#This Row],[Trenes Corridos]]/MITRE[[#This Row],[Trenes Programados]]</f>
        <v>0.96664925762888909</v>
      </c>
      <c r="F36" s="20">
        <v>13403</v>
      </c>
      <c r="G36" s="20">
        <f t="shared" si="4"/>
        <v>447</v>
      </c>
      <c r="H36" s="20">
        <v>12956</v>
      </c>
      <c r="I36" s="20">
        <v>11402</v>
      </c>
      <c r="J36" s="20">
        <f t="shared" si="5"/>
        <v>1554</v>
      </c>
      <c r="K36" s="20"/>
      <c r="L36" s="5"/>
      <c r="M36" s="29"/>
      <c r="N36" s="24"/>
      <c r="O36" s="30"/>
      <c r="P36" s="30"/>
      <c r="Q36" s="30"/>
      <c r="R36" s="20"/>
      <c r="S36" s="20"/>
      <c r="T36" s="20"/>
      <c r="U36" s="20"/>
      <c r="V36" s="20"/>
      <c r="W36" s="20"/>
      <c r="X36" s="5"/>
      <c r="Y36" s="29"/>
      <c r="Z36" s="24"/>
      <c r="AA36" s="30"/>
      <c r="AB36" s="30"/>
      <c r="AC36" s="30"/>
      <c r="AD36" s="20"/>
      <c r="AE36" s="20"/>
      <c r="AF36" s="20"/>
      <c r="AG36" s="20"/>
      <c r="AH36" s="20"/>
      <c r="AI36" s="20"/>
      <c r="AJ36" s="5"/>
      <c r="AK36" s="29"/>
      <c r="AL36" s="24"/>
      <c r="AM36" s="30"/>
      <c r="AN36" s="30"/>
      <c r="AO36" s="30"/>
      <c r="AP36" s="20"/>
      <c r="AQ36" s="20"/>
      <c r="AR36" s="20"/>
      <c r="AS36" s="20"/>
      <c r="AT36" s="20"/>
      <c r="AU36" s="20"/>
      <c r="AV36" s="5"/>
      <c r="AW36" s="29"/>
      <c r="AX36" s="24"/>
      <c r="AY36" s="30"/>
      <c r="AZ36" s="30"/>
      <c r="BA36" s="30"/>
      <c r="BB36" s="20"/>
      <c r="BC36" s="20"/>
      <c r="BD36" s="20"/>
      <c r="BE36" s="20"/>
      <c r="BF36" s="20"/>
      <c r="BG36" s="20"/>
      <c r="BH36" s="5"/>
      <c r="BI36" s="29"/>
      <c r="BJ36" s="24"/>
      <c r="BK36" s="30"/>
      <c r="BL36" s="30"/>
      <c r="BM36" s="30"/>
      <c r="BN36" s="20"/>
      <c r="BO36" s="20"/>
      <c r="BP36" s="20"/>
      <c r="BQ36" s="20"/>
      <c r="BR36" s="20"/>
      <c r="BS36" s="29"/>
    </row>
    <row r="37" spans="1:71" s="3" customFormat="1" ht="12.75">
      <c r="A37" s="3">
        <v>1995</v>
      </c>
      <c r="B37" s="38" t="s">
        <v>45</v>
      </c>
      <c r="C37" s="25">
        <f>+MITRE[[#This Row],[Trenes Puntuales]]/MITRE[[#This Row],[Trenes Programados]]</f>
        <v>0.9066636918042541</v>
      </c>
      <c r="D37" s="25">
        <f>+MITRE[[#This Row],[Trenes Puntuales]]/MITRE[[#This Row],[Trenes Corridos]]</f>
        <v>0.91393657695479424</v>
      </c>
      <c r="E37" s="25">
        <f>+MITRE[[#This Row],[Trenes Corridos]]/MITRE[[#This Row],[Trenes Programados]]</f>
        <v>0.9920422430462591</v>
      </c>
      <c r="F37" s="20">
        <v>13446</v>
      </c>
      <c r="G37" s="20">
        <f t="shared" si="4"/>
        <v>107</v>
      </c>
      <c r="H37" s="20">
        <v>13339</v>
      </c>
      <c r="I37" s="20">
        <v>12191</v>
      </c>
      <c r="J37" s="20">
        <f t="shared" si="5"/>
        <v>1148</v>
      </c>
      <c r="K37" s="20"/>
      <c r="L37" s="5"/>
      <c r="M37" s="29"/>
      <c r="N37" s="24"/>
      <c r="O37" s="30"/>
      <c r="P37" s="30"/>
      <c r="Q37" s="30"/>
      <c r="R37" s="20"/>
      <c r="S37" s="20"/>
      <c r="T37" s="20"/>
      <c r="U37" s="20"/>
      <c r="V37" s="20"/>
      <c r="W37" s="20"/>
      <c r="X37" s="5"/>
      <c r="Y37" s="29"/>
      <c r="Z37" s="24"/>
      <c r="AA37" s="30"/>
      <c r="AB37" s="30"/>
      <c r="AC37" s="30"/>
      <c r="AD37" s="20"/>
      <c r="AE37" s="20"/>
      <c r="AF37" s="20"/>
      <c r="AG37" s="20"/>
      <c r="AH37" s="20"/>
      <c r="AI37" s="20"/>
      <c r="AJ37" s="5"/>
      <c r="AK37" s="29"/>
      <c r="AL37" s="24"/>
      <c r="AM37" s="30"/>
      <c r="AN37" s="30"/>
      <c r="AO37" s="30"/>
      <c r="AP37" s="20"/>
      <c r="AQ37" s="20"/>
      <c r="AR37" s="20"/>
      <c r="AS37" s="20"/>
      <c r="AT37" s="20"/>
      <c r="AU37" s="20"/>
      <c r="AV37" s="5"/>
      <c r="AW37" s="29"/>
      <c r="AX37" s="24"/>
      <c r="AY37" s="30"/>
      <c r="AZ37" s="30"/>
      <c r="BA37" s="30"/>
      <c r="BB37" s="20"/>
      <c r="BC37" s="20"/>
      <c r="BD37" s="20"/>
      <c r="BE37" s="20"/>
      <c r="BF37" s="20"/>
      <c r="BG37" s="20"/>
      <c r="BH37" s="5"/>
      <c r="BI37" s="29"/>
      <c r="BJ37" s="24"/>
      <c r="BK37" s="30"/>
      <c r="BL37" s="30"/>
      <c r="BM37" s="30"/>
      <c r="BN37" s="20"/>
      <c r="BO37" s="20"/>
      <c r="BP37" s="20"/>
      <c r="BQ37" s="20"/>
      <c r="BR37" s="20"/>
      <c r="BS37" s="29"/>
    </row>
    <row r="38" spans="1:71" s="3" customFormat="1" ht="12.75">
      <c r="A38" s="3">
        <v>1995</v>
      </c>
      <c r="B38" s="38" t="s">
        <v>46</v>
      </c>
      <c r="C38" s="25">
        <f>+MITRE[[#This Row],[Trenes Puntuales]]/MITRE[[#This Row],[Trenes Programados]]</f>
        <v>0.88297142857142852</v>
      </c>
      <c r="D38" s="25">
        <f>+MITRE[[#This Row],[Trenes Puntuales]]/MITRE[[#This Row],[Trenes Corridos]]</f>
        <v>0.89442000463070159</v>
      </c>
      <c r="E38" s="25">
        <f>+MITRE[[#This Row],[Trenes Corridos]]/MITRE[[#This Row],[Trenes Programados]]</f>
        <v>0.98719999999999997</v>
      </c>
      <c r="F38" s="20">
        <v>13125</v>
      </c>
      <c r="G38" s="20">
        <f t="shared" si="4"/>
        <v>168</v>
      </c>
      <c r="H38" s="20">
        <f>4540+4009+2743+741+924</f>
        <v>12957</v>
      </c>
      <c r="I38" s="20">
        <f>4489+3842+2582+676</f>
        <v>11589</v>
      </c>
      <c r="J38" s="20">
        <f t="shared" si="5"/>
        <v>1368</v>
      </c>
      <c r="K38" s="20"/>
      <c r="L38" s="5"/>
      <c r="M38" s="29"/>
      <c r="N38" s="24"/>
      <c r="O38" s="30"/>
      <c r="P38" s="30"/>
      <c r="Q38" s="30"/>
      <c r="R38" s="20"/>
      <c r="S38" s="20"/>
      <c r="T38" s="20"/>
      <c r="U38" s="20"/>
      <c r="V38" s="20"/>
      <c r="W38" s="20"/>
      <c r="X38" s="5"/>
      <c r="Y38" s="29"/>
      <c r="Z38" s="24"/>
      <c r="AA38" s="30"/>
      <c r="AB38" s="30"/>
      <c r="AC38" s="30"/>
      <c r="AD38" s="20"/>
      <c r="AE38" s="20"/>
      <c r="AF38" s="20"/>
      <c r="AG38" s="20"/>
      <c r="AH38" s="20"/>
      <c r="AI38" s="20"/>
      <c r="AJ38" s="5"/>
      <c r="AK38" s="29"/>
      <c r="AL38" s="24"/>
      <c r="AM38" s="30"/>
      <c r="AN38" s="30"/>
      <c r="AO38" s="30"/>
      <c r="AP38" s="20"/>
      <c r="AQ38" s="20"/>
      <c r="AR38" s="20"/>
      <c r="AS38" s="20"/>
      <c r="AT38" s="20"/>
      <c r="AU38" s="20"/>
      <c r="AV38" s="5"/>
      <c r="AW38" s="29"/>
      <c r="AX38" s="24"/>
      <c r="AY38" s="30"/>
      <c r="AZ38" s="30"/>
      <c r="BA38" s="30"/>
      <c r="BB38" s="20"/>
      <c r="BC38" s="20"/>
      <c r="BD38" s="20"/>
      <c r="BE38" s="20"/>
      <c r="BF38" s="20"/>
      <c r="BG38" s="20"/>
      <c r="BH38" s="5"/>
      <c r="BI38" s="29"/>
      <c r="BJ38" s="24"/>
      <c r="BK38" s="30"/>
      <c r="BL38" s="30"/>
      <c r="BM38" s="30"/>
      <c r="BN38" s="20"/>
      <c r="BO38" s="20"/>
      <c r="BP38" s="20"/>
      <c r="BQ38" s="20"/>
      <c r="BR38" s="20"/>
      <c r="BS38" s="29"/>
    </row>
    <row r="39" spans="1:71" s="3" customFormat="1" ht="12.75">
      <c r="A39" s="3">
        <v>1995</v>
      </c>
      <c r="B39" s="38" t="s">
        <v>47</v>
      </c>
      <c r="C39" s="25">
        <f>+MITRE[[#This Row],[Trenes Puntuales]]/MITRE[[#This Row],[Trenes Programados]]</f>
        <v>0.964328899637243</v>
      </c>
      <c r="D39" s="25">
        <f>+MITRE[[#This Row],[Trenes Puntuales]]/MITRE[[#This Row],[Trenes Corridos]]</f>
        <v>0.96652022420845329</v>
      </c>
      <c r="E39" s="25">
        <f>+MITRE[[#This Row],[Trenes Corridos]]/MITRE[[#This Row],[Trenes Programados]]</f>
        <v>0.99773276904474006</v>
      </c>
      <c r="F39" s="20">
        <v>13232</v>
      </c>
      <c r="G39" s="20">
        <f t="shared" si="4"/>
        <v>30</v>
      </c>
      <c r="H39" s="20">
        <v>13202</v>
      </c>
      <c r="I39" s="20">
        <v>12760</v>
      </c>
      <c r="J39" s="20">
        <f t="shared" si="5"/>
        <v>442</v>
      </c>
      <c r="K39" s="20"/>
      <c r="L39" s="5"/>
      <c r="M39" s="29"/>
      <c r="N39" s="24"/>
      <c r="O39" s="30"/>
      <c r="P39" s="30"/>
      <c r="Q39" s="30"/>
      <c r="R39" s="20"/>
      <c r="S39" s="20"/>
      <c r="T39" s="20"/>
      <c r="U39" s="20"/>
      <c r="V39" s="20"/>
      <c r="W39" s="20"/>
      <c r="X39" s="5"/>
      <c r="Y39" s="29"/>
      <c r="Z39" s="24"/>
      <c r="AA39" s="30"/>
      <c r="AB39" s="30"/>
      <c r="AC39" s="30"/>
      <c r="AD39" s="20"/>
      <c r="AE39" s="20"/>
      <c r="AF39" s="20"/>
      <c r="AG39" s="20"/>
      <c r="AH39" s="20"/>
      <c r="AI39" s="20"/>
      <c r="AJ39" s="5"/>
      <c r="AK39" s="29"/>
      <c r="AL39" s="24"/>
      <c r="AM39" s="30"/>
      <c r="AN39" s="30"/>
      <c r="AO39" s="30"/>
      <c r="AP39" s="20"/>
      <c r="AQ39" s="20"/>
      <c r="AR39" s="20"/>
      <c r="AS39" s="20"/>
      <c r="AT39" s="20"/>
      <c r="AU39" s="20"/>
      <c r="AV39" s="5"/>
      <c r="AW39" s="29"/>
      <c r="AX39" s="24"/>
      <c r="AY39" s="30"/>
      <c r="AZ39" s="30"/>
      <c r="BA39" s="30"/>
      <c r="BB39" s="20"/>
      <c r="BC39" s="20"/>
      <c r="BD39" s="20"/>
      <c r="BE39" s="20"/>
      <c r="BF39" s="20"/>
      <c r="BG39" s="20"/>
      <c r="BH39" s="5"/>
      <c r="BI39" s="29"/>
      <c r="BJ39" s="24"/>
      <c r="BK39" s="30"/>
      <c r="BL39" s="30"/>
      <c r="BM39" s="30"/>
      <c r="BN39" s="20"/>
      <c r="BO39" s="20"/>
      <c r="BP39" s="20"/>
      <c r="BQ39" s="20"/>
      <c r="BR39" s="20"/>
      <c r="BS39" s="29"/>
    </row>
    <row r="40" spans="1:71" s="3" customFormat="1" ht="12.75">
      <c r="A40" s="3">
        <v>1995</v>
      </c>
      <c r="B40" s="38" t="s">
        <v>48</v>
      </c>
      <c r="C40" s="25">
        <f>+MITRE[[#This Row],[Trenes Puntuales]]/MITRE[[#This Row],[Trenes Programados]]</f>
        <v>0.97151321786690981</v>
      </c>
      <c r="D40" s="25">
        <f>+MITRE[[#This Row],[Trenes Puntuales]]/MITRE[[#This Row],[Trenes Corridos]]</f>
        <v>0.97336174746936599</v>
      </c>
      <c r="E40" s="25">
        <f>+MITRE[[#This Row],[Trenes Corridos]]/MITRE[[#This Row],[Trenes Programados]]</f>
        <v>0.99810088119112728</v>
      </c>
      <c r="F40" s="20">
        <v>13164</v>
      </c>
      <c r="G40" s="20">
        <f t="shared" si="4"/>
        <v>25</v>
      </c>
      <c r="H40" s="20">
        <v>13139</v>
      </c>
      <c r="I40" s="20">
        <v>12789</v>
      </c>
      <c r="J40" s="20">
        <f t="shared" si="5"/>
        <v>350</v>
      </c>
      <c r="K40" s="20"/>
      <c r="L40" s="5"/>
      <c r="M40" s="29"/>
      <c r="N40" s="24"/>
      <c r="O40" s="30"/>
      <c r="P40" s="30"/>
      <c r="Q40" s="30"/>
      <c r="R40" s="20"/>
      <c r="S40" s="20"/>
      <c r="T40" s="20"/>
      <c r="U40" s="20"/>
      <c r="V40" s="20"/>
      <c r="W40" s="20"/>
      <c r="X40" s="5"/>
      <c r="Y40" s="29"/>
      <c r="Z40" s="24"/>
      <c r="AA40" s="30"/>
      <c r="AB40" s="30"/>
      <c r="AC40" s="30"/>
      <c r="AD40" s="20"/>
      <c r="AE40" s="20"/>
      <c r="AF40" s="20"/>
      <c r="AG40" s="20"/>
      <c r="AH40" s="20"/>
      <c r="AI40" s="20"/>
      <c r="AJ40" s="5"/>
      <c r="AK40" s="29"/>
      <c r="AL40" s="24"/>
      <c r="AM40" s="30"/>
      <c r="AN40" s="30"/>
      <c r="AO40" s="30"/>
      <c r="AP40" s="20"/>
      <c r="AQ40" s="20"/>
      <c r="AR40" s="20"/>
      <c r="AS40" s="20"/>
      <c r="AT40" s="20"/>
      <c r="AU40" s="20"/>
      <c r="AV40" s="5"/>
      <c r="AW40" s="29"/>
      <c r="AX40" s="24"/>
      <c r="AY40" s="30"/>
      <c r="AZ40" s="30"/>
      <c r="BA40" s="30"/>
      <c r="BB40" s="20"/>
      <c r="BC40" s="20"/>
      <c r="BD40" s="20"/>
      <c r="BE40" s="20"/>
      <c r="BF40" s="20"/>
      <c r="BG40" s="20"/>
      <c r="BH40" s="5"/>
      <c r="BI40" s="29"/>
      <c r="BJ40" s="24"/>
      <c r="BK40" s="30"/>
      <c r="BL40" s="30"/>
      <c r="BM40" s="30"/>
      <c r="BN40" s="20"/>
      <c r="BO40" s="20"/>
      <c r="BP40" s="20"/>
      <c r="BQ40" s="20"/>
      <c r="BR40" s="20"/>
      <c r="BS40" s="29"/>
    </row>
    <row r="41" spans="1:71" s="3" customFormat="1" ht="12.75">
      <c r="A41" s="3">
        <v>1995</v>
      </c>
      <c r="B41" s="38" t="s">
        <v>49</v>
      </c>
      <c r="C41" s="25">
        <f>+MITRE[[#This Row],[Trenes Puntuales]]/MITRE[[#This Row],[Trenes Programados]]</f>
        <v>0.96262113520996773</v>
      </c>
      <c r="D41" s="25">
        <f>+MITRE[[#This Row],[Trenes Puntuales]]/MITRE[[#This Row],[Trenes Corridos]]</f>
        <v>0.96425269645608624</v>
      </c>
      <c r="E41" s="25">
        <f>+MITRE[[#This Row],[Trenes Corridos]]/MITRE[[#This Row],[Trenes Programados]]</f>
        <v>0.99830795262267347</v>
      </c>
      <c r="F41" s="20">
        <v>13002</v>
      </c>
      <c r="G41" s="20">
        <f t="shared" si="4"/>
        <v>22</v>
      </c>
      <c r="H41" s="20">
        <v>12980</v>
      </c>
      <c r="I41" s="20">
        <v>12516</v>
      </c>
      <c r="J41" s="20">
        <f t="shared" si="5"/>
        <v>464</v>
      </c>
      <c r="K41" s="20"/>
      <c r="L41" s="5"/>
      <c r="M41" s="29"/>
      <c r="N41" s="24"/>
      <c r="O41" s="30"/>
      <c r="P41" s="30"/>
      <c r="Q41" s="30"/>
      <c r="R41" s="20"/>
      <c r="S41" s="20"/>
      <c r="T41" s="20"/>
      <c r="U41" s="20"/>
      <c r="V41" s="20"/>
      <c r="W41" s="20"/>
      <c r="X41" s="5"/>
      <c r="Y41" s="29"/>
      <c r="Z41" s="24"/>
      <c r="AA41" s="30"/>
      <c r="AB41" s="30"/>
      <c r="AC41" s="30"/>
      <c r="AD41" s="20"/>
      <c r="AE41" s="20"/>
      <c r="AF41" s="20"/>
      <c r="AG41" s="20"/>
      <c r="AH41" s="20"/>
      <c r="AI41" s="20"/>
      <c r="AJ41" s="5"/>
      <c r="AK41" s="29"/>
      <c r="AL41" s="24"/>
      <c r="AM41" s="30"/>
      <c r="AN41" s="30"/>
      <c r="AO41" s="30"/>
      <c r="AP41" s="20"/>
      <c r="AQ41" s="20"/>
      <c r="AR41" s="20"/>
      <c r="AS41" s="20"/>
      <c r="AT41" s="20"/>
      <c r="AU41" s="20"/>
      <c r="AV41" s="5"/>
      <c r="AW41" s="29"/>
      <c r="AX41" s="24"/>
      <c r="AY41" s="30"/>
      <c r="AZ41" s="30"/>
      <c r="BA41" s="30"/>
      <c r="BB41" s="20"/>
      <c r="BC41" s="20"/>
      <c r="BD41" s="20"/>
      <c r="BE41" s="20"/>
      <c r="BF41" s="20"/>
      <c r="BG41" s="20"/>
      <c r="BH41" s="5"/>
      <c r="BI41" s="29"/>
      <c r="BJ41" s="24"/>
      <c r="BK41" s="30"/>
      <c r="BL41" s="30"/>
      <c r="BM41" s="30"/>
      <c r="BN41" s="20"/>
      <c r="BO41" s="20"/>
      <c r="BP41" s="20"/>
      <c r="BQ41" s="20"/>
      <c r="BR41" s="20"/>
      <c r="BS41" s="29"/>
    </row>
    <row r="42" spans="1:71" s="3" customFormat="1" ht="12.75">
      <c r="A42" s="3">
        <v>1996</v>
      </c>
      <c r="B42" s="38" t="s">
        <v>38</v>
      </c>
      <c r="C42" s="25">
        <f>+MITRE[[#This Row],[Trenes Puntuales]]/MITRE[[#This Row],[Trenes Programados]]</f>
        <v>0.97020414290002999</v>
      </c>
      <c r="D42" s="25">
        <f>+MITRE[[#This Row],[Trenes Puntuales]]/MITRE[[#This Row],[Trenes Corridos]]</f>
        <v>0.97393204249227761</v>
      </c>
      <c r="E42" s="25">
        <f>+MITRE[[#This Row],[Trenes Corridos]]/MITRE[[#This Row],[Trenes Programados]]</f>
        <v>0.99617232062443706</v>
      </c>
      <c r="F42" s="20">
        <v>13324</v>
      </c>
      <c r="G42" s="20">
        <f t="shared" ref="G42:G53" si="6">F42-H42</f>
        <v>51</v>
      </c>
      <c r="H42" s="20">
        <v>13273</v>
      </c>
      <c r="I42" s="20">
        <v>12927</v>
      </c>
      <c r="J42" s="20">
        <f t="shared" ref="J42:J53" si="7">H42-I42</f>
        <v>346</v>
      </c>
      <c r="K42" s="20"/>
      <c r="L42" s="5"/>
      <c r="M42" s="29"/>
      <c r="N42" s="24"/>
      <c r="O42" s="30"/>
      <c r="P42" s="30"/>
      <c r="Q42" s="30"/>
      <c r="R42" s="20"/>
      <c r="S42" s="20"/>
      <c r="T42" s="20"/>
      <c r="U42" s="20"/>
      <c r="V42" s="20"/>
      <c r="W42" s="20"/>
      <c r="X42" s="5"/>
      <c r="Y42" s="29"/>
      <c r="Z42" s="24"/>
      <c r="AA42" s="30"/>
      <c r="AB42" s="30"/>
      <c r="AC42" s="30"/>
      <c r="AD42" s="20"/>
      <c r="AE42" s="20"/>
      <c r="AF42" s="20"/>
      <c r="AG42" s="20"/>
      <c r="AH42" s="20"/>
      <c r="AI42" s="20"/>
      <c r="AJ42" s="5"/>
      <c r="AK42" s="29"/>
      <c r="AL42" s="24"/>
      <c r="AM42" s="30"/>
      <c r="AN42" s="30"/>
      <c r="AO42" s="30"/>
      <c r="AP42" s="20"/>
      <c r="AQ42" s="20"/>
      <c r="AR42" s="20"/>
      <c r="AS42" s="20"/>
      <c r="AT42" s="20"/>
      <c r="AU42" s="20"/>
      <c r="AV42" s="5"/>
      <c r="AW42" s="29"/>
      <c r="AX42" s="24"/>
      <c r="AY42" s="30"/>
      <c r="AZ42" s="30"/>
      <c r="BA42" s="30"/>
      <c r="BB42" s="20"/>
      <c r="BC42" s="20"/>
      <c r="BD42" s="20"/>
      <c r="BE42" s="20"/>
      <c r="BF42" s="20"/>
      <c r="BG42" s="20"/>
      <c r="BH42" s="5"/>
      <c r="BI42" s="29"/>
      <c r="BJ42" s="24"/>
      <c r="BK42" s="30"/>
      <c r="BL42" s="30"/>
      <c r="BM42" s="30"/>
      <c r="BN42" s="20"/>
      <c r="BO42" s="20"/>
      <c r="BP42" s="20"/>
      <c r="BQ42" s="20"/>
      <c r="BR42" s="20"/>
      <c r="BS42" s="29"/>
    </row>
    <row r="43" spans="1:71" s="3" customFormat="1" ht="12.75">
      <c r="A43" s="3">
        <v>1996</v>
      </c>
      <c r="B43" s="38" t="s">
        <v>39</v>
      </c>
      <c r="C43" s="25">
        <f>+MITRE[[#This Row],[Trenes Puntuales]]/MITRE[[#This Row],[Trenes Programados]]</f>
        <v>0.9767058823529412</v>
      </c>
      <c r="D43" s="25">
        <f>+MITRE[[#This Row],[Trenes Puntuales]]/MITRE[[#This Row],[Trenes Corridos]]</f>
        <v>0.97885552586071367</v>
      </c>
      <c r="E43" s="25">
        <f>+MITRE[[#This Row],[Trenes Corridos]]/MITRE[[#This Row],[Trenes Programados]]</f>
        <v>0.99780392156862741</v>
      </c>
      <c r="F43" s="20">
        <v>12750</v>
      </c>
      <c r="G43" s="20">
        <f t="shared" si="6"/>
        <v>28</v>
      </c>
      <c r="H43" s="20">
        <v>12722</v>
      </c>
      <c r="I43" s="20">
        <v>12453</v>
      </c>
      <c r="J43" s="20">
        <f t="shared" si="7"/>
        <v>269</v>
      </c>
      <c r="K43" s="20"/>
      <c r="L43" s="5"/>
      <c r="M43" s="29"/>
      <c r="N43" s="24"/>
      <c r="O43" s="30"/>
      <c r="P43" s="30"/>
      <c r="Q43" s="30"/>
      <c r="R43" s="20"/>
      <c r="S43" s="20"/>
      <c r="T43" s="20"/>
      <c r="U43" s="20"/>
      <c r="V43" s="20"/>
      <c r="W43" s="20"/>
      <c r="X43" s="5"/>
      <c r="Y43" s="29"/>
      <c r="Z43" s="24"/>
      <c r="AA43" s="30"/>
      <c r="AB43" s="30"/>
      <c r="AC43" s="30"/>
      <c r="AD43" s="20"/>
      <c r="AE43" s="20"/>
      <c r="AF43" s="20"/>
      <c r="AG43" s="20"/>
      <c r="AH43" s="20"/>
      <c r="AI43" s="20"/>
      <c r="AJ43" s="5"/>
      <c r="AK43" s="29"/>
      <c r="AL43" s="24"/>
      <c r="AM43" s="30"/>
      <c r="AN43" s="30"/>
      <c r="AO43" s="30"/>
      <c r="AP43" s="20"/>
      <c r="AQ43" s="20"/>
      <c r="AR43" s="20"/>
      <c r="AS43" s="20"/>
      <c r="AT43" s="20"/>
      <c r="AU43" s="20"/>
      <c r="AV43" s="5"/>
      <c r="AW43" s="29"/>
      <c r="AX43" s="24"/>
      <c r="AY43" s="30"/>
      <c r="AZ43" s="30"/>
      <c r="BA43" s="30"/>
      <c r="BB43" s="20"/>
      <c r="BC43" s="20"/>
      <c r="BD43" s="20"/>
      <c r="BE43" s="20"/>
      <c r="BF43" s="20"/>
      <c r="BG43" s="20"/>
      <c r="BH43" s="5"/>
      <c r="BI43" s="29"/>
      <c r="BJ43" s="24"/>
      <c r="BK43" s="30"/>
      <c r="BL43" s="30"/>
      <c r="BM43" s="30"/>
      <c r="BN43" s="20"/>
      <c r="BO43" s="20"/>
      <c r="BP43" s="20"/>
      <c r="BQ43" s="20"/>
      <c r="BR43" s="20"/>
      <c r="BS43" s="29"/>
    </row>
    <row r="44" spans="1:71" s="3" customFormat="1" ht="12.75">
      <c r="A44" s="3">
        <v>1996</v>
      </c>
      <c r="B44" s="38" t="s">
        <v>40</v>
      </c>
      <c r="C44" s="25">
        <f>+MITRE[[#This Row],[Trenes Puntuales]]/MITRE[[#This Row],[Trenes Programados]]</f>
        <v>0.97656481756155444</v>
      </c>
      <c r="D44" s="25">
        <f>+MITRE[[#This Row],[Trenes Puntuales]]/MITRE[[#This Row],[Trenes Corridos]]</f>
        <v>0.97845147867439441</v>
      </c>
      <c r="E44" s="25">
        <f>+MITRE[[#This Row],[Trenes Corridos]]/MITRE[[#This Row],[Trenes Programados]]</f>
        <v>0.99807178878671021</v>
      </c>
      <c r="F44" s="20">
        <v>13484</v>
      </c>
      <c r="G44" s="20">
        <f t="shared" si="6"/>
        <v>26</v>
      </c>
      <c r="H44" s="20">
        <v>13458</v>
      </c>
      <c r="I44" s="20">
        <v>13168</v>
      </c>
      <c r="J44" s="20">
        <f t="shared" si="7"/>
        <v>290</v>
      </c>
      <c r="K44" s="20"/>
      <c r="L44" s="5"/>
      <c r="M44" s="29"/>
      <c r="N44" s="24"/>
      <c r="O44" s="30"/>
      <c r="P44" s="30"/>
      <c r="Q44" s="30"/>
      <c r="R44" s="20"/>
      <c r="S44" s="20"/>
      <c r="T44" s="20"/>
      <c r="U44" s="20"/>
      <c r="V44" s="20"/>
      <c r="W44" s="20"/>
      <c r="X44" s="5"/>
      <c r="Y44" s="29"/>
      <c r="Z44" s="24"/>
      <c r="AA44" s="30"/>
      <c r="AB44" s="30"/>
      <c r="AC44" s="30"/>
      <c r="AD44" s="20"/>
      <c r="AE44" s="20"/>
      <c r="AF44" s="20"/>
      <c r="AG44" s="20"/>
      <c r="AH44" s="20"/>
      <c r="AI44" s="20"/>
      <c r="AJ44" s="5"/>
      <c r="AK44" s="29"/>
      <c r="AL44" s="24"/>
      <c r="AM44" s="30"/>
      <c r="AN44" s="30"/>
      <c r="AO44" s="30"/>
      <c r="AP44" s="20"/>
      <c r="AQ44" s="20"/>
      <c r="AR44" s="20"/>
      <c r="AS44" s="20"/>
      <c r="AT44" s="20"/>
      <c r="AU44" s="20"/>
      <c r="AV44" s="5"/>
      <c r="AW44" s="29"/>
      <c r="AX44" s="24"/>
      <c r="AY44" s="30"/>
      <c r="AZ44" s="30"/>
      <c r="BA44" s="30"/>
      <c r="BB44" s="20"/>
      <c r="BC44" s="20"/>
      <c r="BD44" s="20"/>
      <c r="BE44" s="20"/>
      <c r="BF44" s="20"/>
      <c r="BG44" s="20"/>
      <c r="BH44" s="5"/>
      <c r="BI44" s="29"/>
      <c r="BJ44" s="24"/>
      <c r="BK44" s="30"/>
      <c r="BL44" s="30"/>
      <c r="BM44" s="30"/>
      <c r="BN44" s="20"/>
      <c r="BO44" s="20"/>
      <c r="BP44" s="20"/>
      <c r="BQ44" s="20"/>
      <c r="BR44" s="20"/>
      <c r="BS44" s="29"/>
    </row>
    <row r="45" spans="1:71" s="3" customFormat="1" ht="12.75">
      <c r="A45" s="3">
        <v>1996</v>
      </c>
      <c r="B45" s="38" t="s">
        <v>41</v>
      </c>
      <c r="C45" s="25">
        <f>+MITRE[[#This Row],[Trenes Puntuales]]/MITRE[[#This Row],[Trenes Programados]]</f>
        <v>0.96266375545851524</v>
      </c>
      <c r="D45" s="25">
        <f>+MITRE[[#This Row],[Trenes Puntuales]]/MITRE[[#This Row],[Trenes Corridos]]</f>
        <v>0.97422110922884286</v>
      </c>
      <c r="E45" s="25">
        <f>+MITRE[[#This Row],[Trenes Corridos]]/MITRE[[#This Row],[Trenes Programados]]</f>
        <v>0.98813682678311499</v>
      </c>
      <c r="F45" s="20">
        <v>13740</v>
      </c>
      <c r="G45" s="20">
        <f t="shared" si="6"/>
        <v>163</v>
      </c>
      <c r="H45" s="20">
        <v>13577</v>
      </c>
      <c r="I45" s="20">
        <v>13227</v>
      </c>
      <c r="J45" s="20">
        <f t="shared" si="7"/>
        <v>350</v>
      </c>
      <c r="K45" s="20"/>
      <c r="L45" s="5"/>
      <c r="M45" s="29"/>
      <c r="N45" s="24"/>
      <c r="O45" s="30"/>
      <c r="P45" s="30"/>
      <c r="Q45" s="30"/>
      <c r="R45" s="20"/>
      <c r="S45" s="20"/>
      <c r="T45" s="20"/>
      <c r="U45" s="20"/>
      <c r="V45" s="20"/>
      <c r="W45" s="20"/>
      <c r="X45" s="5"/>
      <c r="Y45" s="29"/>
      <c r="Z45" s="24"/>
      <c r="AA45" s="30"/>
      <c r="AB45" s="30"/>
      <c r="AC45" s="30"/>
      <c r="AD45" s="20"/>
      <c r="AE45" s="20"/>
      <c r="AF45" s="20"/>
      <c r="AG45" s="20"/>
      <c r="AH45" s="20"/>
      <c r="AI45" s="20"/>
      <c r="AJ45" s="5"/>
      <c r="AK45" s="29"/>
      <c r="AL45" s="24"/>
      <c r="AM45" s="30"/>
      <c r="AN45" s="30"/>
      <c r="AO45" s="30"/>
      <c r="AP45" s="20"/>
      <c r="AQ45" s="20"/>
      <c r="AR45" s="20"/>
      <c r="AS45" s="20"/>
      <c r="AT45" s="20"/>
      <c r="AU45" s="20"/>
      <c r="AV45" s="5"/>
      <c r="AW45" s="29"/>
      <c r="AX45" s="24"/>
      <c r="AY45" s="30"/>
      <c r="AZ45" s="30"/>
      <c r="BA45" s="30"/>
      <c r="BB45" s="20"/>
      <c r="BC45" s="20"/>
      <c r="BD45" s="20"/>
      <c r="BE45" s="20"/>
      <c r="BF45" s="20"/>
      <c r="BG45" s="20"/>
      <c r="BH45" s="5"/>
      <c r="BI45" s="29"/>
      <c r="BJ45" s="24"/>
      <c r="BK45" s="30"/>
      <c r="BL45" s="30"/>
      <c r="BM45" s="30"/>
      <c r="BN45" s="20"/>
      <c r="BO45" s="20"/>
      <c r="BP45" s="20"/>
      <c r="BQ45" s="20"/>
      <c r="BR45" s="20"/>
      <c r="BS45" s="29"/>
    </row>
    <row r="46" spans="1:71" s="3" customFormat="1" ht="12.75">
      <c r="A46" s="3">
        <v>1996</v>
      </c>
      <c r="B46" s="38" t="s">
        <v>42</v>
      </c>
      <c r="C46" s="25">
        <f>+MITRE[[#This Row],[Trenes Puntuales]]/MITRE[[#This Row],[Trenes Programados]]</f>
        <v>0.9733144073811214</v>
      </c>
      <c r="D46" s="25">
        <f>+MITRE[[#This Row],[Trenes Puntuales]]/MITRE[[#This Row],[Trenes Corridos]]</f>
        <v>0.97678062678062683</v>
      </c>
      <c r="E46" s="25">
        <f>+MITRE[[#This Row],[Trenes Corridos]]/MITRE[[#This Row],[Trenes Programados]]</f>
        <v>0.99645138396025545</v>
      </c>
      <c r="F46" s="20">
        <v>14090</v>
      </c>
      <c r="G46" s="20">
        <f t="shared" si="6"/>
        <v>50</v>
      </c>
      <c r="H46" s="20">
        <v>14040</v>
      </c>
      <c r="I46" s="20">
        <v>13714</v>
      </c>
      <c r="J46" s="20">
        <f t="shared" si="7"/>
        <v>326</v>
      </c>
      <c r="K46" s="20"/>
      <c r="L46" s="5"/>
      <c r="M46" s="29"/>
      <c r="N46" s="24"/>
      <c r="O46" s="30"/>
      <c r="P46" s="30"/>
      <c r="Q46" s="30"/>
      <c r="R46" s="20"/>
      <c r="S46" s="20"/>
      <c r="T46" s="20"/>
      <c r="U46" s="20"/>
      <c r="V46" s="20"/>
      <c r="W46" s="20"/>
      <c r="X46" s="5"/>
      <c r="Y46" s="29"/>
      <c r="Z46" s="24"/>
      <c r="AA46" s="30"/>
      <c r="AB46" s="30"/>
      <c r="AC46" s="30"/>
      <c r="AD46" s="20"/>
      <c r="AE46" s="20"/>
      <c r="AF46" s="20"/>
      <c r="AG46" s="20"/>
      <c r="AH46" s="20"/>
      <c r="AI46" s="20"/>
      <c r="AJ46" s="5"/>
      <c r="AK46" s="29"/>
      <c r="AL46" s="24"/>
      <c r="AM46" s="30"/>
      <c r="AN46" s="30"/>
      <c r="AO46" s="30"/>
      <c r="AP46" s="20"/>
      <c r="AQ46" s="20"/>
      <c r="AR46" s="20"/>
      <c r="AS46" s="20"/>
      <c r="AT46" s="20"/>
      <c r="AU46" s="20"/>
      <c r="AV46" s="5"/>
      <c r="AW46" s="29"/>
      <c r="AX46" s="24"/>
      <c r="AY46" s="30"/>
      <c r="AZ46" s="30"/>
      <c r="BA46" s="30"/>
      <c r="BB46" s="20"/>
      <c r="BC46" s="20"/>
      <c r="BD46" s="20"/>
      <c r="BE46" s="20"/>
      <c r="BF46" s="20"/>
      <c r="BG46" s="20"/>
      <c r="BH46" s="5"/>
      <c r="BI46" s="29"/>
      <c r="BJ46" s="24"/>
      <c r="BK46" s="30"/>
      <c r="BL46" s="30"/>
      <c r="BM46" s="30"/>
      <c r="BN46" s="20"/>
      <c r="BO46" s="20"/>
      <c r="BP46" s="20"/>
      <c r="BQ46" s="20"/>
      <c r="BR46" s="20"/>
      <c r="BS46" s="29"/>
    </row>
    <row r="47" spans="1:71" s="3" customFormat="1" ht="12.75">
      <c r="A47" s="3">
        <v>1996</v>
      </c>
      <c r="B47" s="38" t="s">
        <v>43</v>
      </c>
      <c r="C47" s="25">
        <f>+MITRE[[#This Row],[Trenes Puntuales]]/MITRE[[#This Row],[Trenes Programados]]</f>
        <v>0.96394196236172969</v>
      </c>
      <c r="D47" s="25">
        <f>+MITRE[[#This Row],[Trenes Puntuales]]/MITRE[[#This Row],[Trenes Corridos]]</f>
        <v>0.96616270698344131</v>
      </c>
      <c r="E47" s="25">
        <f>+MITRE[[#This Row],[Trenes Corridos]]/MITRE[[#This Row],[Trenes Programados]]</f>
        <v>0.99770147967246081</v>
      </c>
      <c r="F47" s="20">
        <v>13922</v>
      </c>
      <c r="G47" s="20">
        <f t="shared" si="6"/>
        <v>32</v>
      </c>
      <c r="H47" s="20">
        <v>13890</v>
      </c>
      <c r="I47" s="20">
        <v>13420</v>
      </c>
      <c r="J47" s="20">
        <f t="shared" si="7"/>
        <v>470</v>
      </c>
      <c r="K47" s="20"/>
      <c r="L47" s="5"/>
      <c r="M47" s="29"/>
      <c r="N47" s="24"/>
      <c r="O47" s="30"/>
      <c r="P47" s="30"/>
      <c r="Q47" s="30"/>
      <c r="R47" s="20"/>
      <c r="S47" s="20"/>
      <c r="T47" s="20"/>
      <c r="U47" s="20"/>
      <c r="V47" s="20"/>
      <c r="W47" s="20"/>
      <c r="X47" s="5"/>
      <c r="Y47" s="29"/>
      <c r="Z47" s="24"/>
      <c r="AA47" s="30"/>
      <c r="AB47" s="30"/>
      <c r="AC47" s="30"/>
      <c r="AD47" s="20"/>
      <c r="AE47" s="20"/>
      <c r="AF47" s="20"/>
      <c r="AG47" s="20"/>
      <c r="AH47" s="20"/>
      <c r="AI47" s="20"/>
      <c r="AJ47" s="5"/>
      <c r="AK47" s="29"/>
      <c r="AL47" s="24"/>
      <c r="AM47" s="30"/>
      <c r="AN47" s="30"/>
      <c r="AO47" s="30"/>
      <c r="AP47" s="20"/>
      <c r="AQ47" s="20"/>
      <c r="AR47" s="20"/>
      <c r="AS47" s="20"/>
      <c r="AT47" s="20"/>
      <c r="AU47" s="20"/>
      <c r="AV47" s="5"/>
      <c r="AW47" s="29"/>
      <c r="AX47" s="24"/>
      <c r="AY47" s="30"/>
      <c r="AZ47" s="30"/>
      <c r="BA47" s="30"/>
      <c r="BB47" s="20"/>
      <c r="BC47" s="20"/>
      <c r="BD47" s="20"/>
      <c r="BE47" s="20"/>
      <c r="BF47" s="20"/>
      <c r="BG47" s="20"/>
      <c r="BH47" s="5"/>
      <c r="BI47" s="29"/>
      <c r="BJ47" s="24"/>
      <c r="BK47" s="30"/>
      <c r="BL47" s="30"/>
      <c r="BM47" s="30"/>
      <c r="BN47" s="20"/>
      <c r="BO47" s="20"/>
      <c r="BP47" s="20"/>
      <c r="BQ47" s="20"/>
      <c r="BR47" s="20"/>
      <c r="BS47" s="29"/>
    </row>
    <row r="48" spans="1:71" s="3" customFormat="1" ht="12.75">
      <c r="A48" s="3">
        <v>1996</v>
      </c>
      <c r="B48" s="38" t="s">
        <v>44</v>
      </c>
      <c r="C48" s="25">
        <f>+MITRE[[#This Row],[Trenes Puntuales]]/MITRE[[#This Row],[Trenes Programados]]</f>
        <v>0.96754157483470249</v>
      </c>
      <c r="D48" s="25">
        <f>+MITRE[[#This Row],[Trenes Puntuales]]/MITRE[[#This Row],[Trenes Corridos]]</f>
        <v>0.97084841174105352</v>
      </c>
      <c r="E48" s="25">
        <f>+MITRE[[#This Row],[Trenes Corridos]]/MITRE[[#This Row],[Trenes Programados]]</f>
        <v>0.99659386896413549</v>
      </c>
      <c r="F48" s="20">
        <v>14973</v>
      </c>
      <c r="G48" s="20">
        <f t="shared" si="6"/>
        <v>51</v>
      </c>
      <c r="H48" s="20">
        <v>14922</v>
      </c>
      <c r="I48" s="20">
        <v>14487</v>
      </c>
      <c r="J48" s="20">
        <f t="shared" si="7"/>
        <v>435</v>
      </c>
      <c r="K48" s="20"/>
      <c r="L48" s="5"/>
      <c r="M48" s="29"/>
      <c r="N48" s="24"/>
      <c r="O48" s="30"/>
      <c r="P48" s="30"/>
      <c r="Q48" s="30"/>
      <c r="R48" s="20"/>
      <c r="S48" s="20"/>
      <c r="T48" s="20"/>
      <c r="U48" s="20"/>
      <c r="V48" s="20"/>
      <c r="W48" s="20"/>
      <c r="X48" s="5"/>
      <c r="Y48" s="29"/>
      <c r="Z48" s="24"/>
      <c r="AA48" s="30"/>
      <c r="AB48" s="30"/>
      <c r="AC48" s="30"/>
      <c r="AD48" s="20"/>
      <c r="AE48" s="20"/>
      <c r="AF48" s="20"/>
      <c r="AG48" s="20"/>
      <c r="AH48" s="20"/>
      <c r="AI48" s="20"/>
      <c r="AJ48" s="5"/>
      <c r="AK48" s="29"/>
      <c r="AL48" s="24"/>
      <c r="AM48" s="30"/>
      <c r="AN48" s="30"/>
      <c r="AO48" s="30"/>
      <c r="AP48" s="20"/>
      <c r="AQ48" s="20"/>
      <c r="AR48" s="20"/>
      <c r="AS48" s="20"/>
      <c r="AT48" s="20"/>
      <c r="AU48" s="20"/>
      <c r="AV48" s="5"/>
      <c r="AW48" s="29"/>
      <c r="AX48" s="24"/>
      <c r="AY48" s="30"/>
      <c r="AZ48" s="30"/>
      <c r="BA48" s="30"/>
      <c r="BB48" s="20"/>
      <c r="BC48" s="20"/>
      <c r="BD48" s="20"/>
      <c r="BE48" s="20"/>
      <c r="BF48" s="20"/>
      <c r="BG48" s="20"/>
      <c r="BH48" s="5"/>
      <c r="BI48" s="29"/>
      <c r="BJ48" s="24"/>
      <c r="BK48" s="30"/>
      <c r="BL48" s="30"/>
      <c r="BM48" s="30"/>
      <c r="BN48" s="20"/>
      <c r="BO48" s="20"/>
      <c r="BP48" s="20"/>
      <c r="BQ48" s="20"/>
      <c r="BR48" s="20"/>
      <c r="BS48" s="29"/>
    </row>
    <row r="49" spans="1:71" s="3" customFormat="1" ht="12.75">
      <c r="A49" s="3">
        <v>1996</v>
      </c>
      <c r="B49" s="38" t="s">
        <v>45</v>
      </c>
      <c r="C49" s="25">
        <f>+MITRE[[#This Row],[Trenes Puntuales]]/MITRE[[#This Row],[Trenes Programados]]</f>
        <v>0.95120155298212727</v>
      </c>
      <c r="D49" s="25">
        <f>+MITRE[[#This Row],[Trenes Puntuales]]/MITRE[[#This Row],[Trenes Corridos]]</f>
        <v>0.97871754253047727</v>
      </c>
      <c r="E49" s="25">
        <f>+MITRE[[#This Row],[Trenes Corridos]]/MITRE[[#This Row],[Trenes Programados]]</f>
        <v>0.97188566838476476</v>
      </c>
      <c r="F49" s="20">
        <v>14939</v>
      </c>
      <c r="G49" s="20">
        <f t="shared" si="6"/>
        <v>420</v>
      </c>
      <c r="H49" s="20">
        <v>14519</v>
      </c>
      <c r="I49" s="20">
        <v>14210</v>
      </c>
      <c r="J49" s="20">
        <f t="shared" si="7"/>
        <v>309</v>
      </c>
      <c r="K49" s="20"/>
      <c r="L49" s="5"/>
      <c r="M49" s="29"/>
      <c r="N49" s="24"/>
      <c r="O49" s="30"/>
      <c r="P49" s="30"/>
      <c r="Q49" s="30"/>
      <c r="R49" s="20"/>
      <c r="S49" s="20"/>
      <c r="T49" s="20"/>
      <c r="U49" s="20"/>
      <c r="V49" s="20"/>
      <c r="W49" s="20"/>
      <c r="X49" s="5"/>
      <c r="Y49" s="29"/>
      <c r="Z49" s="24"/>
      <c r="AA49" s="30"/>
      <c r="AB49" s="30"/>
      <c r="AC49" s="30"/>
      <c r="AD49" s="20"/>
      <c r="AE49" s="20"/>
      <c r="AF49" s="20"/>
      <c r="AG49" s="20"/>
      <c r="AH49" s="20"/>
      <c r="AI49" s="20"/>
      <c r="AJ49" s="5"/>
      <c r="AK49" s="29"/>
      <c r="AL49" s="24"/>
      <c r="AM49" s="30"/>
      <c r="AN49" s="30"/>
      <c r="AO49" s="30"/>
      <c r="AP49" s="20"/>
      <c r="AQ49" s="20"/>
      <c r="AR49" s="20"/>
      <c r="AS49" s="20"/>
      <c r="AT49" s="20"/>
      <c r="AU49" s="20"/>
      <c r="AV49" s="5"/>
      <c r="AW49" s="29"/>
      <c r="AX49" s="24"/>
      <c r="AY49" s="30"/>
      <c r="AZ49" s="30"/>
      <c r="BA49" s="30"/>
      <c r="BB49" s="20"/>
      <c r="BC49" s="20"/>
      <c r="BD49" s="20"/>
      <c r="BE49" s="20"/>
      <c r="BF49" s="20"/>
      <c r="BG49" s="20"/>
      <c r="BH49" s="5"/>
      <c r="BI49" s="29"/>
      <c r="BJ49" s="24"/>
      <c r="BK49" s="30"/>
      <c r="BL49" s="30"/>
      <c r="BM49" s="30"/>
      <c r="BN49" s="20"/>
      <c r="BO49" s="20"/>
      <c r="BP49" s="20"/>
      <c r="BQ49" s="20"/>
      <c r="BR49" s="20"/>
      <c r="BS49" s="29"/>
    </row>
    <row r="50" spans="1:71" s="3" customFormat="1" ht="12.75">
      <c r="A50" s="3">
        <v>1996</v>
      </c>
      <c r="B50" s="38" t="s">
        <v>46</v>
      </c>
      <c r="C50" s="25">
        <f>+MITRE[[#This Row],[Trenes Puntuales]]/MITRE[[#This Row],[Trenes Programados]]</f>
        <v>0.96134465382756951</v>
      </c>
      <c r="D50" s="25">
        <f>+MITRE[[#This Row],[Trenes Puntuales]]/MITRE[[#This Row],[Trenes Corridos]]</f>
        <v>0.97856942102304667</v>
      </c>
      <c r="E50" s="25">
        <f>+MITRE[[#This Row],[Trenes Corridos]]/MITRE[[#This Row],[Trenes Programados]]</f>
        <v>0.98239801201076826</v>
      </c>
      <c r="F50" s="20">
        <v>14487</v>
      </c>
      <c r="G50" s="20">
        <f t="shared" si="6"/>
        <v>255</v>
      </c>
      <c r="H50" s="20">
        <v>14232</v>
      </c>
      <c r="I50" s="20">
        <v>13927</v>
      </c>
      <c r="J50" s="20">
        <f t="shared" si="7"/>
        <v>305</v>
      </c>
      <c r="K50" s="20"/>
      <c r="L50" s="5"/>
      <c r="M50" s="29"/>
      <c r="N50" s="24"/>
      <c r="O50" s="30"/>
      <c r="P50" s="30"/>
      <c r="Q50" s="30"/>
      <c r="R50" s="20"/>
      <c r="S50" s="20"/>
      <c r="T50" s="20"/>
      <c r="U50" s="20"/>
      <c r="V50" s="20"/>
      <c r="W50" s="20"/>
      <c r="X50" s="5"/>
      <c r="Y50" s="29"/>
      <c r="Z50" s="24"/>
      <c r="AA50" s="30"/>
      <c r="AB50" s="30"/>
      <c r="AC50" s="30"/>
      <c r="AD50" s="20"/>
      <c r="AE50" s="20"/>
      <c r="AF50" s="20"/>
      <c r="AG50" s="20"/>
      <c r="AH50" s="20"/>
      <c r="AI50" s="20"/>
      <c r="AJ50" s="5"/>
      <c r="AK50" s="29"/>
      <c r="AL50" s="24"/>
      <c r="AM50" s="30"/>
      <c r="AN50" s="30"/>
      <c r="AO50" s="30"/>
      <c r="AP50" s="20"/>
      <c r="AQ50" s="20"/>
      <c r="AR50" s="20"/>
      <c r="AS50" s="20"/>
      <c r="AT50" s="20"/>
      <c r="AU50" s="20"/>
      <c r="AV50" s="5"/>
      <c r="AW50" s="29"/>
      <c r="AX50" s="24"/>
      <c r="AY50" s="30"/>
      <c r="AZ50" s="30"/>
      <c r="BA50" s="30"/>
      <c r="BB50" s="20"/>
      <c r="BC50" s="20"/>
      <c r="BD50" s="20"/>
      <c r="BE50" s="20"/>
      <c r="BF50" s="20"/>
      <c r="BG50" s="20"/>
      <c r="BH50" s="5"/>
      <c r="BI50" s="29"/>
      <c r="BJ50" s="24"/>
      <c r="BK50" s="30"/>
      <c r="BL50" s="30"/>
      <c r="BM50" s="30"/>
      <c r="BN50" s="20"/>
      <c r="BO50" s="20"/>
      <c r="BP50" s="20"/>
      <c r="BQ50" s="20"/>
      <c r="BR50" s="20"/>
      <c r="BS50" s="29"/>
    </row>
    <row r="51" spans="1:71" s="3" customFormat="1" ht="12.75">
      <c r="A51" s="3">
        <v>1996</v>
      </c>
      <c r="B51" s="38" t="s">
        <v>47</v>
      </c>
      <c r="C51" s="25">
        <f>+MITRE[[#This Row],[Trenes Puntuales]]/MITRE[[#This Row],[Trenes Programados]]</f>
        <v>0.93843098311817275</v>
      </c>
      <c r="D51" s="25">
        <f>+MITRE[[#This Row],[Trenes Puntuales]]/MITRE[[#This Row],[Trenes Corridos]]</f>
        <v>0.97476275615458674</v>
      </c>
      <c r="E51" s="25">
        <f>+MITRE[[#This Row],[Trenes Corridos]]/MITRE[[#This Row],[Trenes Programados]]</f>
        <v>0.96272757365110895</v>
      </c>
      <c r="F51" s="20">
        <v>15105</v>
      </c>
      <c r="G51" s="20">
        <f t="shared" si="6"/>
        <v>563</v>
      </c>
      <c r="H51" s="20">
        <v>14542</v>
      </c>
      <c r="I51" s="20">
        <v>14175</v>
      </c>
      <c r="J51" s="20">
        <f t="shared" si="7"/>
        <v>367</v>
      </c>
      <c r="K51" s="20"/>
      <c r="L51" s="5"/>
      <c r="M51" s="29"/>
      <c r="N51" s="24"/>
      <c r="O51" s="30"/>
      <c r="P51" s="30"/>
      <c r="Q51" s="30"/>
      <c r="R51" s="20"/>
      <c r="S51" s="20"/>
      <c r="T51" s="20"/>
      <c r="U51" s="20"/>
      <c r="V51" s="20"/>
      <c r="W51" s="20"/>
      <c r="X51" s="5"/>
      <c r="Y51" s="29"/>
      <c r="Z51" s="24"/>
      <c r="AA51" s="30"/>
      <c r="AB51" s="30"/>
      <c r="AC51" s="30"/>
      <c r="AD51" s="20"/>
      <c r="AE51" s="20"/>
      <c r="AF51" s="20"/>
      <c r="AG51" s="20"/>
      <c r="AH51" s="20"/>
      <c r="AI51" s="20"/>
      <c r="AJ51" s="5"/>
      <c r="AK51" s="29"/>
      <c r="AL51" s="24"/>
      <c r="AM51" s="30"/>
      <c r="AN51" s="30"/>
      <c r="AO51" s="30"/>
      <c r="AP51" s="20"/>
      <c r="AQ51" s="20"/>
      <c r="AR51" s="20"/>
      <c r="AS51" s="20"/>
      <c r="AT51" s="20"/>
      <c r="AU51" s="20"/>
      <c r="AV51" s="5"/>
      <c r="AW51" s="29"/>
      <c r="AX51" s="24"/>
      <c r="AY51" s="30"/>
      <c r="AZ51" s="30"/>
      <c r="BA51" s="30"/>
      <c r="BB51" s="20"/>
      <c r="BC51" s="20"/>
      <c r="BD51" s="20"/>
      <c r="BE51" s="20"/>
      <c r="BF51" s="20"/>
      <c r="BG51" s="20"/>
      <c r="BH51" s="5"/>
      <c r="BI51" s="29"/>
      <c r="BJ51" s="24"/>
      <c r="BK51" s="30"/>
      <c r="BL51" s="30"/>
      <c r="BM51" s="30"/>
      <c r="BN51" s="20"/>
      <c r="BO51" s="20"/>
      <c r="BP51" s="20"/>
      <c r="BQ51" s="20"/>
      <c r="BR51" s="20"/>
      <c r="BS51" s="29"/>
    </row>
    <row r="52" spans="1:71" s="3" customFormat="1" ht="12.75">
      <c r="A52" s="3">
        <v>1996</v>
      </c>
      <c r="B52" s="38" t="s">
        <v>48</v>
      </c>
      <c r="C52" s="25">
        <f>+MITRE[[#This Row],[Trenes Puntuales]]/MITRE[[#This Row],[Trenes Programados]]</f>
        <v>0.9718406123983323</v>
      </c>
      <c r="D52" s="25">
        <f>+MITRE[[#This Row],[Trenes Puntuales]]/MITRE[[#This Row],[Trenes Corridos]]</f>
        <v>0.97718369871486499</v>
      </c>
      <c r="E52" s="25">
        <f>+MITRE[[#This Row],[Trenes Corridos]]/MITRE[[#This Row],[Trenes Programados]]</f>
        <v>0.99453215774724901</v>
      </c>
      <c r="F52" s="20">
        <v>14631</v>
      </c>
      <c r="G52" s="20">
        <f t="shared" si="6"/>
        <v>80</v>
      </c>
      <c r="H52" s="20">
        <v>14551</v>
      </c>
      <c r="I52" s="20">
        <v>14219</v>
      </c>
      <c r="J52" s="20">
        <f t="shared" si="7"/>
        <v>332</v>
      </c>
      <c r="K52" s="20"/>
      <c r="L52" s="5"/>
      <c r="M52" s="29"/>
      <c r="N52" s="24"/>
      <c r="O52" s="30"/>
      <c r="P52" s="30"/>
      <c r="Q52" s="30"/>
      <c r="R52" s="20"/>
      <c r="S52" s="20"/>
      <c r="T52" s="20"/>
      <c r="U52" s="20"/>
      <c r="V52" s="20"/>
      <c r="W52" s="20"/>
      <c r="X52" s="5"/>
      <c r="Y52" s="29"/>
      <c r="Z52" s="24"/>
      <c r="AA52" s="30"/>
      <c r="AB52" s="30"/>
      <c r="AC52" s="30"/>
      <c r="AD52" s="20"/>
      <c r="AE52" s="20"/>
      <c r="AF52" s="20"/>
      <c r="AG52" s="20"/>
      <c r="AH52" s="20"/>
      <c r="AI52" s="20"/>
      <c r="AJ52" s="5"/>
      <c r="AK52" s="29"/>
      <c r="AL52" s="24"/>
      <c r="AM52" s="30"/>
      <c r="AN52" s="30"/>
      <c r="AO52" s="30"/>
      <c r="AP52" s="20"/>
      <c r="AQ52" s="20"/>
      <c r="AR52" s="20"/>
      <c r="AS52" s="20"/>
      <c r="AT52" s="20"/>
      <c r="AU52" s="20"/>
      <c r="AV52" s="5"/>
      <c r="AW52" s="29"/>
      <c r="AX52" s="24"/>
      <c r="AY52" s="30"/>
      <c r="AZ52" s="30"/>
      <c r="BA52" s="30"/>
      <c r="BB52" s="20"/>
      <c r="BC52" s="20"/>
      <c r="BD52" s="20"/>
      <c r="BE52" s="20"/>
      <c r="BF52" s="20"/>
      <c r="BG52" s="20"/>
      <c r="BH52" s="5"/>
      <c r="BI52" s="29"/>
      <c r="BJ52" s="24"/>
      <c r="BK52" s="30"/>
      <c r="BL52" s="30"/>
      <c r="BM52" s="30"/>
      <c r="BN52" s="20"/>
      <c r="BO52" s="20"/>
      <c r="BP52" s="20"/>
      <c r="BQ52" s="20"/>
      <c r="BR52" s="20"/>
      <c r="BS52" s="29"/>
    </row>
    <row r="53" spans="1:71" s="3" customFormat="1" ht="12.75">
      <c r="A53" s="3">
        <v>1996</v>
      </c>
      <c r="B53" s="38" t="s">
        <v>49</v>
      </c>
      <c r="C53" s="25">
        <f>+MITRE[[#This Row],[Trenes Puntuales]]/MITRE[[#This Row],[Trenes Programados]]</f>
        <v>0.90241125251172138</v>
      </c>
      <c r="D53" s="25">
        <f>+MITRE[[#This Row],[Trenes Puntuales]]/MITRE[[#This Row],[Trenes Corridos]]</f>
        <v>0.9652529015618283</v>
      </c>
      <c r="E53" s="25">
        <f>+MITRE[[#This Row],[Trenes Corridos]]/MITRE[[#This Row],[Trenes Programados]]</f>
        <v>0.93489618218352311</v>
      </c>
      <c r="F53" s="20">
        <v>14930</v>
      </c>
      <c r="G53" s="20">
        <f t="shared" si="6"/>
        <v>972</v>
      </c>
      <c r="H53" s="20">
        <v>13958</v>
      </c>
      <c r="I53" s="20">
        <v>13473</v>
      </c>
      <c r="J53" s="20">
        <f t="shared" si="7"/>
        <v>485</v>
      </c>
      <c r="K53" s="20"/>
      <c r="L53" s="5"/>
      <c r="M53" s="29"/>
      <c r="N53" s="24"/>
      <c r="O53" s="30"/>
      <c r="P53" s="30"/>
      <c r="Q53" s="30"/>
      <c r="R53" s="20"/>
      <c r="S53" s="20"/>
      <c r="T53" s="20"/>
      <c r="U53" s="20"/>
      <c r="V53" s="20"/>
      <c r="W53" s="20"/>
      <c r="X53" s="5"/>
      <c r="Y53" s="29"/>
      <c r="Z53" s="24"/>
      <c r="AA53" s="30"/>
      <c r="AB53" s="30"/>
      <c r="AC53" s="30"/>
      <c r="AD53" s="20"/>
      <c r="AE53" s="20"/>
      <c r="AF53" s="20"/>
      <c r="AG53" s="20"/>
      <c r="AH53" s="20"/>
      <c r="AI53" s="20"/>
      <c r="AJ53" s="5"/>
      <c r="AK53" s="29"/>
      <c r="AL53" s="24"/>
      <c r="AM53" s="30"/>
      <c r="AN53" s="30"/>
      <c r="AO53" s="30"/>
      <c r="AP53" s="20"/>
      <c r="AQ53" s="20"/>
      <c r="AR53" s="20"/>
      <c r="AS53" s="20"/>
      <c r="AT53" s="20"/>
      <c r="AU53" s="20"/>
      <c r="AV53" s="5"/>
      <c r="AW53" s="29"/>
      <c r="AX53" s="24"/>
      <c r="AY53" s="30"/>
      <c r="AZ53" s="30"/>
      <c r="BA53" s="30"/>
      <c r="BB53" s="20"/>
      <c r="BC53" s="20"/>
      <c r="BD53" s="20"/>
      <c r="BE53" s="20"/>
      <c r="BF53" s="20"/>
      <c r="BG53" s="20"/>
      <c r="BH53" s="5"/>
      <c r="BI53" s="29"/>
      <c r="BJ53" s="24"/>
      <c r="BK53" s="30"/>
      <c r="BL53" s="30"/>
      <c r="BM53" s="30"/>
      <c r="BN53" s="20"/>
      <c r="BO53" s="20"/>
      <c r="BP53" s="20"/>
      <c r="BQ53" s="20"/>
      <c r="BR53" s="20"/>
      <c r="BS53" s="29"/>
    </row>
    <row r="54" spans="1:71" s="3" customFormat="1" ht="12.75">
      <c r="A54" s="3">
        <v>1997</v>
      </c>
      <c r="B54" s="38" t="s">
        <v>38</v>
      </c>
      <c r="C54" s="25">
        <f>+MITRE[[#This Row],[Trenes Puntuales]]/MITRE[[#This Row],[Trenes Programados]]</f>
        <v>0.97108338284808871</v>
      </c>
      <c r="D54" s="25">
        <f>+MITRE[[#This Row],[Trenes Puntuales]]/MITRE[[#This Row],[Trenes Corridos]]</f>
        <v>0.9772123305872974</v>
      </c>
      <c r="E54" s="25">
        <f>+MITRE[[#This Row],[Trenes Corridos]]/MITRE[[#This Row],[Trenes Programados]]</f>
        <v>0.99372813098303292</v>
      </c>
      <c r="F54" s="20">
        <v>15147</v>
      </c>
      <c r="G54" s="20">
        <f t="shared" ref="G54:G65" si="8">F54-H54</f>
        <v>95</v>
      </c>
      <c r="H54" s="20">
        <v>15052</v>
      </c>
      <c r="I54" s="20">
        <v>14709</v>
      </c>
      <c r="J54" s="20">
        <f t="shared" ref="J54:J65" si="9">H54-I54</f>
        <v>343</v>
      </c>
      <c r="K54" s="20"/>
      <c r="L54" s="5"/>
      <c r="M54" s="29"/>
      <c r="N54" s="24"/>
      <c r="O54" s="30"/>
      <c r="P54" s="30"/>
      <c r="Q54" s="30"/>
      <c r="R54" s="20"/>
      <c r="S54" s="20"/>
      <c r="T54" s="20"/>
      <c r="U54" s="20"/>
      <c r="V54" s="20"/>
      <c r="W54" s="20"/>
      <c r="X54" s="5"/>
      <c r="Y54" s="29"/>
      <c r="Z54" s="24"/>
      <c r="AA54" s="30"/>
      <c r="AB54" s="30"/>
      <c r="AC54" s="30"/>
      <c r="AD54" s="20"/>
      <c r="AE54" s="20"/>
      <c r="AF54" s="20"/>
      <c r="AG54" s="20"/>
      <c r="AH54" s="20"/>
      <c r="AI54" s="20"/>
      <c r="AJ54" s="5"/>
      <c r="AK54" s="29"/>
      <c r="AL54" s="24"/>
      <c r="AM54" s="30"/>
      <c r="AN54" s="30"/>
      <c r="AO54" s="30"/>
      <c r="AP54" s="20"/>
      <c r="AQ54" s="20"/>
      <c r="AR54" s="20"/>
      <c r="AS54" s="20"/>
      <c r="AT54" s="20"/>
      <c r="AU54" s="20"/>
      <c r="AV54" s="5"/>
      <c r="AW54" s="29"/>
      <c r="AX54" s="24"/>
      <c r="AY54" s="30"/>
      <c r="AZ54" s="30"/>
      <c r="BA54" s="30"/>
      <c r="BB54" s="20"/>
      <c r="BC54" s="20"/>
      <c r="BD54" s="20"/>
      <c r="BE54" s="20"/>
      <c r="BF54" s="20"/>
      <c r="BG54" s="20"/>
      <c r="BH54" s="5"/>
      <c r="BI54" s="29"/>
      <c r="BJ54" s="24"/>
      <c r="BK54" s="30"/>
      <c r="BL54" s="30"/>
      <c r="BM54" s="30"/>
      <c r="BN54" s="20"/>
      <c r="BO54" s="20"/>
      <c r="BP54" s="20"/>
      <c r="BQ54" s="20"/>
      <c r="BR54" s="20"/>
      <c r="BS54" s="29"/>
    </row>
    <row r="55" spans="1:71" s="3" customFormat="1" ht="12.75">
      <c r="A55" s="3">
        <v>1997</v>
      </c>
      <c r="B55" s="38" t="s">
        <v>39</v>
      </c>
      <c r="C55" s="25">
        <f>+MITRE[[#This Row],[Trenes Puntuales]]/MITRE[[#This Row],[Trenes Programados]]</f>
        <v>0.96518895348837208</v>
      </c>
      <c r="D55" s="25">
        <f>+MITRE[[#This Row],[Trenes Puntuales]]/MITRE[[#This Row],[Trenes Corridos]]</f>
        <v>0.97069141938313108</v>
      </c>
      <c r="E55" s="25">
        <f>+MITRE[[#This Row],[Trenes Corridos]]/MITRE[[#This Row],[Trenes Programados]]</f>
        <v>0.99433139534883719</v>
      </c>
      <c r="F55" s="20">
        <v>13760</v>
      </c>
      <c r="G55" s="20">
        <f t="shared" si="8"/>
        <v>78</v>
      </c>
      <c r="H55" s="20">
        <v>13682</v>
      </c>
      <c r="I55" s="20">
        <v>13281</v>
      </c>
      <c r="J55" s="20">
        <f t="shared" si="9"/>
        <v>401</v>
      </c>
      <c r="K55" s="20"/>
      <c r="L55" s="5"/>
      <c r="M55" s="29"/>
      <c r="N55" s="24"/>
      <c r="O55" s="30"/>
      <c r="P55" s="30"/>
      <c r="Q55" s="30"/>
      <c r="R55" s="20"/>
      <c r="S55" s="20"/>
      <c r="T55" s="20"/>
      <c r="U55" s="20"/>
      <c r="V55" s="20"/>
      <c r="W55" s="20"/>
      <c r="X55" s="5"/>
      <c r="Y55" s="29"/>
      <c r="Z55" s="24"/>
      <c r="AA55" s="30"/>
      <c r="AB55" s="30"/>
      <c r="AC55" s="30"/>
      <c r="AD55" s="20"/>
      <c r="AE55" s="20"/>
      <c r="AF55" s="20"/>
      <c r="AG55" s="20"/>
      <c r="AH55" s="20"/>
      <c r="AI55" s="20"/>
      <c r="AJ55" s="5"/>
      <c r="AK55" s="29"/>
      <c r="AL55" s="24"/>
      <c r="AM55" s="30"/>
      <c r="AN55" s="30"/>
      <c r="AO55" s="30"/>
      <c r="AP55" s="20"/>
      <c r="AQ55" s="20"/>
      <c r="AR55" s="20"/>
      <c r="AS55" s="20"/>
      <c r="AT55" s="20"/>
      <c r="AU55" s="20"/>
      <c r="AV55" s="5"/>
      <c r="AW55" s="29"/>
      <c r="AX55" s="24"/>
      <c r="AY55" s="30"/>
      <c r="AZ55" s="30"/>
      <c r="BA55" s="30"/>
      <c r="BB55" s="20"/>
      <c r="BC55" s="20"/>
      <c r="BD55" s="20"/>
      <c r="BE55" s="20"/>
      <c r="BF55" s="20"/>
      <c r="BG55" s="20"/>
      <c r="BH55" s="5"/>
      <c r="BI55" s="29"/>
      <c r="BJ55" s="24"/>
      <c r="BK55" s="30"/>
      <c r="BL55" s="30"/>
      <c r="BM55" s="30"/>
      <c r="BN55" s="20"/>
      <c r="BO55" s="20"/>
      <c r="BP55" s="20"/>
      <c r="BQ55" s="20"/>
      <c r="BR55" s="20"/>
      <c r="BS55" s="29"/>
    </row>
    <row r="56" spans="1:71" s="3" customFormat="1" ht="12.75">
      <c r="A56" s="3">
        <v>1997</v>
      </c>
      <c r="B56" s="38" t="s">
        <v>40</v>
      </c>
      <c r="C56" s="25">
        <f>+MITRE[[#This Row],[Trenes Puntuales]]/MITRE[[#This Row],[Trenes Programados]]</f>
        <v>0.96094013064852857</v>
      </c>
      <c r="D56" s="25">
        <f>+MITRE[[#This Row],[Trenes Puntuales]]/MITRE[[#This Row],[Trenes Corridos]]</f>
        <v>0.96405648267008981</v>
      </c>
      <c r="E56" s="25">
        <f>+MITRE[[#This Row],[Trenes Corridos]]/MITRE[[#This Row],[Trenes Programados]]</f>
        <v>0.99676745908815412</v>
      </c>
      <c r="F56" s="20">
        <v>14849</v>
      </c>
      <c r="G56" s="20">
        <f t="shared" si="8"/>
        <v>48</v>
      </c>
      <c r="H56" s="20">
        <v>14801</v>
      </c>
      <c r="I56" s="20">
        <v>14269</v>
      </c>
      <c r="J56" s="20">
        <f t="shared" si="9"/>
        <v>532</v>
      </c>
      <c r="K56" s="20"/>
      <c r="L56" s="5"/>
      <c r="M56" s="29"/>
      <c r="N56" s="24"/>
      <c r="O56" s="30"/>
      <c r="P56" s="30"/>
      <c r="Q56" s="30"/>
      <c r="R56" s="20"/>
      <c r="S56" s="20"/>
      <c r="T56" s="20"/>
      <c r="U56" s="20"/>
      <c r="V56" s="20"/>
      <c r="W56" s="20"/>
      <c r="X56" s="5"/>
      <c r="Y56" s="29"/>
      <c r="Z56" s="24"/>
      <c r="AA56" s="30"/>
      <c r="AB56" s="30"/>
      <c r="AC56" s="30"/>
      <c r="AD56" s="20"/>
      <c r="AE56" s="20"/>
      <c r="AF56" s="20"/>
      <c r="AG56" s="20"/>
      <c r="AH56" s="20"/>
      <c r="AI56" s="20"/>
      <c r="AJ56" s="5"/>
      <c r="AK56" s="29"/>
      <c r="AL56" s="24"/>
      <c r="AM56" s="30"/>
      <c r="AN56" s="30"/>
      <c r="AO56" s="30"/>
      <c r="AP56" s="20"/>
      <c r="AQ56" s="20"/>
      <c r="AR56" s="20"/>
      <c r="AS56" s="20"/>
      <c r="AT56" s="20"/>
      <c r="AU56" s="20"/>
      <c r="AV56" s="5"/>
      <c r="AW56" s="29"/>
      <c r="AX56" s="24"/>
      <c r="AY56" s="30"/>
      <c r="AZ56" s="30"/>
      <c r="BA56" s="30"/>
      <c r="BB56" s="20"/>
      <c r="BC56" s="20"/>
      <c r="BD56" s="20"/>
      <c r="BE56" s="20"/>
      <c r="BF56" s="20"/>
      <c r="BG56" s="20"/>
      <c r="BH56" s="5"/>
      <c r="BI56" s="29"/>
      <c r="BJ56" s="24"/>
      <c r="BK56" s="30"/>
      <c r="BL56" s="30"/>
      <c r="BM56" s="30"/>
      <c r="BN56" s="20"/>
      <c r="BO56" s="20"/>
      <c r="BP56" s="20"/>
      <c r="BQ56" s="20"/>
      <c r="BR56" s="20"/>
      <c r="BS56" s="29"/>
    </row>
    <row r="57" spans="1:71" s="3" customFormat="1" ht="12.75">
      <c r="A57" s="3">
        <v>1997</v>
      </c>
      <c r="B57" s="38" t="s">
        <v>41</v>
      </c>
      <c r="C57" s="25">
        <f>+MITRE[[#This Row],[Trenes Puntuales]]/MITRE[[#This Row],[Trenes Programados]]</f>
        <v>0.97025896951712975</v>
      </c>
      <c r="D57" s="25">
        <f>+MITRE[[#This Row],[Trenes Puntuales]]/MITRE[[#This Row],[Trenes Corridos]]</f>
        <v>0.97143821742066172</v>
      </c>
      <c r="E57" s="25">
        <f>+MITRE[[#This Row],[Trenes Corridos]]/MITRE[[#This Row],[Trenes Programados]]</f>
        <v>0.99878608038845429</v>
      </c>
      <c r="F57" s="20">
        <v>14828</v>
      </c>
      <c r="G57" s="20">
        <f t="shared" si="8"/>
        <v>18</v>
      </c>
      <c r="H57" s="20">
        <v>14810</v>
      </c>
      <c r="I57" s="20">
        <v>14387</v>
      </c>
      <c r="J57" s="20">
        <f t="shared" si="9"/>
        <v>423</v>
      </c>
      <c r="K57" s="20"/>
      <c r="L57" s="5"/>
      <c r="M57" s="29"/>
      <c r="N57" s="24"/>
      <c r="O57" s="30"/>
      <c r="P57" s="30"/>
      <c r="Q57" s="30"/>
      <c r="R57" s="20"/>
      <c r="S57" s="20"/>
      <c r="T57" s="20"/>
      <c r="U57" s="20"/>
      <c r="V57" s="20"/>
      <c r="W57" s="20"/>
      <c r="X57" s="5"/>
      <c r="Y57" s="29"/>
      <c r="Z57" s="24"/>
      <c r="AA57" s="30"/>
      <c r="AB57" s="30"/>
      <c r="AC57" s="30"/>
      <c r="AD57" s="20"/>
      <c r="AE57" s="20"/>
      <c r="AF57" s="20"/>
      <c r="AG57" s="20"/>
      <c r="AH57" s="20"/>
      <c r="AI57" s="20"/>
      <c r="AJ57" s="5"/>
      <c r="AK57" s="29"/>
      <c r="AL57" s="24"/>
      <c r="AM57" s="30"/>
      <c r="AN57" s="30"/>
      <c r="AO57" s="30"/>
      <c r="AP57" s="20"/>
      <c r="AQ57" s="20"/>
      <c r="AR57" s="20"/>
      <c r="AS57" s="20"/>
      <c r="AT57" s="20"/>
      <c r="AU57" s="20"/>
      <c r="AV57" s="5"/>
      <c r="AW57" s="29"/>
      <c r="AX57" s="24"/>
      <c r="AY57" s="30"/>
      <c r="AZ57" s="30"/>
      <c r="BA57" s="30"/>
      <c r="BB57" s="20"/>
      <c r="BC57" s="20"/>
      <c r="BD57" s="20"/>
      <c r="BE57" s="20"/>
      <c r="BF57" s="20"/>
      <c r="BG57" s="20"/>
      <c r="BH57" s="5"/>
      <c r="BI57" s="29"/>
      <c r="BJ57" s="24"/>
      <c r="BK57" s="30"/>
      <c r="BL57" s="30"/>
      <c r="BM57" s="30"/>
      <c r="BN57" s="20"/>
      <c r="BO57" s="20"/>
      <c r="BP57" s="20"/>
      <c r="BQ57" s="20"/>
      <c r="BR57" s="20"/>
      <c r="BS57" s="29"/>
    </row>
    <row r="58" spans="1:71" s="3" customFormat="1" ht="12.75">
      <c r="A58" s="3">
        <v>1997</v>
      </c>
      <c r="B58" s="38" t="s">
        <v>42</v>
      </c>
      <c r="C58" s="25">
        <f>+MITRE[[#This Row],[Trenes Puntuales]]/MITRE[[#This Row],[Trenes Programados]]</f>
        <v>0.96690981432360745</v>
      </c>
      <c r="D58" s="25">
        <f>+MITRE[[#This Row],[Trenes Puntuales]]/MITRE[[#This Row],[Trenes Corridos]]</f>
        <v>0.97032009050375989</v>
      </c>
      <c r="E58" s="25">
        <f>+MITRE[[#This Row],[Trenes Corridos]]/MITRE[[#This Row],[Trenes Programados]]</f>
        <v>0.99648541114058353</v>
      </c>
      <c r="F58" s="20">
        <v>15080</v>
      </c>
      <c r="G58" s="20">
        <f t="shared" si="8"/>
        <v>53</v>
      </c>
      <c r="H58" s="20">
        <v>15027</v>
      </c>
      <c r="I58" s="20">
        <v>14581</v>
      </c>
      <c r="J58" s="20">
        <f t="shared" si="9"/>
        <v>446</v>
      </c>
      <c r="K58" s="20"/>
      <c r="L58" s="5"/>
      <c r="M58" s="29"/>
      <c r="N58" s="24"/>
      <c r="O58" s="30"/>
      <c r="P58" s="30"/>
      <c r="Q58" s="30"/>
      <c r="R58" s="20"/>
      <c r="S58" s="20"/>
      <c r="T58" s="20"/>
      <c r="U58" s="20"/>
      <c r="V58" s="20"/>
      <c r="W58" s="20"/>
      <c r="X58" s="5"/>
      <c r="Y58" s="29"/>
      <c r="Z58" s="24"/>
      <c r="AA58" s="30"/>
      <c r="AB58" s="30"/>
      <c r="AC58" s="30"/>
      <c r="AD58" s="20"/>
      <c r="AE58" s="20"/>
      <c r="AF58" s="20"/>
      <c r="AG58" s="20"/>
      <c r="AH58" s="20"/>
      <c r="AI58" s="20"/>
      <c r="AJ58" s="5"/>
      <c r="AK58" s="29"/>
      <c r="AL58" s="24"/>
      <c r="AM58" s="30"/>
      <c r="AN58" s="30"/>
      <c r="AO58" s="30"/>
      <c r="AP58" s="20"/>
      <c r="AQ58" s="20"/>
      <c r="AR58" s="20"/>
      <c r="AS58" s="20"/>
      <c r="AT58" s="20"/>
      <c r="AU58" s="20"/>
      <c r="AV58" s="5"/>
      <c r="AW58" s="29"/>
      <c r="AX58" s="24"/>
      <c r="AY58" s="30"/>
      <c r="AZ58" s="30"/>
      <c r="BA58" s="30"/>
      <c r="BB58" s="20"/>
      <c r="BC58" s="20"/>
      <c r="BD58" s="20"/>
      <c r="BE58" s="20"/>
      <c r="BF58" s="20"/>
      <c r="BG58" s="20"/>
      <c r="BH58" s="5"/>
      <c r="BI58" s="29"/>
      <c r="BJ58" s="24"/>
      <c r="BK58" s="30"/>
      <c r="BL58" s="30"/>
      <c r="BM58" s="30"/>
      <c r="BN58" s="20"/>
      <c r="BO58" s="20"/>
      <c r="BP58" s="20"/>
      <c r="BQ58" s="20"/>
      <c r="BR58" s="20"/>
      <c r="BS58" s="29"/>
    </row>
    <row r="59" spans="1:71" s="3" customFormat="1" ht="12.75">
      <c r="A59" s="3">
        <v>1997</v>
      </c>
      <c r="B59" s="38" t="s">
        <v>43</v>
      </c>
      <c r="C59" s="25">
        <f>+MITRE[[#This Row],[Trenes Puntuales]]/MITRE[[#This Row],[Trenes Programados]]</f>
        <v>0.9633008209950179</v>
      </c>
      <c r="D59" s="25">
        <f>+MITRE[[#This Row],[Trenes Puntuales]]/MITRE[[#This Row],[Trenes Corridos]]</f>
        <v>0.96526508226691043</v>
      </c>
      <c r="E59" s="25">
        <f>+MITRE[[#This Row],[Trenes Corridos]]/MITRE[[#This Row],[Trenes Programados]]</f>
        <v>0.9979650550838538</v>
      </c>
      <c r="F59" s="20">
        <v>14251</v>
      </c>
      <c r="G59" s="20">
        <f t="shared" si="8"/>
        <v>29</v>
      </c>
      <c r="H59" s="20">
        <v>14222</v>
      </c>
      <c r="I59" s="20">
        <v>13728</v>
      </c>
      <c r="J59" s="20">
        <f t="shared" si="9"/>
        <v>494</v>
      </c>
      <c r="K59" s="20"/>
      <c r="L59" s="5"/>
      <c r="M59" s="29"/>
      <c r="N59" s="24"/>
      <c r="O59" s="30"/>
      <c r="P59" s="30"/>
      <c r="Q59" s="30"/>
      <c r="R59" s="20"/>
      <c r="S59" s="20"/>
      <c r="T59" s="20"/>
      <c r="U59" s="20"/>
      <c r="V59" s="20"/>
      <c r="W59" s="20"/>
      <c r="X59" s="5"/>
      <c r="Y59" s="29"/>
      <c r="Z59" s="24"/>
      <c r="AA59" s="30"/>
      <c r="AB59" s="30"/>
      <c r="AC59" s="30"/>
      <c r="AD59" s="20"/>
      <c r="AE59" s="20"/>
      <c r="AF59" s="20"/>
      <c r="AG59" s="20"/>
      <c r="AH59" s="20"/>
      <c r="AI59" s="20"/>
      <c r="AJ59" s="5"/>
      <c r="AK59" s="29"/>
      <c r="AL59" s="24"/>
      <c r="AM59" s="30"/>
      <c r="AN59" s="30"/>
      <c r="AO59" s="30"/>
      <c r="AP59" s="20"/>
      <c r="AQ59" s="20"/>
      <c r="AR59" s="20"/>
      <c r="AS59" s="20"/>
      <c r="AT59" s="20"/>
      <c r="AU59" s="20"/>
      <c r="AV59" s="5"/>
      <c r="AW59" s="29"/>
      <c r="AX59" s="24"/>
      <c r="AY59" s="30"/>
      <c r="AZ59" s="30"/>
      <c r="BA59" s="30"/>
      <c r="BB59" s="20"/>
      <c r="BC59" s="20"/>
      <c r="BD59" s="20"/>
      <c r="BE59" s="20"/>
      <c r="BF59" s="20"/>
      <c r="BG59" s="20"/>
      <c r="BH59" s="5"/>
      <c r="BI59" s="29"/>
      <c r="BJ59" s="24"/>
      <c r="BK59" s="30"/>
      <c r="BL59" s="30"/>
      <c r="BM59" s="30"/>
      <c r="BN59" s="20"/>
      <c r="BO59" s="20"/>
      <c r="BP59" s="20"/>
      <c r="BQ59" s="20"/>
      <c r="BR59" s="20"/>
      <c r="BS59" s="29"/>
    </row>
    <row r="60" spans="1:71" s="3" customFormat="1" ht="12.75">
      <c r="A60" s="3">
        <v>1997</v>
      </c>
      <c r="B60" s="38" t="s">
        <v>44</v>
      </c>
      <c r="C60" s="25">
        <f>+MITRE[[#This Row],[Trenes Puntuales]]/MITRE[[#This Row],[Trenes Programados]]</f>
        <v>0.97574123989218331</v>
      </c>
      <c r="D60" s="25">
        <f>+MITRE[[#This Row],[Trenes Puntuales]]/MITRE[[#This Row],[Trenes Corridos]]</f>
        <v>0.97644736842105262</v>
      </c>
      <c r="E60" s="25">
        <f>+MITRE[[#This Row],[Trenes Corridos]]/MITRE[[#This Row],[Trenes Programados]]</f>
        <v>0.99927683912957732</v>
      </c>
      <c r="F60" s="20">
        <v>15211</v>
      </c>
      <c r="G60" s="20">
        <f t="shared" si="8"/>
        <v>11</v>
      </c>
      <c r="H60" s="20">
        <v>15200</v>
      </c>
      <c r="I60" s="20">
        <v>14842</v>
      </c>
      <c r="J60" s="20">
        <f t="shared" si="9"/>
        <v>358</v>
      </c>
      <c r="K60" s="20"/>
      <c r="L60" s="5"/>
      <c r="M60" s="29"/>
      <c r="N60" s="24"/>
      <c r="O60" s="30"/>
      <c r="P60" s="30"/>
      <c r="Q60" s="30"/>
      <c r="R60" s="20"/>
      <c r="S60" s="20"/>
      <c r="T60" s="20"/>
      <c r="U60" s="20"/>
      <c r="V60" s="20"/>
      <c r="W60" s="20"/>
      <c r="X60" s="5"/>
      <c r="Y60" s="29"/>
      <c r="Z60" s="24"/>
      <c r="AA60" s="30"/>
      <c r="AB60" s="30"/>
      <c r="AC60" s="30"/>
      <c r="AD60" s="20"/>
      <c r="AE60" s="20"/>
      <c r="AF60" s="20"/>
      <c r="AG60" s="20"/>
      <c r="AH60" s="20"/>
      <c r="AI60" s="20"/>
      <c r="AJ60" s="5"/>
      <c r="AK60" s="29"/>
      <c r="AL60" s="24"/>
      <c r="AM60" s="30"/>
      <c r="AN60" s="30"/>
      <c r="AO60" s="30"/>
      <c r="AP60" s="20"/>
      <c r="AQ60" s="20"/>
      <c r="AR60" s="20"/>
      <c r="AS60" s="20"/>
      <c r="AT60" s="20"/>
      <c r="AU60" s="20"/>
      <c r="AV60" s="5"/>
      <c r="AW60" s="29"/>
      <c r="AX60" s="24"/>
      <c r="AY60" s="30"/>
      <c r="AZ60" s="30"/>
      <c r="BA60" s="30"/>
      <c r="BB60" s="20"/>
      <c r="BC60" s="20"/>
      <c r="BD60" s="20"/>
      <c r="BE60" s="20"/>
      <c r="BF60" s="20"/>
      <c r="BG60" s="20"/>
      <c r="BH60" s="5"/>
      <c r="BI60" s="29"/>
      <c r="BJ60" s="24"/>
      <c r="BK60" s="30"/>
      <c r="BL60" s="30"/>
      <c r="BM60" s="30"/>
      <c r="BN60" s="20"/>
      <c r="BO60" s="20"/>
      <c r="BP60" s="20"/>
      <c r="BQ60" s="20"/>
      <c r="BR60" s="20"/>
      <c r="BS60" s="29"/>
    </row>
    <row r="61" spans="1:71" s="3" customFormat="1" ht="12.75">
      <c r="A61" s="3">
        <v>1997</v>
      </c>
      <c r="B61" s="38" t="s">
        <v>45</v>
      </c>
      <c r="C61" s="25">
        <f>+MITRE[[#This Row],[Trenes Puntuales]]/MITRE[[#This Row],[Trenes Programados]]</f>
        <v>0.96384816228158265</v>
      </c>
      <c r="D61" s="25">
        <f>+MITRE[[#This Row],[Trenes Puntuales]]/MITRE[[#This Row],[Trenes Corridos]]</f>
        <v>0.97600162700833837</v>
      </c>
      <c r="E61" s="25">
        <f>+MITRE[[#This Row],[Trenes Corridos]]/MITRE[[#This Row],[Trenes Programados]]</f>
        <v>0.98754770034143402</v>
      </c>
      <c r="F61" s="20">
        <v>14937</v>
      </c>
      <c r="G61" s="20">
        <f t="shared" si="8"/>
        <v>186</v>
      </c>
      <c r="H61" s="20">
        <v>14751</v>
      </c>
      <c r="I61" s="20">
        <v>14397</v>
      </c>
      <c r="J61" s="20">
        <f t="shared" si="9"/>
        <v>354</v>
      </c>
      <c r="K61" s="20"/>
      <c r="L61" s="5"/>
      <c r="M61" s="29"/>
      <c r="N61" s="24"/>
      <c r="O61" s="30"/>
      <c r="P61" s="30"/>
      <c r="Q61" s="30"/>
      <c r="R61" s="20"/>
      <c r="S61" s="20"/>
      <c r="T61" s="20"/>
      <c r="U61" s="20"/>
      <c r="V61" s="20"/>
      <c r="W61" s="20"/>
      <c r="X61" s="5"/>
      <c r="Y61" s="29"/>
      <c r="Z61" s="24"/>
      <c r="AA61" s="30"/>
      <c r="AB61" s="30"/>
      <c r="AC61" s="30"/>
      <c r="AD61" s="20"/>
      <c r="AE61" s="20"/>
      <c r="AF61" s="20"/>
      <c r="AG61" s="20"/>
      <c r="AH61" s="20"/>
      <c r="AI61" s="20"/>
      <c r="AJ61" s="5"/>
      <c r="AK61" s="29"/>
      <c r="AL61" s="24"/>
      <c r="AM61" s="30"/>
      <c r="AN61" s="30"/>
      <c r="AO61" s="30"/>
      <c r="AP61" s="20"/>
      <c r="AQ61" s="20"/>
      <c r="AR61" s="20"/>
      <c r="AS61" s="20"/>
      <c r="AT61" s="20"/>
      <c r="AU61" s="20"/>
      <c r="AV61" s="5"/>
      <c r="AW61" s="29"/>
      <c r="AX61" s="24"/>
      <c r="AY61" s="30"/>
      <c r="AZ61" s="30"/>
      <c r="BA61" s="30"/>
      <c r="BB61" s="20"/>
      <c r="BC61" s="20"/>
      <c r="BD61" s="20"/>
      <c r="BE61" s="20"/>
      <c r="BF61" s="20"/>
      <c r="BG61" s="20"/>
      <c r="BH61" s="5"/>
      <c r="BI61" s="29"/>
      <c r="BJ61" s="24"/>
      <c r="BK61" s="30"/>
      <c r="BL61" s="30"/>
      <c r="BM61" s="30"/>
      <c r="BN61" s="20"/>
      <c r="BO61" s="20"/>
      <c r="BP61" s="20"/>
      <c r="BQ61" s="20"/>
      <c r="BR61" s="20"/>
      <c r="BS61" s="29"/>
    </row>
    <row r="62" spans="1:71" s="3" customFormat="1" ht="12.75">
      <c r="A62" s="3">
        <v>1997</v>
      </c>
      <c r="B62" s="38" t="s">
        <v>46</v>
      </c>
      <c r="C62" s="25">
        <f>+MITRE[[#This Row],[Trenes Puntuales]]/MITRE[[#This Row],[Trenes Programados]]</f>
        <v>0.98577944727663003</v>
      </c>
      <c r="D62" s="25">
        <f>+MITRE[[#This Row],[Trenes Puntuales]]/MITRE[[#This Row],[Trenes Corridos]]</f>
        <v>0.98697112155809263</v>
      </c>
      <c r="E62" s="25">
        <f>+MITRE[[#This Row],[Trenes Corridos]]/MITRE[[#This Row],[Trenes Programados]]</f>
        <v>0.99879259458009118</v>
      </c>
      <c r="F62" s="20">
        <v>14908</v>
      </c>
      <c r="G62" s="20">
        <f t="shared" si="8"/>
        <v>18</v>
      </c>
      <c r="H62" s="20">
        <v>14890</v>
      </c>
      <c r="I62" s="20">
        <v>14696</v>
      </c>
      <c r="J62" s="20">
        <f t="shared" si="9"/>
        <v>194</v>
      </c>
      <c r="K62" s="20"/>
      <c r="L62" s="5"/>
      <c r="M62" s="29"/>
      <c r="N62" s="24"/>
      <c r="O62" s="30"/>
      <c r="P62" s="30"/>
      <c r="Q62" s="30"/>
      <c r="R62" s="20"/>
      <c r="S62" s="20"/>
      <c r="T62" s="20"/>
      <c r="U62" s="20"/>
      <c r="V62" s="20"/>
      <c r="W62" s="20"/>
      <c r="X62" s="5"/>
      <c r="Y62" s="29"/>
      <c r="Z62" s="24"/>
      <c r="AA62" s="30"/>
      <c r="AB62" s="30"/>
      <c r="AC62" s="30"/>
      <c r="AD62" s="20"/>
      <c r="AE62" s="20"/>
      <c r="AF62" s="20"/>
      <c r="AG62" s="20"/>
      <c r="AH62" s="20"/>
      <c r="AI62" s="20"/>
      <c r="AJ62" s="5"/>
      <c r="AK62" s="29"/>
      <c r="AL62" s="24"/>
      <c r="AM62" s="30"/>
      <c r="AN62" s="30"/>
      <c r="AO62" s="30"/>
      <c r="AP62" s="20"/>
      <c r="AQ62" s="20"/>
      <c r="AR62" s="20"/>
      <c r="AS62" s="20"/>
      <c r="AT62" s="20"/>
      <c r="AU62" s="20"/>
      <c r="AV62" s="5"/>
      <c r="AW62" s="29"/>
      <c r="AX62" s="24"/>
      <c r="AY62" s="30"/>
      <c r="AZ62" s="30"/>
      <c r="BA62" s="30"/>
      <c r="BB62" s="20"/>
      <c r="BC62" s="20"/>
      <c r="BD62" s="20"/>
      <c r="BE62" s="20"/>
      <c r="BF62" s="20"/>
      <c r="BG62" s="20"/>
      <c r="BH62" s="5"/>
      <c r="BI62" s="29"/>
      <c r="BJ62" s="24"/>
      <c r="BK62" s="30"/>
      <c r="BL62" s="30"/>
      <c r="BM62" s="30"/>
      <c r="BN62" s="20"/>
      <c r="BO62" s="20"/>
      <c r="BP62" s="20"/>
      <c r="BQ62" s="20"/>
      <c r="BR62" s="20"/>
      <c r="BS62" s="29"/>
    </row>
    <row r="63" spans="1:71" s="3" customFormat="1" ht="12.75">
      <c r="A63" s="3">
        <v>1997</v>
      </c>
      <c r="B63" s="38" t="s">
        <v>47</v>
      </c>
      <c r="C63" s="25">
        <f>+MITRE[[#This Row],[Trenes Puntuales]]/MITRE[[#This Row],[Trenes Programados]]</f>
        <v>0.97669601242879334</v>
      </c>
      <c r="D63" s="25">
        <f>+MITRE[[#This Row],[Trenes Puntuales]]/MITRE[[#This Row],[Trenes Corridos]]</f>
        <v>0.97745529930033692</v>
      </c>
      <c r="E63" s="25">
        <f>+MITRE[[#This Row],[Trenes Corridos]]/MITRE[[#This Row],[Trenes Programados]]</f>
        <v>0.99922320041429313</v>
      </c>
      <c r="F63" s="20">
        <v>15448</v>
      </c>
      <c r="G63" s="20">
        <f t="shared" si="8"/>
        <v>12</v>
      </c>
      <c r="H63" s="20">
        <v>15436</v>
      </c>
      <c r="I63" s="20">
        <v>15088</v>
      </c>
      <c r="J63" s="20">
        <f t="shared" si="9"/>
        <v>348</v>
      </c>
      <c r="K63" s="20"/>
      <c r="L63" s="5"/>
      <c r="M63" s="29"/>
      <c r="N63" s="24"/>
      <c r="O63" s="30"/>
      <c r="P63" s="30"/>
      <c r="Q63" s="30"/>
      <c r="R63" s="20"/>
      <c r="S63" s="20"/>
      <c r="T63" s="20"/>
      <c r="U63" s="20"/>
      <c r="V63" s="20"/>
      <c r="W63" s="20"/>
      <c r="X63" s="5"/>
      <c r="Y63" s="29"/>
      <c r="Z63" s="24"/>
      <c r="AA63" s="30"/>
      <c r="AB63" s="30"/>
      <c r="AC63" s="30"/>
      <c r="AD63" s="20"/>
      <c r="AE63" s="20"/>
      <c r="AF63" s="20"/>
      <c r="AG63" s="20"/>
      <c r="AH63" s="20"/>
      <c r="AI63" s="20"/>
      <c r="AJ63" s="5"/>
      <c r="AK63" s="29"/>
      <c r="AL63" s="24"/>
      <c r="AM63" s="30"/>
      <c r="AN63" s="30"/>
      <c r="AO63" s="30"/>
      <c r="AP63" s="20"/>
      <c r="AQ63" s="20"/>
      <c r="AR63" s="20"/>
      <c r="AS63" s="20"/>
      <c r="AT63" s="20"/>
      <c r="AU63" s="20"/>
      <c r="AV63" s="5"/>
      <c r="AW63" s="29"/>
      <c r="AX63" s="24"/>
      <c r="AY63" s="30"/>
      <c r="AZ63" s="30"/>
      <c r="BA63" s="30"/>
      <c r="BB63" s="20"/>
      <c r="BC63" s="20"/>
      <c r="BD63" s="20"/>
      <c r="BE63" s="20"/>
      <c r="BF63" s="20"/>
      <c r="BG63" s="20"/>
      <c r="BH63" s="5"/>
      <c r="BI63" s="29"/>
      <c r="BJ63" s="24"/>
      <c r="BK63" s="30"/>
      <c r="BL63" s="30"/>
      <c r="BM63" s="30"/>
      <c r="BN63" s="20"/>
      <c r="BO63" s="20"/>
      <c r="BP63" s="20"/>
      <c r="BQ63" s="20"/>
      <c r="BR63" s="20"/>
      <c r="BS63" s="29"/>
    </row>
    <row r="64" spans="1:71" s="3" customFormat="1" ht="12.75">
      <c r="A64" s="3">
        <v>1997</v>
      </c>
      <c r="B64" s="38" t="s">
        <v>48</v>
      </c>
      <c r="C64" s="25">
        <f>+MITRE[[#This Row],[Trenes Puntuales]]/MITRE[[#This Row],[Trenes Programados]]</f>
        <v>0.98302648689343641</v>
      </c>
      <c r="D64" s="25">
        <f>+MITRE[[#This Row],[Trenes Puntuales]]/MITRE[[#This Row],[Trenes Corridos]]</f>
        <v>0.98558978933644414</v>
      </c>
      <c r="E64" s="25">
        <f>+MITRE[[#This Row],[Trenes Corridos]]/MITRE[[#This Row],[Trenes Programados]]</f>
        <v>0.99739921976592982</v>
      </c>
      <c r="F64" s="20">
        <v>14611</v>
      </c>
      <c r="G64" s="20">
        <f t="shared" si="8"/>
        <v>38</v>
      </c>
      <c r="H64" s="20">
        <v>14573</v>
      </c>
      <c r="I64" s="20">
        <v>14363</v>
      </c>
      <c r="J64" s="20">
        <f t="shared" si="9"/>
        <v>210</v>
      </c>
      <c r="K64" s="20"/>
      <c r="L64" s="5"/>
      <c r="M64" s="29"/>
      <c r="N64" s="24"/>
      <c r="O64" s="30"/>
      <c r="P64" s="30"/>
      <c r="Q64" s="30"/>
      <c r="R64" s="20"/>
      <c r="S64" s="20"/>
      <c r="T64" s="20"/>
      <c r="U64" s="20"/>
      <c r="V64" s="20"/>
      <c r="W64" s="20"/>
      <c r="X64" s="5"/>
      <c r="Y64" s="29"/>
      <c r="Z64" s="24"/>
      <c r="AA64" s="30"/>
      <c r="AB64" s="30"/>
      <c r="AC64" s="30"/>
      <c r="AD64" s="20"/>
      <c r="AE64" s="20"/>
      <c r="AF64" s="20"/>
      <c r="AG64" s="20"/>
      <c r="AH64" s="20"/>
      <c r="AI64" s="20"/>
      <c r="AJ64" s="5"/>
      <c r="AK64" s="29"/>
      <c r="AL64" s="24"/>
      <c r="AM64" s="30"/>
      <c r="AN64" s="30"/>
      <c r="AO64" s="30"/>
      <c r="AP64" s="20"/>
      <c r="AQ64" s="20"/>
      <c r="AR64" s="20"/>
      <c r="AS64" s="20"/>
      <c r="AT64" s="20"/>
      <c r="AU64" s="20"/>
      <c r="AV64" s="5"/>
      <c r="AW64" s="29"/>
      <c r="AX64" s="24"/>
      <c r="AY64" s="30"/>
      <c r="AZ64" s="30"/>
      <c r="BA64" s="30"/>
      <c r="BB64" s="20"/>
      <c r="BC64" s="20"/>
      <c r="BD64" s="20"/>
      <c r="BE64" s="20"/>
      <c r="BF64" s="20"/>
      <c r="BG64" s="20"/>
      <c r="BH64" s="5"/>
      <c r="BI64" s="29"/>
      <c r="BJ64" s="24"/>
      <c r="BK64" s="30"/>
      <c r="BL64" s="30"/>
      <c r="BM64" s="30"/>
      <c r="BN64" s="20"/>
      <c r="BO64" s="20"/>
      <c r="BP64" s="20"/>
      <c r="BQ64" s="20"/>
      <c r="BR64" s="20"/>
      <c r="BS64" s="29"/>
    </row>
    <row r="65" spans="1:71" s="3" customFormat="1" ht="12.75">
      <c r="A65" s="3">
        <v>1997</v>
      </c>
      <c r="B65" s="38" t="s">
        <v>49</v>
      </c>
      <c r="C65" s="25">
        <f>+MITRE[[#This Row],[Trenes Puntuales]]/MITRE[[#This Row],[Trenes Programados]]</f>
        <v>0.96187608124559487</v>
      </c>
      <c r="D65" s="25">
        <f>+MITRE[[#This Row],[Trenes Puntuales]]/MITRE[[#This Row],[Trenes Corridos]]</f>
        <v>0.96533984952736163</v>
      </c>
      <c r="E65" s="25">
        <f>+MITRE[[#This Row],[Trenes Corridos]]/MITRE[[#This Row],[Trenes Programados]]</f>
        <v>0.99641186647017366</v>
      </c>
      <c r="F65" s="20">
        <v>15607</v>
      </c>
      <c r="G65" s="20">
        <f t="shared" si="8"/>
        <v>56</v>
      </c>
      <c r="H65" s="20">
        <v>15551</v>
      </c>
      <c r="I65" s="20">
        <v>15012</v>
      </c>
      <c r="J65" s="20">
        <f t="shared" si="9"/>
        <v>539</v>
      </c>
      <c r="K65" s="20"/>
      <c r="L65" s="5"/>
      <c r="M65" s="29"/>
      <c r="N65" s="24"/>
      <c r="O65" s="30"/>
      <c r="P65" s="30"/>
      <c r="Q65" s="30"/>
      <c r="R65" s="20"/>
      <c r="S65" s="20"/>
      <c r="T65" s="20"/>
      <c r="U65" s="20"/>
      <c r="V65" s="20"/>
      <c r="W65" s="20"/>
      <c r="X65" s="5"/>
      <c r="Y65" s="29"/>
      <c r="Z65" s="24"/>
      <c r="AA65" s="30"/>
      <c r="AB65" s="30"/>
      <c r="AC65" s="30"/>
      <c r="AD65" s="20"/>
      <c r="AE65" s="20"/>
      <c r="AF65" s="20"/>
      <c r="AG65" s="20"/>
      <c r="AH65" s="20"/>
      <c r="AI65" s="20"/>
      <c r="AJ65" s="5"/>
      <c r="AK65" s="29"/>
      <c r="AL65" s="24"/>
      <c r="AM65" s="30"/>
      <c r="AN65" s="30"/>
      <c r="AO65" s="30"/>
      <c r="AP65" s="20"/>
      <c r="AQ65" s="20"/>
      <c r="AR65" s="20"/>
      <c r="AS65" s="20"/>
      <c r="AT65" s="20"/>
      <c r="AU65" s="20"/>
      <c r="AV65" s="5"/>
      <c r="AW65" s="29"/>
      <c r="AX65" s="24"/>
      <c r="AY65" s="30"/>
      <c r="AZ65" s="30"/>
      <c r="BA65" s="30"/>
      <c r="BB65" s="20"/>
      <c r="BC65" s="20"/>
      <c r="BD65" s="20"/>
      <c r="BE65" s="20"/>
      <c r="BF65" s="20"/>
      <c r="BG65" s="20"/>
      <c r="BH65" s="5"/>
      <c r="BI65" s="29"/>
      <c r="BJ65" s="24"/>
      <c r="BK65" s="30"/>
      <c r="BL65" s="30"/>
      <c r="BM65" s="30"/>
      <c r="BN65" s="20"/>
      <c r="BO65" s="20"/>
      <c r="BP65" s="20"/>
      <c r="BQ65" s="20"/>
      <c r="BR65" s="20"/>
      <c r="BS65" s="29"/>
    </row>
    <row r="66" spans="1:71" s="3" customFormat="1" ht="12.75">
      <c r="A66" s="3">
        <v>1998</v>
      </c>
      <c r="B66" s="38" t="s">
        <v>38</v>
      </c>
      <c r="C66" s="25">
        <f>+MITRE[[#This Row],[Trenes Puntuales]]/MITRE[[#This Row],[Trenes Programados]]</f>
        <v>0.97831202696686381</v>
      </c>
      <c r="D66" s="25">
        <f>+MITRE[[#This Row],[Trenes Puntuales]]/MITRE[[#This Row],[Trenes Corridos]]</f>
        <v>0.98061966084406482</v>
      </c>
      <c r="E66" s="25">
        <f>+MITRE[[#This Row],[Trenes Corridos]]/MITRE[[#This Row],[Trenes Programados]]</f>
        <v>0.99764675952426385</v>
      </c>
      <c r="F66" s="26">
        <v>15723</v>
      </c>
      <c r="G66" s="20">
        <f t="shared" ref="G66:G77" si="10">F66-H66</f>
        <v>37</v>
      </c>
      <c r="H66" s="26">
        <v>15686</v>
      </c>
      <c r="I66" s="26">
        <v>15382</v>
      </c>
      <c r="J66" s="20">
        <f t="shared" ref="J66:J77" si="11">H66-I66</f>
        <v>304</v>
      </c>
      <c r="K66" s="20"/>
      <c r="L66" s="5"/>
      <c r="M66" s="29"/>
      <c r="N66" s="24"/>
      <c r="O66" s="30"/>
      <c r="P66" s="30"/>
      <c r="Q66" s="30"/>
      <c r="R66" s="20"/>
      <c r="S66" s="20"/>
      <c r="T66" s="20"/>
      <c r="U66" s="20"/>
      <c r="V66" s="20"/>
      <c r="W66" s="20"/>
      <c r="X66" s="5"/>
      <c r="Y66" s="29"/>
      <c r="Z66" s="24"/>
      <c r="AA66" s="30"/>
      <c r="AB66" s="30"/>
      <c r="AC66" s="30"/>
      <c r="AD66" s="20"/>
      <c r="AE66" s="20"/>
      <c r="AF66" s="20"/>
      <c r="AG66" s="20"/>
      <c r="AH66" s="20"/>
      <c r="AI66" s="20"/>
      <c r="AJ66" s="5"/>
      <c r="AK66" s="29"/>
      <c r="AL66" s="24"/>
      <c r="AM66" s="30"/>
      <c r="AN66" s="30"/>
      <c r="AO66" s="30"/>
      <c r="AP66" s="20"/>
      <c r="AQ66" s="20"/>
      <c r="AR66" s="20"/>
      <c r="AS66" s="20"/>
      <c r="AT66" s="20"/>
      <c r="AU66" s="20"/>
      <c r="AV66" s="5"/>
      <c r="AW66" s="29"/>
      <c r="AX66" s="24"/>
      <c r="AY66" s="30"/>
      <c r="AZ66" s="30"/>
      <c r="BA66" s="30"/>
      <c r="BB66" s="20"/>
      <c r="BC66" s="20"/>
      <c r="BD66" s="20"/>
      <c r="BE66" s="20"/>
      <c r="BF66" s="20"/>
      <c r="BG66" s="20"/>
      <c r="BH66" s="5"/>
      <c r="BI66" s="29"/>
      <c r="BJ66" s="24"/>
      <c r="BK66" s="30"/>
      <c r="BL66" s="30"/>
      <c r="BM66" s="30"/>
      <c r="BN66" s="20"/>
      <c r="BO66" s="20"/>
      <c r="BP66" s="20"/>
      <c r="BQ66" s="20"/>
      <c r="BR66" s="20"/>
      <c r="BS66" s="29"/>
    </row>
    <row r="67" spans="1:71" s="3" customFormat="1" ht="12.75">
      <c r="A67" s="3">
        <v>1998</v>
      </c>
      <c r="B67" s="38" t="s">
        <v>39</v>
      </c>
      <c r="C67" s="25">
        <f>+MITRE[[#This Row],[Trenes Puntuales]]/MITRE[[#This Row],[Trenes Programados]]</f>
        <v>0.97418591706095181</v>
      </c>
      <c r="D67" s="25">
        <f>+MITRE[[#This Row],[Trenes Puntuales]]/MITRE[[#This Row],[Trenes Corridos]]</f>
        <v>0.98053084949926461</v>
      </c>
      <c r="E67" s="25">
        <f>+MITRE[[#This Row],[Trenes Corridos]]/MITRE[[#This Row],[Trenes Programados]]</f>
        <v>0.99352908433064291</v>
      </c>
      <c r="F67" s="26">
        <v>14372</v>
      </c>
      <c r="G67" s="20">
        <f t="shared" si="10"/>
        <v>93</v>
      </c>
      <c r="H67" s="26">
        <v>14279</v>
      </c>
      <c r="I67" s="26">
        <v>14001</v>
      </c>
      <c r="J67" s="20">
        <f t="shared" si="11"/>
        <v>278</v>
      </c>
      <c r="K67" s="20"/>
      <c r="L67" s="5"/>
      <c r="M67" s="29"/>
      <c r="N67" s="24"/>
      <c r="O67" s="30"/>
      <c r="P67" s="30"/>
      <c r="Q67" s="30"/>
      <c r="R67" s="20"/>
      <c r="S67" s="20"/>
      <c r="T67" s="20"/>
      <c r="U67" s="20"/>
      <c r="V67" s="20"/>
      <c r="W67" s="20"/>
      <c r="X67" s="5"/>
      <c r="Y67" s="29"/>
      <c r="Z67" s="24"/>
      <c r="AA67" s="30"/>
      <c r="AB67" s="30"/>
      <c r="AC67" s="30"/>
      <c r="AD67" s="20"/>
      <c r="AE67" s="20"/>
      <c r="AF67" s="20"/>
      <c r="AG67" s="20"/>
      <c r="AH67" s="20"/>
      <c r="AI67" s="20"/>
      <c r="AJ67" s="5"/>
      <c r="AK67" s="29"/>
      <c r="AL67" s="24"/>
      <c r="AM67" s="30"/>
      <c r="AN67" s="30"/>
      <c r="AO67" s="30"/>
      <c r="AP67" s="20"/>
      <c r="AQ67" s="20"/>
      <c r="AR67" s="20"/>
      <c r="AS67" s="20"/>
      <c r="AT67" s="20"/>
      <c r="AU67" s="20"/>
      <c r="AV67" s="5"/>
      <c r="AW67" s="29"/>
      <c r="AX67" s="24"/>
      <c r="AY67" s="30"/>
      <c r="AZ67" s="30"/>
      <c r="BA67" s="30"/>
      <c r="BB67" s="20"/>
      <c r="BC67" s="20"/>
      <c r="BD67" s="20"/>
      <c r="BE67" s="20"/>
      <c r="BF67" s="20"/>
      <c r="BG67" s="20"/>
      <c r="BH67" s="5"/>
      <c r="BI67" s="29"/>
      <c r="BJ67" s="24"/>
      <c r="BK67" s="30"/>
      <c r="BL67" s="30"/>
      <c r="BM67" s="30"/>
      <c r="BN67" s="20"/>
      <c r="BO67" s="20"/>
      <c r="BP67" s="20"/>
      <c r="BQ67" s="20"/>
      <c r="BR67" s="20"/>
      <c r="BS67" s="29"/>
    </row>
    <row r="68" spans="1:71" s="3" customFormat="1" ht="12.75">
      <c r="A68" s="3">
        <v>1998</v>
      </c>
      <c r="B68" s="38" t="s">
        <v>40</v>
      </c>
      <c r="C68" s="25">
        <f>+MITRE[[#This Row],[Trenes Puntuales]]/MITRE[[#This Row],[Trenes Programados]]</f>
        <v>0.97953124012887738</v>
      </c>
      <c r="D68" s="25">
        <f>+MITRE[[#This Row],[Trenes Puntuales]]/MITRE[[#This Row],[Trenes Corridos]]</f>
        <v>0.9810807390534042</v>
      </c>
      <c r="E68" s="25">
        <f>+MITRE[[#This Row],[Trenes Corridos]]/MITRE[[#This Row],[Trenes Programados]]</f>
        <v>0.99842062038031465</v>
      </c>
      <c r="F68" s="26">
        <v>15829</v>
      </c>
      <c r="G68" s="20">
        <f t="shared" si="10"/>
        <v>25</v>
      </c>
      <c r="H68" s="26">
        <v>15804</v>
      </c>
      <c r="I68" s="26">
        <v>15505</v>
      </c>
      <c r="J68" s="20">
        <f t="shared" si="11"/>
        <v>299</v>
      </c>
      <c r="K68" s="20"/>
      <c r="L68" s="5"/>
      <c r="M68" s="29"/>
      <c r="N68" s="24"/>
      <c r="O68" s="30"/>
      <c r="P68" s="30"/>
      <c r="Q68" s="30"/>
      <c r="R68" s="20"/>
      <c r="S68" s="20"/>
      <c r="T68" s="20"/>
      <c r="U68" s="20"/>
      <c r="V68" s="20"/>
      <c r="W68" s="20"/>
      <c r="X68" s="5"/>
      <c r="Y68" s="29"/>
      <c r="Z68" s="24"/>
      <c r="AA68" s="30"/>
      <c r="AB68" s="30"/>
      <c r="AC68" s="30"/>
      <c r="AD68" s="20"/>
      <c r="AE68" s="20"/>
      <c r="AF68" s="20"/>
      <c r="AG68" s="20"/>
      <c r="AH68" s="20"/>
      <c r="AI68" s="20"/>
      <c r="AJ68" s="5"/>
      <c r="AK68" s="29"/>
      <c r="AL68" s="24"/>
      <c r="AM68" s="30"/>
      <c r="AN68" s="30"/>
      <c r="AO68" s="30"/>
      <c r="AP68" s="20"/>
      <c r="AQ68" s="20"/>
      <c r="AR68" s="20"/>
      <c r="AS68" s="20"/>
      <c r="AT68" s="20"/>
      <c r="AU68" s="20"/>
      <c r="AV68" s="5"/>
      <c r="AW68" s="29"/>
      <c r="AX68" s="24"/>
      <c r="AY68" s="30"/>
      <c r="AZ68" s="30"/>
      <c r="BA68" s="30"/>
      <c r="BB68" s="20"/>
      <c r="BC68" s="20"/>
      <c r="BD68" s="20"/>
      <c r="BE68" s="20"/>
      <c r="BF68" s="20"/>
      <c r="BG68" s="20"/>
      <c r="BH68" s="5"/>
      <c r="BI68" s="29"/>
      <c r="BJ68" s="24"/>
      <c r="BK68" s="30"/>
      <c r="BL68" s="30"/>
      <c r="BM68" s="30"/>
      <c r="BN68" s="20"/>
      <c r="BO68" s="20"/>
      <c r="BP68" s="20"/>
      <c r="BQ68" s="20"/>
      <c r="BR68" s="20"/>
      <c r="BS68" s="29"/>
    </row>
    <row r="69" spans="1:71" s="3" customFormat="1" ht="12.75">
      <c r="A69" s="3">
        <v>1998</v>
      </c>
      <c r="B69" s="38" t="s">
        <v>41</v>
      </c>
      <c r="C69" s="25">
        <f>+MITRE[[#This Row],[Trenes Puntuales]]/MITRE[[#This Row],[Trenes Programados]]</f>
        <v>0.96411028882048599</v>
      </c>
      <c r="D69" s="25">
        <f>+MITRE[[#This Row],[Trenes Puntuales]]/MITRE[[#This Row],[Trenes Corridos]]</f>
        <v>0.96715064713225152</v>
      </c>
      <c r="E69" s="25">
        <f>+MITRE[[#This Row],[Trenes Corridos]]/MITRE[[#This Row],[Trenes Programados]]</f>
        <v>0.99685637566310825</v>
      </c>
      <c r="F69" s="26">
        <v>15269</v>
      </c>
      <c r="G69" s="20">
        <f t="shared" si="10"/>
        <v>48</v>
      </c>
      <c r="H69" s="26">
        <v>15221</v>
      </c>
      <c r="I69" s="26">
        <v>14721</v>
      </c>
      <c r="J69" s="20">
        <f t="shared" si="11"/>
        <v>500</v>
      </c>
      <c r="K69" s="20"/>
      <c r="L69" s="5"/>
      <c r="M69" s="29"/>
      <c r="N69" s="24"/>
      <c r="O69" s="30"/>
      <c r="P69" s="30"/>
      <c r="Q69" s="30"/>
      <c r="R69" s="20"/>
      <c r="S69" s="20"/>
      <c r="T69" s="20"/>
      <c r="U69" s="20"/>
      <c r="V69" s="20"/>
      <c r="W69" s="20"/>
      <c r="X69" s="5"/>
      <c r="Y69" s="29"/>
      <c r="Z69" s="24"/>
      <c r="AA69" s="30"/>
      <c r="AB69" s="30"/>
      <c r="AC69" s="30"/>
      <c r="AD69" s="20"/>
      <c r="AE69" s="20"/>
      <c r="AF69" s="20"/>
      <c r="AG69" s="20"/>
      <c r="AH69" s="20"/>
      <c r="AI69" s="20"/>
      <c r="AJ69" s="5"/>
      <c r="AK69" s="29"/>
      <c r="AL69" s="24"/>
      <c r="AM69" s="30"/>
      <c r="AN69" s="30"/>
      <c r="AO69" s="30"/>
      <c r="AP69" s="20"/>
      <c r="AQ69" s="20"/>
      <c r="AR69" s="20"/>
      <c r="AS69" s="20"/>
      <c r="AT69" s="20"/>
      <c r="AU69" s="20"/>
      <c r="AV69" s="5"/>
      <c r="AW69" s="29"/>
      <c r="AX69" s="24"/>
      <c r="AY69" s="30"/>
      <c r="AZ69" s="30"/>
      <c r="BA69" s="30"/>
      <c r="BB69" s="20"/>
      <c r="BC69" s="20"/>
      <c r="BD69" s="20"/>
      <c r="BE69" s="20"/>
      <c r="BF69" s="20"/>
      <c r="BG69" s="20"/>
      <c r="BH69" s="5"/>
      <c r="BI69" s="29"/>
      <c r="BJ69" s="24"/>
      <c r="BK69" s="30"/>
      <c r="BL69" s="30"/>
      <c r="BM69" s="30"/>
      <c r="BN69" s="20"/>
      <c r="BO69" s="20"/>
      <c r="BP69" s="20"/>
      <c r="BQ69" s="20"/>
      <c r="BR69" s="20"/>
      <c r="BS69" s="29"/>
    </row>
    <row r="70" spans="1:71" s="3" customFormat="1" ht="12.75">
      <c r="A70" s="3">
        <v>1998</v>
      </c>
      <c r="B70" s="38" t="s">
        <v>42</v>
      </c>
      <c r="C70" s="25">
        <f>+MITRE[[#This Row],[Trenes Puntuales]]/MITRE[[#This Row],[Trenes Programados]]</f>
        <v>0.98075160403299722</v>
      </c>
      <c r="D70" s="25">
        <f>+MITRE[[#This Row],[Trenes Puntuales]]/MITRE[[#This Row],[Trenes Corridos]]</f>
        <v>0.98216627327563599</v>
      </c>
      <c r="E70" s="25">
        <f>+MITRE[[#This Row],[Trenes Corridos]]/MITRE[[#This Row],[Trenes Programados]]</f>
        <v>0.99855964383920393</v>
      </c>
      <c r="F70" s="26">
        <v>15274</v>
      </c>
      <c r="G70" s="20">
        <f t="shared" si="10"/>
        <v>22</v>
      </c>
      <c r="H70" s="26">
        <v>15252</v>
      </c>
      <c r="I70" s="26">
        <v>14980</v>
      </c>
      <c r="J70" s="20">
        <f t="shared" si="11"/>
        <v>272</v>
      </c>
      <c r="K70" s="20"/>
      <c r="L70" s="5"/>
      <c r="M70" s="29"/>
      <c r="N70" s="24"/>
      <c r="O70" s="30"/>
      <c r="P70" s="30"/>
      <c r="Q70" s="30"/>
      <c r="R70" s="20"/>
      <c r="S70" s="20"/>
      <c r="T70" s="20"/>
      <c r="U70" s="20"/>
      <c r="V70" s="20"/>
      <c r="W70" s="20"/>
      <c r="X70" s="5"/>
      <c r="Y70" s="29"/>
      <c r="Z70" s="24"/>
      <c r="AA70" s="30"/>
      <c r="AB70" s="30"/>
      <c r="AC70" s="30"/>
      <c r="AD70" s="20"/>
      <c r="AE70" s="20"/>
      <c r="AF70" s="20"/>
      <c r="AG70" s="20"/>
      <c r="AH70" s="20"/>
      <c r="AI70" s="20"/>
      <c r="AJ70" s="5"/>
      <c r="AK70" s="29"/>
      <c r="AL70" s="24"/>
      <c r="AM70" s="30"/>
      <c r="AN70" s="30"/>
      <c r="AO70" s="30"/>
      <c r="AP70" s="20"/>
      <c r="AQ70" s="20"/>
      <c r="AR70" s="20"/>
      <c r="AS70" s="20"/>
      <c r="AT70" s="20"/>
      <c r="AU70" s="20"/>
      <c r="AV70" s="5"/>
      <c r="AW70" s="29"/>
      <c r="AX70" s="24"/>
      <c r="AY70" s="30"/>
      <c r="AZ70" s="30"/>
      <c r="BA70" s="30"/>
      <c r="BB70" s="20"/>
      <c r="BC70" s="20"/>
      <c r="BD70" s="20"/>
      <c r="BE70" s="20"/>
      <c r="BF70" s="20"/>
      <c r="BG70" s="20"/>
      <c r="BH70" s="5"/>
      <c r="BI70" s="29"/>
      <c r="BJ70" s="24"/>
      <c r="BK70" s="30"/>
      <c r="BL70" s="30"/>
      <c r="BM70" s="30"/>
      <c r="BN70" s="20"/>
      <c r="BO70" s="20"/>
      <c r="BP70" s="20"/>
      <c r="BQ70" s="20"/>
      <c r="BR70" s="20"/>
      <c r="BS70" s="29"/>
    </row>
    <row r="71" spans="1:71" s="3" customFormat="1" ht="12.75">
      <c r="A71" s="3">
        <v>1998</v>
      </c>
      <c r="B71" s="38" t="s">
        <v>43</v>
      </c>
      <c r="C71" s="25">
        <f>+MITRE[[#This Row],[Trenes Puntuales]]/MITRE[[#This Row],[Trenes Programados]]</f>
        <v>0.97827656362801074</v>
      </c>
      <c r="D71" s="25">
        <f>+MITRE[[#This Row],[Trenes Puntuales]]/MITRE[[#This Row],[Trenes Corridos]]</f>
        <v>0.98246770366464542</v>
      </c>
      <c r="E71" s="25">
        <f>+MITRE[[#This Row],[Trenes Corridos]]/MITRE[[#This Row],[Trenes Programados]]</f>
        <v>0.99573406838616529</v>
      </c>
      <c r="F71" s="26">
        <v>15237</v>
      </c>
      <c r="G71" s="20">
        <f t="shared" si="10"/>
        <v>65</v>
      </c>
      <c r="H71" s="26">
        <v>15172</v>
      </c>
      <c r="I71" s="26">
        <v>14906</v>
      </c>
      <c r="J71" s="20">
        <f t="shared" si="11"/>
        <v>266</v>
      </c>
      <c r="K71" s="20"/>
      <c r="L71" s="5"/>
      <c r="M71" s="29"/>
      <c r="N71" s="24"/>
      <c r="O71" s="30"/>
      <c r="P71" s="30"/>
      <c r="Q71" s="30"/>
      <c r="R71" s="20"/>
      <c r="S71" s="20"/>
      <c r="T71" s="20"/>
      <c r="U71" s="20"/>
      <c r="V71" s="20"/>
      <c r="W71" s="20"/>
      <c r="X71" s="5"/>
      <c r="Y71" s="29"/>
      <c r="Z71" s="24"/>
      <c r="AA71" s="30"/>
      <c r="AB71" s="30"/>
      <c r="AC71" s="30"/>
      <c r="AD71" s="20"/>
      <c r="AE71" s="20"/>
      <c r="AF71" s="20"/>
      <c r="AG71" s="20"/>
      <c r="AH71" s="20"/>
      <c r="AI71" s="20"/>
      <c r="AJ71" s="5"/>
      <c r="AK71" s="29"/>
      <c r="AL71" s="24"/>
      <c r="AM71" s="30"/>
      <c r="AN71" s="30"/>
      <c r="AO71" s="30"/>
      <c r="AP71" s="20"/>
      <c r="AQ71" s="20"/>
      <c r="AR71" s="20"/>
      <c r="AS71" s="20"/>
      <c r="AT71" s="20"/>
      <c r="AU71" s="20"/>
      <c r="AV71" s="5"/>
      <c r="AW71" s="29"/>
      <c r="AX71" s="24"/>
      <c r="AY71" s="30"/>
      <c r="AZ71" s="30"/>
      <c r="BA71" s="30"/>
      <c r="BB71" s="20"/>
      <c r="BC71" s="20"/>
      <c r="BD71" s="20"/>
      <c r="BE71" s="20"/>
      <c r="BF71" s="20"/>
      <c r="BG71" s="20"/>
      <c r="BH71" s="5"/>
      <c r="BI71" s="29"/>
      <c r="BJ71" s="24"/>
      <c r="BK71" s="30"/>
      <c r="BL71" s="30"/>
      <c r="BM71" s="30"/>
      <c r="BN71" s="20"/>
      <c r="BO71" s="20"/>
      <c r="BP71" s="20"/>
      <c r="BQ71" s="20"/>
      <c r="BR71" s="20"/>
      <c r="BS71" s="29"/>
    </row>
    <row r="72" spans="1:71" s="3" customFormat="1" ht="12.75">
      <c r="A72" s="3">
        <v>1998</v>
      </c>
      <c r="B72" s="38" t="s">
        <v>44</v>
      </c>
      <c r="C72" s="25">
        <f>+MITRE[[#This Row],[Trenes Puntuales]]/MITRE[[#This Row],[Trenes Programados]]</f>
        <v>0.97491392031480573</v>
      </c>
      <c r="D72" s="25">
        <f>+MITRE[[#This Row],[Trenes Puntuales]]/MITRE[[#This Row],[Trenes Corridos]]</f>
        <v>0.97695625385089335</v>
      </c>
      <c r="E72" s="25">
        <f>+MITRE[[#This Row],[Trenes Corridos]]/MITRE[[#This Row],[Trenes Programados]]</f>
        <v>0.99790949335956713</v>
      </c>
      <c r="F72" s="26">
        <v>16264</v>
      </c>
      <c r="G72" s="20">
        <f t="shared" si="10"/>
        <v>34</v>
      </c>
      <c r="H72" s="26">
        <v>16230</v>
      </c>
      <c r="I72" s="26">
        <v>15856</v>
      </c>
      <c r="J72" s="20">
        <f t="shared" si="11"/>
        <v>374</v>
      </c>
      <c r="K72" s="20"/>
      <c r="L72" s="5"/>
      <c r="M72" s="29"/>
      <c r="N72" s="24"/>
      <c r="O72" s="30"/>
      <c r="P72" s="30"/>
      <c r="Q72" s="30"/>
      <c r="R72" s="20"/>
      <c r="S72" s="20"/>
      <c r="T72" s="20"/>
      <c r="U72" s="20"/>
      <c r="V72" s="20"/>
      <c r="W72" s="20"/>
      <c r="X72" s="5"/>
      <c r="Y72" s="29"/>
      <c r="Z72" s="24"/>
      <c r="AA72" s="30"/>
      <c r="AB72" s="30"/>
      <c r="AC72" s="30"/>
      <c r="AD72" s="20"/>
      <c r="AE72" s="20"/>
      <c r="AF72" s="20"/>
      <c r="AG72" s="20"/>
      <c r="AH72" s="20"/>
      <c r="AI72" s="20"/>
      <c r="AJ72" s="5"/>
      <c r="AK72" s="29"/>
      <c r="AL72" s="24"/>
      <c r="AM72" s="30"/>
      <c r="AN72" s="30"/>
      <c r="AO72" s="30"/>
      <c r="AP72" s="20"/>
      <c r="AQ72" s="20"/>
      <c r="AR72" s="20"/>
      <c r="AS72" s="20"/>
      <c r="AT72" s="20"/>
      <c r="AU72" s="20"/>
      <c r="AV72" s="5"/>
      <c r="AW72" s="29"/>
      <c r="AX72" s="24"/>
      <c r="AY72" s="30"/>
      <c r="AZ72" s="30"/>
      <c r="BA72" s="30"/>
      <c r="BB72" s="20"/>
      <c r="BC72" s="20"/>
      <c r="BD72" s="20"/>
      <c r="BE72" s="20"/>
      <c r="BF72" s="20"/>
      <c r="BG72" s="20"/>
      <c r="BH72" s="5"/>
      <c r="BI72" s="29"/>
      <c r="BJ72" s="24"/>
      <c r="BK72" s="30"/>
      <c r="BL72" s="30"/>
      <c r="BM72" s="30"/>
      <c r="BN72" s="20"/>
      <c r="BO72" s="20"/>
      <c r="BP72" s="20"/>
      <c r="BQ72" s="20"/>
      <c r="BR72" s="20"/>
      <c r="BS72" s="29"/>
    </row>
    <row r="73" spans="1:71" s="3" customFormat="1" ht="12.75">
      <c r="A73" s="3">
        <v>1998</v>
      </c>
      <c r="B73" s="38" t="s">
        <v>45</v>
      </c>
      <c r="C73" s="25">
        <f>+MITRE[[#This Row],[Trenes Puntuales]]/MITRE[[#This Row],[Trenes Programados]]</f>
        <v>0.9742672440846043</v>
      </c>
      <c r="D73" s="25">
        <f>+MITRE[[#This Row],[Trenes Puntuales]]/MITRE[[#This Row],[Trenes Corridos]]</f>
        <v>0.97696519604758014</v>
      </c>
      <c r="E73" s="25">
        <f>+MITRE[[#This Row],[Trenes Corridos]]/MITRE[[#This Row],[Trenes Programados]]</f>
        <v>0.99723843595054285</v>
      </c>
      <c r="F73" s="26">
        <v>15933</v>
      </c>
      <c r="G73" s="20">
        <f t="shared" si="10"/>
        <v>44</v>
      </c>
      <c r="H73" s="26">
        <v>15889</v>
      </c>
      <c r="I73" s="26">
        <v>15523</v>
      </c>
      <c r="J73" s="20">
        <f t="shared" si="11"/>
        <v>366</v>
      </c>
      <c r="K73" s="20"/>
      <c r="L73" s="5"/>
      <c r="M73" s="29"/>
      <c r="N73" s="24"/>
      <c r="O73" s="30"/>
      <c r="P73" s="30"/>
      <c r="Q73" s="30"/>
      <c r="R73" s="20"/>
      <c r="S73" s="20"/>
      <c r="T73" s="20"/>
      <c r="U73" s="20"/>
      <c r="V73" s="20"/>
      <c r="W73" s="20"/>
      <c r="X73" s="5"/>
      <c r="Y73" s="29"/>
      <c r="Z73" s="24"/>
      <c r="AA73" s="30"/>
      <c r="AB73" s="30"/>
      <c r="AC73" s="30"/>
      <c r="AD73" s="20"/>
      <c r="AE73" s="20"/>
      <c r="AF73" s="20"/>
      <c r="AG73" s="20"/>
      <c r="AH73" s="20"/>
      <c r="AI73" s="20"/>
      <c r="AJ73" s="5"/>
      <c r="AK73" s="29"/>
      <c r="AL73" s="24"/>
      <c r="AM73" s="30"/>
      <c r="AN73" s="30"/>
      <c r="AO73" s="30"/>
      <c r="AP73" s="20"/>
      <c r="AQ73" s="20"/>
      <c r="AR73" s="20"/>
      <c r="AS73" s="20"/>
      <c r="AT73" s="20"/>
      <c r="AU73" s="20"/>
      <c r="AV73" s="5"/>
      <c r="AW73" s="29"/>
      <c r="AX73" s="24"/>
      <c r="AY73" s="30"/>
      <c r="AZ73" s="30"/>
      <c r="BA73" s="30"/>
      <c r="BB73" s="20"/>
      <c r="BC73" s="20"/>
      <c r="BD73" s="20"/>
      <c r="BE73" s="20"/>
      <c r="BF73" s="20"/>
      <c r="BG73" s="20"/>
      <c r="BH73" s="5"/>
      <c r="BI73" s="29"/>
      <c r="BJ73" s="24"/>
      <c r="BK73" s="30"/>
      <c r="BL73" s="30"/>
      <c r="BM73" s="30"/>
      <c r="BN73" s="20"/>
      <c r="BO73" s="20"/>
      <c r="BP73" s="20"/>
      <c r="BQ73" s="20"/>
      <c r="BR73" s="20"/>
      <c r="BS73" s="29"/>
    </row>
    <row r="74" spans="1:71" s="3" customFormat="1" ht="12.75">
      <c r="A74" s="3">
        <v>1998</v>
      </c>
      <c r="B74" s="38" t="s">
        <v>46</v>
      </c>
      <c r="C74" s="25">
        <f>+MITRE[[#This Row],[Trenes Puntuales]]/MITRE[[#This Row],[Trenes Programados]]</f>
        <v>0.96063041567248519</v>
      </c>
      <c r="D74" s="25">
        <f>+MITRE[[#This Row],[Trenes Puntuales]]/MITRE[[#This Row],[Trenes Corridos]]</f>
        <v>0.97607502870996554</v>
      </c>
      <c r="E74" s="25">
        <f>+MITRE[[#This Row],[Trenes Corridos]]/MITRE[[#This Row],[Trenes Programados]]</f>
        <v>0.98417681778224286</v>
      </c>
      <c r="F74" s="26">
        <v>15926</v>
      </c>
      <c r="G74" s="20">
        <f t="shared" si="10"/>
        <v>252</v>
      </c>
      <c r="H74" s="26">
        <v>15674</v>
      </c>
      <c r="I74" s="26">
        <v>15299</v>
      </c>
      <c r="J74" s="20">
        <f t="shared" si="11"/>
        <v>375</v>
      </c>
      <c r="K74" s="20"/>
      <c r="L74" s="5"/>
      <c r="M74" s="29"/>
      <c r="N74" s="24"/>
      <c r="O74" s="30"/>
      <c r="P74" s="30"/>
      <c r="Q74" s="30"/>
      <c r="R74" s="20"/>
      <c r="S74" s="20"/>
      <c r="T74" s="20"/>
      <c r="U74" s="20"/>
      <c r="V74" s="20"/>
      <c r="W74" s="20"/>
      <c r="X74" s="5"/>
      <c r="Y74" s="29"/>
      <c r="Z74" s="24"/>
      <c r="AA74" s="30"/>
      <c r="AB74" s="30"/>
      <c r="AC74" s="30"/>
      <c r="AD74" s="20"/>
      <c r="AE74" s="20"/>
      <c r="AF74" s="20"/>
      <c r="AG74" s="20"/>
      <c r="AH74" s="20"/>
      <c r="AI74" s="20"/>
      <c r="AJ74" s="5"/>
      <c r="AK74" s="29"/>
      <c r="AL74" s="24"/>
      <c r="AM74" s="30"/>
      <c r="AN74" s="30"/>
      <c r="AO74" s="30"/>
      <c r="AP74" s="20"/>
      <c r="AQ74" s="20"/>
      <c r="AR74" s="20"/>
      <c r="AS74" s="20"/>
      <c r="AT74" s="20"/>
      <c r="AU74" s="20"/>
      <c r="AV74" s="5"/>
      <c r="AW74" s="29"/>
      <c r="AX74" s="24"/>
      <c r="AY74" s="30"/>
      <c r="AZ74" s="30"/>
      <c r="BA74" s="30"/>
      <c r="BB74" s="20"/>
      <c r="BC74" s="20"/>
      <c r="BD74" s="20"/>
      <c r="BE74" s="20"/>
      <c r="BF74" s="20"/>
      <c r="BG74" s="20"/>
      <c r="BH74" s="5"/>
      <c r="BI74" s="29"/>
      <c r="BJ74" s="24"/>
      <c r="BK74" s="30"/>
      <c r="BL74" s="30"/>
      <c r="BM74" s="30"/>
      <c r="BN74" s="20"/>
      <c r="BO74" s="20"/>
      <c r="BP74" s="20"/>
      <c r="BQ74" s="20"/>
      <c r="BR74" s="20"/>
      <c r="BS74" s="29"/>
    </row>
    <row r="75" spans="1:71" s="3" customFormat="1" ht="12.75">
      <c r="A75" s="3">
        <v>1998</v>
      </c>
      <c r="B75" s="38" t="s">
        <v>47</v>
      </c>
      <c r="C75" s="25">
        <f>+MITRE[[#This Row],[Trenes Puntuales]]/MITRE[[#This Row],[Trenes Programados]]</f>
        <v>0.98237912699394092</v>
      </c>
      <c r="D75" s="25">
        <f>+MITRE[[#This Row],[Trenes Puntuales]]/MITRE[[#This Row],[Trenes Corridos]]</f>
        <v>0.98450957308383424</v>
      </c>
      <c r="E75" s="25">
        <f>+MITRE[[#This Row],[Trenes Corridos]]/MITRE[[#This Row],[Trenes Programados]]</f>
        <v>0.99783603313960678</v>
      </c>
      <c r="F75" s="26">
        <v>16174</v>
      </c>
      <c r="G75" s="20">
        <f t="shared" si="10"/>
        <v>35</v>
      </c>
      <c r="H75" s="26">
        <v>16139</v>
      </c>
      <c r="I75" s="26">
        <v>15889</v>
      </c>
      <c r="J75" s="20">
        <f t="shared" si="11"/>
        <v>250</v>
      </c>
      <c r="K75" s="20"/>
      <c r="L75" s="5"/>
      <c r="M75" s="29"/>
      <c r="N75" s="24"/>
      <c r="O75" s="30"/>
      <c r="P75" s="30"/>
      <c r="Q75" s="30"/>
      <c r="R75" s="20"/>
      <c r="S75" s="20"/>
      <c r="T75" s="20"/>
      <c r="U75" s="20"/>
      <c r="V75" s="20"/>
      <c r="W75" s="20"/>
      <c r="X75" s="5"/>
      <c r="Y75" s="29"/>
      <c r="Z75" s="24"/>
      <c r="AA75" s="30"/>
      <c r="AB75" s="30"/>
      <c r="AC75" s="30"/>
      <c r="AD75" s="20"/>
      <c r="AE75" s="20"/>
      <c r="AF75" s="20"/>
      <c r="AG75" s="20"/>
      <c r="AH75" s="20"/>
      <c r="AI75" s="20"/>
      <c r="AJ75" s="5"/>
      <c r="AK75" s="29"/>
      <c r="AL75" s="24"/>
      <c r="AM75" s="30"/>
      <c r="AN75" s="30"/>
      <c r="AO75" s="30"/>
      <c r="AP75" s="20"/>
      <c r="AQ75" s="20"/>
      <c r="AR75" s="20"/>
      <c r="AS75" s="20"/>
      <c r="AT75" s="20"/>
      <c r="AU75" s="20"/>
      <c r="AV75" s="5"/>
      <c r="AW75" s="29"/>
      <c r="AX75" s="24"/>
      <c r="AY75" s="30"/>
      <c r="AZ75" s="30"/>
      <c r="BA75" s="30"/>
      <c r="BB75" s="20"/>
      <c r="BC75" s="20"/>
      <c r="BD75" s="20"/>
      <c r="BE75" s="20"/>
      <c r="BF75" s="20"/>
      <c r="BG75" s="20"/>
      <c r="BH75" s="5"/>
      <c r="BI75" s="29"/>
      <c r="BJ75" s="24"/>
      <c r="BK75" s="30"/>
      <c r="BL75" s="30"/>
      <c r="BM75" s="30"/>
      <c r="BN75" s="20"/>
      <c r="BO75" s="20"/>
      <c r="BP75" s="20"/>
      <c r="BQ75" s="20"/>
      <c r="BR75" s="20"/>
      <c r="BS75" s="29"/>
    </row>
    <row r="76" spans="1:71" s="3" customFormat="1" ht="12.75">
      <c r="A76" s="3">
        <v>1998</v>
      </c>
      <c r="B76" s="38" t="s">
        <v>48</v>
      </c>
      <c r="C76" s="25">
        <f>+MITRE[[#This Row],[Trenes Puntuales]]/MITRE[[#This Row],[Trenes Programados]]</f>
        <v>0.96735942879000381</v>
      </c>
      <c r="D76" s="25">
        <f>+MITRE[[#This Row],[Trenes Puntuales]]/MITRE[[#This Row],[Trenes Corridos]]</f>
        <v>0.97783219487047301</v>
      </c>
      <c r="E76" s="25">
        <f>+MITRE[[#This Row],[Trenes Corridos]]/MITRE[[#This Row],[Trenes Programados]]</f>
        <v>0.98928981257172</v>
      </c>
      <c r="F76" s="26">
        <v>15686</v>
      </c>
      <c r="G76" s="20">
        <f t="shared" si="10"/>
        <v>168</v>
      </c>
      <c r="H76" s="26">
        <v>15518</v>
      </c>
      <c r="I76" s="26">
        <v>15174</v>
      </c>
      <c r="J76" s="20">
        <f t="shared" si="11"/>
        <v>344</v>
      </c>
      <c r="K76" s="20"/>
      <c r="L76" s="5"/>
      <c r="M76" s="29"/>
      <c r="N76" s="24"/>
      <c r="O76" s="30"/>
      <c r="P76" s="30"/>
      <c r="Q76" s="30"/>
      <c r="R76" s="20"/>
      <c r="S76" s="20"/>
      <c r="T76" s="20"/>
      <c r="U76" s="20"/>
      <c r="V76" s="20"/>
      <c r="W76" s="20"/>
      <c r="X76" s="5"/>
      <c r="Y76" s="29"/>
      <c r="Z76" s="24"/>
      <c r="AA76" s="30"/>
      <c r="AB76" s="30"/>
      <c r="AC76" s="30"/>
      <c r="AD76" s="20"/>
      <c r="AE76" s="20"/>
      <c r="AF76" s="20"/>
      <c r="AG76" s="20"/>
      <c r="AH76" s="20"/>
      <c r="AI76" s="20"/>
      <c r="AJ76" s="5"/>
      <c r="AK76" s="29"/>
      <c r="AL76" s="24"/>
      <c r="AM76" s="30"/>
      <c r="AN76" s="30"/>
      <c r="AO76" s="30"/>
      <c r="AP76" s="20"/>
      <c r="AQ76" s="20"/>
      <c r="AR76" s="20"/>
      <c r="AS76" s="20"/>
      <c r="AT76" s="20"/>
      <c r="AU76" s="20"/>
      <c r="AV76" s="5"/>
      <c r="AW76" s="29"/>
      <c r="AX76" s="24"/>
      <c r="AY76" s="30"/>
      <c r="AZ76" s="30"/>
      <c r="BA76" s="30"/>
      <c r="BB76" s="20"/>
      <c r="BC76" s="20"/>
      <c r="BD76" s="20"/>
      <c r="BE76" s="20"/>
      <c r="BF76" s="20"/>
      <c r="BG76" s="20"/>
      <c r="BH76" s="5"/>
      <c r="BI76" s="29"/>
      <c r="BJ76" s="24"/>
      <c r="BK76" s="30"/>
      <c r="BL76" s="30"/>
      <c r="BM76" s="30"/>
      <c r="BN76" s="20"/>
      <c r="BO76" s="20"/>
      <c r="BP76" s="20"/>
      <c r="BQ76" s="20"/>
      <c r="BR76" s="20"/>
      <c r="BS76" s="29"/>
    </row>
    <row r="77" spans="1:71" s="3" customFormat="1" ht="12.75">
      <c r="A77" s="3">
        <v>1998</v>
      </c>
      <c r="B77" s="38" t="s">
        <v>49</v>
      </c>
      <c r="C77" s="25">
        <f>+MITRE[[#This Row],[Trenes Puntuales]]/MITRE[[#This Row],[Trenes Programados]]</f>
        <v>0.94564403394907637</v>
      </c>
      <c r="D77" s="25">
        <f>+MITRE[[#This Row],[Trenes Puntuales]]/MITRE[[#This Row],[Trenes Corridos]]</f>
        <v>0.98293980280228332</v>
      </c>
      <c r="E77" s="25">
        <f>+MITRE[[#This Row],[Trenes Corridos]]/MITRE[[#This Row],[Trenes Programados]]</f>
        <v>0.96205691462805787</v>
      </c>
      <c r="F77" s="26">
        <v>16024</v>
      </c>
      <c r="G77" s="20">
        <f t="shared" si="10"/>
        <v>608</v>
      </c>
      <c r="H77" s="26">
        <v>15416</v>
      </c>
      <c r="I77" s="26">
        <v>15153</v>
      </c>
      <c r="J77" s="20">
        <f t="shared" si="11"/>
        <v>263</v>
      </c>
      <c r="K77" s="20"/>
      <c r="L77" s="5"/>
      <c r="M77" s="29"/>
      <c r="N77" s="24"/>
      <c r="O77" s="30"/>
      <c r="P77" s="30"/>
      <c r="Q77" s="30"/>
      <c r="R77" s="20"/>
      <c r="S77" s="20"/>
      <c r="T77" s="20"/>
      <c r="U77" s="20"/>
      <c r="V77" s="20"/>
      <c r="W77" s="20"/>
      <c r="X77" s="5"/>
      <c r="Y77" s="29"/>
      <c r="Z77" s="24"/>
      <c r="AA77" s="30"/>
      <c r="AB77" s="30"/>
      <c r="AC77" s="30"/>
      <c r="AD77" s="20"/>
      <c r="AE77" s="20"/>
      <c r="AF77" s="20"/>
      <c r="AG77" s="20"/>
      <c r="AH77" s="20"/>
      <c r="AI77" s="20"/>
      <c r="AJ77" s="5"/>
      <c r="AK77" s="29"/>
      <c r="AL77" s="24"/>
      <c r="AM77" s="30"/>
      <c r="AN77" s="30"/>
      <c r="AO77" s="30"/>
      <c r="AP77" s="20"/>
      <c r="AQ77" s="20"/>
      <c r="AR77" s="20"/>
      <c r="AS77" s="20"/>
      <c r="AT77" s="20"/>
      <c r="AU77" s="20"/>
      <c r="AV77" s="5"/>
      <c r="AW77" s="29"/>
      <c r="AX77" s="24"/>
      <c r="AY77" s="30"/>
      <c r="AZ77" s="30"/>
      <c r="BA77" s="30"/>
      <c r="BB77" s="20"/>
      <c r="BC77" s="20"/>
      <c r="BD77" s="20"/>
      <c r="BE77" s="20"/>
      <c r="BF77" s="20"/>
      <c r="BG77" s="20"/>
      <c r="BH77" s="5"/>
      <c r="BI77" s="29"/>
      <c r="BJ77" s="24"/>
      <c r="BK77" s="30"/>
      <c r="BL77" s="30"/>
      <c r="BM77" s="30"/>
      <c r="BN77" s="20"/>
      <c r="BO77" s="20"/>
      <c r="BP77" s="20"/>
      <c r="BQ77" s="20"/>
      <c r="BR77" s="20"/>
      <c r="BS77" s="29"/>
    </row>
    <row r="78" spans="1:71" s="3" customFormat="1" ht="12.75">
      <c r="A78" s="3">
        <v>1999</v>
      </c>
      <c r="B78" s="38" t="s">
        <v>38</v>
      </c>
      <c r="C78" s="25">
        <f>+MITRE[[#This Row],[Trenes Puntuales]]/MITRE[[#This Row],[Trenes Programados]]</f>
        <v>0.98537626310173854</v>
      </c>
      <c r="D78" s="25">
        <f>+MITRE[[#This Row],[Trenes Puntuales]]/MITRE[[#This Row],[Trenes Corridos]]</f>
        <v>0.98704891236011572</v>
      </c>
      <c r="E78" s="25">
        <f>+MITRE[[#This Row],[Trenes Corridos]]/MITRE[[#This Row],[Trenes Programados]]</f>
        <v>0.99830540387874223</v>
      </c>
      <c r="F78" s="20">
        <v>15933</v>
      </c>
      <c r="G78" s="20">
        <f t="shared" ref="G78:G89" si="12">F78-H78</f>
        <v>27</v>
      </c>
      <c r="H78" s="20">
        <v>15906</v>
      </c>
      <c r="I78" s="20">
        <v>15700</v>
      </c>
      <c r="J78" s="20">
        <f t="shared" ref="J78:J89" si="13">H78-I78</f>
        <v>206</v>
      </c>
      <c r="K78" s="20"/>
      <c r="L78" s="5"/>
      <c r="M78" s="29"/>
      <c r="N78" s="24"/>
      <c r="O78" s="30"/>
      <c r="P78" s="30"/>
      <c r="Q78" s="30"/>
      <c r="R78" s="20"/>
      <c r="S78" s="20"/>
      <c r="T78" s="20"/>
      <c r="U78" s="20"/>
      <c r="V78" s="20"/>
      <c r="W78" s="20"/>
      <c r="X78" s="5"/>
      <c r="Y78" s="29"/>
      <c r="Z78" s="24"/>
      <c r="AA78" s="30"/>
      <c r="AB78" s="30"/>
      <c r="AC78" s="30"/>
      <c r="AD78" s="20"/>
      <c r="AE78" s="20"/>
      <c r="AF78" s="20"/>
      <c r="AG78" s="20"/>
      <c r="AH78" s="20"/>
      <c r="AI78" s="20"/>
      <c r="AJ78" s="5"/>
      <c r="AK78" s="29"/>
      <c r="AL78" s="24"/>
      <c r="AM78" s="30"/>
      <c r="AN78" s="30"/>
      <c r="AO78" s="30"/>
      <c r="AP78" s="20"/>
      <c r="AQ78" s="20"/>
      <c r="AR78" s="20"/>
      <c r="AS78" s="20"/>
      <c r="AT78" s="20"/>
      <c r="AU78" s="20"/>
      <c r="AV78" s="5"/>
      <c r="AW78" s="29"/>
      <c r="AX78" s="24"/>
      <c r="AY78" s="30"/>
      <c r="AZ78" s="30"/>
      <c r="BA78" s="30"/>
      <c r="BB78" s="20"/>
      <c r="BC78" s="20"/>
      <c r="BD78" s="20"/>
      <c r="BE78" s="20"/>
      <c r="BF78" s="20"/>
      <c r="BG78" s="20"/>
      <c r="BH78" s="5"/>
      <c r="BI78" s="29"/>
      <c r="BJ78" s="24"/>
      <c r="BK78" s="30"/>
      <c r="BL78" s="30"/>
      <c r="BM78" s="30"/>
      <c r="BN78" s="20"/>
      <c r="BO78" s="20"/>
      <c r="BP78" s="20"/>
      <c r="BQ78" s="20"/>
      <c r="BR78" s="20"/>
      <c r="BS78" s="29"/>
    </row>
    <row r="79" spans="1:71" s="3" customFormat="1" ht="12.75">
      <c r="A79" s="3">
        <v>1999</v>
      </c>
      <c r="B79" s="38" t="s">
        <v>39</v>
      </c>
      <c r="C79" s="25">
        <f>+MITRE[[#This Row],[Trenes Puntuales]]/MITRE[[#This Row],[Trenes Programados]]</f>
        <v>0.98105035192203571</v>
      </c>
      <c r="D79" s="25">
        <f>+MITRE[[#This Row],[Trenes Puntuales]]/MITRE[[#This Row],[Trenes Corridos]]</f>
        <v>0.98498335258544545</v>
      </c>
      <c r="E79" s="25">
        <f>+MITRE[[#This Row],[Trenes Corridos]]/MITRE[[#This Row],[Trenes Programados]]</f>
        <v>0.9960070384407147</v>
      </c>
      <c r="F79" s="20">
        <v>14776</v>
      </c>
      <c r="G79" s="20">
        <f t="shared" si="12"/>
        <v>59</v>
      </c>
      <c r="H79" s="20">
        <v>14717</v>
      </c>
      <c r="I79" s="20">
        <v>14496</v>
      </c>
      <c r="J79" s="20">
        <f t="shared" si="13"/>
        <v>221</v>
      </c>
      <c r="K79" s="20"/>
      <c r="L79" s="5"/>
      <c r="M79" s="29"/>
      <c r="N79" s="24"/>
      <c r="O79" s="30"/>
      <c r="P79" s="30"/>
      <c r="Q79" s="30"/>
      <c r="R79" s="20"/>
      <c r="S79" s="20"/>
      <c r="T79" s="20"/>
      <c r="U79" s="20"/>
      <c r="V79" s="20"/>
      <c r="W79" s="20"/>
      <c r="X79" s="5"/>
      <c r="Y79" s="29"/>
      <c r="Z79" s="24"/>
      <c r="AA79" s="30"/>
      <c r="AB79" s="30"/>
      <c r="AC79" s="30"/>
      <c r="AD79" s="20"/>
      <c r="AE79" s="20"/>
      <c r="AF79" s="20"/>
      <c r="AG79" s="20"/>
      <c r="AH79" s="20"/>
      <c r="AI79" s="20"/>
      <c r="AJ79" s="5"/>
      <c r="AK79" s="29"/>
      <c r="AL79" s="24"/>
      <c r="AM79" s="30"/>
      <c r="AN79" s="30"/>
      <c r="AO79" s="30"/>
      <c r="AP79" s="20"/>
      <c r="AQ79" s="20"/>
      <c r="AR79" s="20"/>
      <c r="AS79" s="20"/>
      <c r="AT79" s="20"/>
      <c r="AU79" s="20"/>
      <c r="AV79" s="5"/>
      <c r="AW79" s="29"/>
      <c r="AX79" s="24"/>
      <c r="AY79" s="30"/>
      <c r="AZ79" s="30"/>
      <c r="BA79" s="30"/>
      <c r="BB79" s="20"/>
      <c r="BC79" s="20"/>
      <c r="BD79" s="20"/>
      <c r="BE79" s="20"/>
      <c r="BF79" s="20"/>
      <c r="BG79" s="20"/>
      <c r="BH79" s="5"/>
      <c r="BI79" s="29"/>
      <c r="BJ79" s="24"/>
      <c r="BK79" s="30"/>
      <c r="BL79" s="30"/>
      <c r="BM79" s="30"/>
      <c r="BN79" s="20"/>
      <c r="BO79" s="20"/>
      <c r="BP79" s="20"/>
      <c r="BQ79" s="20"/>
      <c r="BR79" s="20"/>
      <c r="BS79" s="29"/>
    </row>
    <row r="80" spans="1:71" s="3" customFormat="1" ht="12.75">
      <c r="A80" s="3">
        <v>1999</v>
      </c>
      <c r="B80" s="38" t="s">
        <v>40</v>
      </c>
      <c r="C80" s="25">
        <f>+MITRE[[#This Row],[Trenes Puntuales]]/MITRE[[#This Row],[Trenes Programados]]</f>
        <v>0.98466573731741314</v>
      </c>
      <c r="D80" s="25">
        <f>+MITRE[[#This Row],[Trenes Puntuales]]/MITRE[[#This Row],[Trenes Corridos]]</f>
        <v>0.9863995142683667</v>
      </c>
      <c r="E80" s="25">
        <f>+MITRE[[#This Row],[Trenes Corridos]]/MITRE[[#This Row],[Trenes Programados]]</f>
        <v>0.99824231771622518</v>
      </c>
      <c r="F80" s="20">
        <v>16499</v>
      </c>
      <c r="G80" s="20">
        <f t="shared" si="12"/>
        <v>29</v>
      </c>
      <c r="H80" s="20">
        <v>16470</v>
      </c>
      <c r="I80" s="20">
        <v>16246</v>
      </c>
      <c r="J80" s="20">
        <f t="shared" si="13"/>
        <v>224</v>
      </c>
      <c r="K80" s="20"/>
      <c r="L80" s="5"/>
      <c r="M80" s="29"/>
      <c r="N80" s="24"/>
      <c r="O80" s="30"/>
      <c r="P80" s="30"/>
      <c r="Q80" s="30"/>
      <c r="R80" s="20"/>
      <c r="S80" s="20"/>
      <c r="T80" s="20"/>
      <c r="U80" s="20"/>
      <c r="V80" s="20"/>
      <c r="W80" s="20"/>
      <c r="X80" s="5"/>
      <c r="Y80" s="29"/>
      <c r="Z80" s="24"/>
      <c r="AA80" s="30"/>
      <c r="AB80" s="30"/>
      <c r="AC80" s="30"/>
      <c r="AD80" s="20"/>
      <c r="AE80" s="20"/>
      <c r="AF80" s="20"/>
      <c r="AG80" s="20"/>
      <c r="AH80" s="20"/>
      <c r="AI80" s="20"/>
      <c r="AJ80" s="5"/>
      <c r="AK80" s="29"/>
      <c r="AL80" s="24"/>
      <c r="AM80" s="30"/>
      <c r="AN80" s="30"/>
      <c r="AO80" s="30"/>
      <c r="AP80" s="20"/>
      <c r="AQ80" s="20"/>
      <c r="AR80" s="20"/>
      <c r="AS80" s="20"/>
      <c r="AT80" s="20"/>
      <c r="AU80" s="20"/>
      <c r="AV80" s="5"/>
      <c r="AW80" s="29"/>
      <c r="AX80" s="24"/>
      <c r="AY80" s="30"/>
      <c r="AZ80" s="30"/>
      <c r="BA80" s="30"/>
      <c r="BB80" s="20"/>
      <c r="BC80" s="20"/>
      <c r="BD80" s="20"/>
      <c r="BE80" s="20"/>
      <c r="BF80" s="20"/>
      <c r="BG80" s="20"/>
      <c r="BH80" s="5"/>
      <c r="BI80" s="29"/>
      <c r="BJ80" s="24"/>
      <c r="BK80" s="30"/>
      <c r="BL80" s="30"/>
      <c r="BM80" s="30"/>
      <c r="BN80" s="20"/>
      <c r="BO80" s="20"/>
      <c r="BP80" s="20"/>
      <c r="BQ80" s="20"/>
      <c r="BR80" s="20"/>
      <c r="BS80" s="29"/>
    </row>
    <row r="81" spans="1:71" s="3" customFormat="1" ht="12.75">
      <c r="A81" s="3">
        <v>1999</v>
      </c>
      <c r="B81" s="38" t="s">
        <v>41</v>
      </c>
      <c r="C81" s="25">
        <f>+MITRE[[#This Row],[Trenes Puntuales]]/MITRE[[#This Row],[Trenes Programados]]</f>
        <v>0.98102077455757886</v>
      </c>
      <c r="D81" s="25">
        <f>+MITRE[[#This Row],[Trenes Puntuales]]/MITRE[[#This Row],[Trenes Corridos]]</f>
        <v>0.98310094454796637</v>
      </c>
      <c r="E81" s="25">
        <f>+MITRE[[#This Row],[Trenes Corridos]]/MITRE[[#This Row],[Trenes Programados]]</f>
        <v>0.99788407283918956</v>
      </c>
      <c r="F81" s="20">
        <v>15596</v>
      </c>
      <c r="G81" s="20">
        <f t="shared" si="12"/>
        <v>33</v>
      </c>
      <c r="H81" s="20">
        <v>15563</v>
      </c>
      <c r="I81" s="20">
        <v>15300</v>
      </c>
      <c r="J81" s="20">
        <f t="shared" si="13"/>
        <v>263</v>
      </c>
      <c r="K81" s="20"/>
      <c r="L81" s="5"/>
      <c r="M81" s="29"/>
      <c r="N81" s="24"/>
      <c r="O81" s="30"/>
      <c r="P81" s="30"/>
      <c r="Q81" s="30"/>
      <c r="R81" s="20"/>
      <c r="S81" s="20"/>
      <c r="T81" s="20"/>
      <c r="U81" s="20"/>
      <c r="V81" s="20"/>
      <c r="W81" s="20"/>
      <c r="X81" s="5"/>
      <c r="Y81" s="29"/>
      <c r="Z81" s="24"/>
      <c r="AA81" s="30"/>
      <c r="AB81" s="30"/>
      <c r="AC81" s="30"/>
      <c r="AD81" s="20"/>
      <c r="AE81" s="20"/>
      <c r="AF81" s="20"/>
      <c r="AG81" s="20"/>
      <c r="AH81" s="20"/>
      <c r="AI81" s="20"/>
      <c r="AJ81" s="5"/>
      <c r="AK81" s="29"/>
      <c r="AL81" s="24"/>
      <c r="AM81" s="30"/>
      <c r="AN81" s="30"/>
      <c r="AO81" s="30"/>
      <c r="AP81" s="20"/>
      <c r="AQ81" s="20"/>
      <c r="AR81" s="20"/>
      <c r="AS81" s="20"/>
      <c r="AT81" s="20"/>
      <c r="AU81" s="20"/>
      <c r="AV81" s="5"/>
      <c r="AW81" s="29"/>
      <c r="AX81" s="24"/>
      <c r="AY81" s="30"/>
      <c r="AZ81" s="30"/>
      <c r="BA81" s="30"/>
      <c r="BB81" s="20"/>
      <c r="BC81" s="20"/>
      <c r="BD81" s="20"/>
      <c r="BE81" s="20"/>
      <c r="BF81" s="20"/>
      <c r="BG81" s="20"/>
      <c r="BH81" s="5"/>
      <c r="BI81" s="29"/>
      <c r="BJ81" s="24"/>
      <c r="BK81" s="30"/>
      <c r="BL81" s="30"/>
      <c r="BM81" s="30"/>
      <c r="BN81" s="20"/>
      <c r="BO81" s="20"/>
      <c r="BP81" s="20"/>
      <c r="BQ81" s="20"/>
      <c r="BR81" s="20"/>
      <c r="BS81" s="29"/>
    </row>
    <row r="82" spans="1:71" s="3" customFormat="1" ht="12.75">
      <c r="A82" s="3">
        <v>1999</v>
      </c>
      <c r="B82" s="38" t="s">
        <v>42</v>
      </c>
      <c r="C82" s="25">
        <f>+MITRE[[#This Row],[Trenes Puntuales]]/MITRE[[#This Row],[Trenes Programados]]</f>
        <v>0.96300769084090765</v>
      </c>
      <c r="D82" s="25">
        <f>+MITRE[[#This Row],[Trenes Puntuales]]/MITRE[[#This Row],[Trenes Corridos]]</f>
        <v>0.97283934763066648</v>
      </c>
      <c r="E82" s="25">
        <f>+MITRE[[#This Row],[Trenes Corridos]]/MITRE[[#This Row],[Trenes Programados]]</f>
        <v>0.98989385368334071</v>
      </c>
      <c r="F82" s="20">
        <v>15733</v>
      </c>
      <c r="G82" s="20">
        <f t="shared" si="12"/>
        <v>159</v>
      </c>
      <c r="H82" s="20">
        <v>15574</v>
      </c>
      <c r="I82" s="20">
        <v>15151</v>
      </c>
      <c r="J82" s="20">
        <f t="shared" si="13"/>
        <v>423</v>
      </c>
      <c r="K82" s="20"/>
      <c r="L82" s="5"/>
      <c r="M82" s="29"/>
      <c r="N82" s="24"/>
      <c r="O82" s="30"/>
      <c r="P82" s="30"/>
      <c r="Q82" s="30"/>
      <c r="R82" s="20"/>
      <c r="S82" s="20"/>
      <c r="T82" s="20"/>
      <c r="U82" s="20"/>
      <c r="V82" s="20"/>
      <c r="W82" s="20"/>
      <c r="X82" s="5"/>
      <c r="Y82" s="29"/>
      <c r="Z82" s="24"/>
      <c r="AA82" s="30"/>
      <c r="AB82" s="30"/>
      <c r="AC82" s="30"/>
      <c r="AD82" s="20"/>
      <c r="AE82" s="20"/>
      <c r="AF82" s="20"/>
      <c r="AG82" s="20"/>
      <c r="AH82" s="20"/>
      <c r="AI82" s="20"/>
      <c r="AJ82" s="5"/>
      <c r="AK82" s="29"/>
      <c r="AL82" s="24"/>
      <c r="AM82" s="30"/>
      <c r="AN82" s="30"/>
      <c r="AO82" s="30"/>
      <c r="AP82" s="20"/>
      <c r="AQ82" s="20"/>
      <c r="AR82" s="20"/>
      <c r="AS82" s="20"/>
      <c r="AT82" s="20"/>
      <c r="AU82" s="20"/>
      <c r="AV82" s="5"/>
      <c r="AW82" s="29"/>
      <c r="AX82" s="24"/>
      <c r="AY82" s="30"/>
      <c r="AZ82" s="30"/>
      <c r="BA82" s="30"/>
      <c r="BB82" s="20"/>
      <c r="BC82" s="20"/>
      <c r="BD82" s="20"/>
      <c r="BE82" s="20"/>
      <c r="BF82" s="20"/>
      <c r="BG82" s="20"/>
      <c r="BH82" s="5"/>
      <c r="BI82" s="29"/>
      <c r="BJ82" s="24"/>
      <c r="BK82" s="30"/>
      <c r="BL82" s="30"/>
      <c r="BM82" s="30"/>
      <c r="BN82" s="20"/>
      <c r="BO82" s="20"/>
      <c r="BP82" s="20"/>
      <c r="BQ82" s="20"/>
      <c r="BR82" s="20"/>
      <c r="BS82" s="29"/>
    </row>
    <row r="83" spans="1:71" s="3" customFormat="1" ht="12.75">
      <c r="A83" s="3">
        <v>1999</v>
      </c>
      <c r="B83" s="38" t="s">
        <v>43</v>
      </c>
      <c r="C83" s="25">
        <f>+MITRE[[#This Row],[Trenes Puntuales]]/MITRE[[#This Row],[Trenes Programados]]</f>
        <v>0.96666666666666667</v>
      </c>
      <c r="D83" s="25">
        <f>+MITRE[[#This Row],[Trenes Puntuales]]/MITRE[[#This Row],[Trenes Corridos]]</f>
        <v>0.97012691181256105</v>
      </c>
      <c r="E83" s="25">
        <f>+MITRE[[#This Row],[Trenes Corridos]]/MITRE[[#This Row],[Trenes Programados]]</f>
        <v>0.99643320363164722</v>
      </c>
      <c r="F83" s="20">
        <v>15420</v>
      </c>
      <c r="G83" s="20">
        <f t="shared" si="12"/>
        <v>55</v>
      </c>
      <c r="H83" s="20">
        <v>15365</v>
      </c>
      <c r="I83" s="20">
        <v>14906</v>
      </c>
      <c r="J83" s="20">
        <f t="shared" si="13"/>
        <v>459</v>
      </c>
      <c r="K83" s="20"/>
      <c r="L83" s="5"/>
      <c r="M83" s="29"/>
      <c r="N83" s="24"/>
      <c r="O83" s="30"/>
      <c r="P83" s="30"/>
      <c r="Q83" s="30"/>
      <c r="R83" s="20"/>
      <c r="S83" s="20"/>
      <c r="T83" s="20"/>
      <c r="U83" s="20"/>
      <c r="V83" s="20"/>
      <c r="W83" s="20"/>
      <c r="X83" s="5"/>
      <c r="Y83" s="29"/>
      <c r="Z83" s="24"/>
      <c r="AA83" s="30"/>
      <c r="AB83" s="30"/>
      <c r="AC83" s="30"/>
      <c r="AD83" s="20"/>
      <c r="AE83" s="20"/>
      <c r="AF83" s="20"/>
      <c r="AG83" s="20"/>
      <c r="AH83" s="20"/>
      <c r="AI83" s="20"/>
      <c r="AJ83" s="5"/>
      <c r="AK83" s="29"/>
      <c r="AL83" s="24"/>
      <c r="AM83" s="30"/>
      <c r="AN83" s="30"/>
      <c r="AO83" s="30"/>
      <c r="AP83" s="20"/>
      <c r="AQ83" s="20"/>
      <c r="AR83" s="20"/>
      <c r="AS83" s="20"/>
      <c r="AT83" s="20"/>
      <c r="AU83" s="20"/>
      <c r="AV83" s="5"/>
      <c r="AW83" s="29"/>
      <c r="AX83" s="24"/>
      <c r="AY83" s="30"/>
      <c r="AZ83" s="30"/>
      <c r="BA83" s="30"/>
      <c r="BB83" s="20"/>
      <c r="BC83" s="20"/>
      <c r="BD83" s="20"/>
      <c r="BE83" s="20"/>
      <c r="BF83" s="20"/>
      <c r="BG83" s="20"/>
      <c r="BH83" s="5"/>
      <c r="BI83" s="29"/>
      <c r="BJ83" s="24"/>
      <c r="BK83" s="30"/>
      <c r="BL83" s="30"/>
      <c r="BM83" s="30"/>
      <c r="BN83" s="20"/>
      <c r="BO83" s="20"/>
      <c r="BP83" s="20"/>
      <c r="BQ83" s="20"/>
      <c r="BR83" s="20"/>
      <c r="BS83" s="29"/>
    </row>
    <row r="84" spans="1:71" s="3" customFormat="1" ht="12.75">
      <c r="A84" s="3">
        <v>1999</v>
      </c>
      <c r="B84" s="38" t="s">
        <v>44</v>
      </c>
      <c r="C84" s="25">
        <f>+MITRE[[#This Row],[Trenes Puntuales]]/MITRE[[#This Row],[Trenes Programados]]</f>
        <v>0.96795189685097938</v>
      </c>
      <c r="D84" s="25">
        <f>+MITRE[[#This Row],[Trenes Puntuales]]/MITRE[[#This Row],[Trenes Corridos]]</f>
        <v>0.97162591002426735</v>
      </c>
      <c r="E84" s="25">
        <f>+MITRE[[#This Row],[Trenes Corridos]]/MITRE[[#This Row],[Trenes Programados]]</f>
        <v>0.99621869575998012</v>
      </c>
      <c r="F84" s="20">
        <v>16132</v>
      </c>
      <c r="G84" s="20">
        <f t="shared" si="12"/>
        <v>61</v>
      </c>
      <c r="H84" s="20">
        <v>16071</v>
      </c>
      <c r="I84" s="20">
        <v>15615</v>
      </c>
      <c r="J84" s="20">
        <f t="shared" si="13"/>
        <v>456</v>
      </c>
      <c r="K84" s="20"/>
      <c r="L84" s="5"/>
      <c r="M84" s="29"/>
      <c r="N84" s="24"/>
      <c r="O84" s="30"/>
      <c r="P84" s="30"/>
      <c r="Q84" s="30"/>
      <c r="R84" s="20"/>
      <c r="S84" s="20"/>
      <c r="T84" s="20"/>
      <c r="U84" s="20"/>
      <c r="V84" s="20"/>
      <c r="W84" s="20"/>
      <c r="X84" s="5"/>
      <c r="Y84" s="29"/>
      <c r="Z84" s="24"/>
      <c r="AA84" s="30"/>
      <c r="AB84" s="30"/>
      <c r="AC84" s="30"/>
      <c r="AD84" s="20"/>
      <c r="AE84" s="20"/>
      <c r="AF84" s="20"/>
      <c r="AG84" s="20"/>
      <c r="AH84" s="20"/>
      <c r="AI84" s="20"/>
      <c r="AJ84" s="5"/>
      <c r="AK84" s="29"/>
      <c r="AL84" s="24"/>
      <c r="AM84" s="30"/>
      <c r="AN84" s="30"/>
      <c r="AO84" s="30"/>
      <c r="AP84" s="20"/>
      <c r="AQ84" s="20"/>
      <c r="AR84" s="20"/>
      <c r="AS84" s="20"/>
      <c r="AT84" s="20"/>
      <c r="AU84" s="20"/>
      <c r="AV84" s="5"/>
      <c r="AW84" s="29"/>
      <c r="AX84" s="24"/>
      <c r="AY84" s="30"/>
      <c r="AZ84" s="30"/>
      <c r="BA84" s="30"/>
      <c r="BB84" s="20"/>
      <c r="BC84" s="20"/>
      <c r="BD84" s="20"/>
      <c r="BE84" s="20"/>
      <c r="BF84" s="20"/>
      <c r="BG84" s="20"/>
      <c r="BH84" s="5"/>
      <c r="BI84" s="29"/>
      <c r="BJ84" s="24"/>
      <c r="BK84" s="30"/>
      <c r="BL84" s="30"/>
      <c r="BM84" s="30"/>
      <c r="BN84" s="20"/>
      <c r="BO84" s="20"/>
      <c r="BP84" s="20"/>
      <c r="BQ84" s="20"/>
      <c r="BR84" s="20"/>
      <c r="BS84" s="29"/>
    </row>
    <row r="85" spans="1:71" s="3" customFormat="1" ht="12.75">
      <c r="A85" s="3">
        <v>1999</v>
      </c>
      <c r="B85" s="38" t="s">
        <v>45</v>
      </c>
      <c r="C85" s="25">
        <f>+MITRE[[#This Row],[Trenes Puntuales]]/MITRE[[#This Row],[Trenes Programados]]</f>
        <v>0.97640062597809074</v>
      </c>
      <c r="D85" s="25">
        <f>+MITRE[[#This Row],[Trenes Puntuales]]/MITRE[[#This Row],[Trenes Corridos]]</f>
        <v>0.97701221421860318</v>
      </c>
      <c r="E85" s="25">
        <f>+MITRE[[#This Row],[Trenes Corridos]]/MITRE[[#This Row],[Trenes Programados]]</f>
        <v>0.99937402190923319</v>
      </c>
      <c r="F85" s="20">
        <v>15975</v>
      </c>
      <c r="G85" s="20">
        <f t="shared" si="12"/>
        <v>10</v>
      </c>
      <c r="H85" s="20">
        <v>15965</v>
      </c>
      <c r="I85" s="20">
        <v>15598</v>
      </c>
      <c r="J85" s="20">
        <f t="shared" si="13"/>
        <v>367</v>
      </c>
      <c r="K85" s="20"/>
      <c r="L85" s="5"/>
      <c r="M85" s="29"/>
      <c r="N85" s="24"/>
      <c r="O85" s="30"/>
      <c r="P85" s="30"/>
      <c r="Q85" s="30"/>
      <c r="R85" s="20"/>
      <c r="S85" s="20"/>
      <c r="T85" s="20"/>
      <c r="U85" s="20"/>
      <c r="V85" s="20"/>
      <c r="W85" s="20"/>
      <c r="X85" s="5"/>
      <c r="Y85" s="29"/>
      <c r="Z85" s="24"/>
      <c r="AA85" s="30"/>
      <c r="AB85" s="30"/>
      <c r="AC85" s="30"/>
      <c r="AD85" s="20"/>
      <c r="AE85" s="20"/>
      <c r="AF85" s="20"/>
      <c r="AG85" s="20"/>
      <c r="AH85" s="20"/>
      <c r="AI85" s="20"/>
      <c r="AJ85" s="5"/>
      <c r="AK85" s="29"/>
      <c r="AL85" s="24"/>
      <c r="AM85" s="30"/>
      <c r="AN85" s="30"/>
      <c r="AO85" s="30"/>
      <c r="AP85" s="20"/>
      <c r="AQ85" s="20"/>
      <c r="AR85" s="20"/>
      <c r="AS85" s="20"/>
      <c r="AT85" s="20"/>
      <c r="AU85" s="20"/>
      <c r="AV85" s="5"/>
      <c r="AW85" s="29"/>
      <c r="AX85" s="24"/>
      <c r="AY85" s="30"/>
      <c r="AZ85" s="30"/>
      <c r="BA85" s="30"/>
      <c r="BB85" s="20"/>
      <c r="BC85" s="20"/>
      <c r="BD85" s="20"/>
      <c r="BE85" s="20"/>
      <c r="BF85" s="20"/>
      <c r="BG85" s="20"/>
      <c r="BH85" s="5"/>
      <c r="BI85" s="29"/>
      <c r="BJ85" s="24"/>
      <c r="BK85" s="30"/>
      <c r="BL85" s="30"/>
      <c r="BM85" s="30"/>
      <c r="BN85" s="20"/>
      <c r="BO85" s="20"/>
      <c r="BP85" s="20"/>
      <c r="BQ85" s="20"/>
      <c r="BR85" s="20"/>
      <c r="BS85" s="29"/>
    </row>
    <row r="86" spans="1:71" s="3" customFormat="1" ht="12.75">
      <c r="A86" s="3">
        <v>1999</v>
      </c>
      <c r="B86" s="38" t="s">
        <v>46</v>
      </c>
      <c r="C86" s="25">
        <f>+MITRE[[#This Row],[Trenes Puntuales]]/MITRE[[#This Row],[Trenes Programados]]</f>
        <v>0.97530553105707452</v>
      </c>
      <c r="D86" s="25">
        <f>+MITRE[[#This Row],[Trenes Puntuales]]/MITRE[[#This Row],[Trenes Corridos]]</f>
        <v>0.98285931945149818</v>
      </c>
      <c r="E86" s="25">
        <f>+MITRE[[#This Row],[Trenes Corridos]]/MITRE[[#This Row],[Trenes Programados]]</f>
        <v>0.99231447650245685</v>
      </c>
      <c r="F86" s="20">
        <v>15874</v>
      </c>
      <c r="G86" s="20">
        <f t="shared" si="12"/>
        <v>122</v>
      </c>
      <c r="H86" s="20">
        <v>15752</v>
      </c>
      <c r="I86" s="20">
        <v>15482</v>
      </c>
      <c r="J86" s="20">
        <f t="shared" si="13"/>
        <v>270</v>
      </c>
      <c r="K86" s="20"/>
      <c r="L86" s="5"/>
      <c r="M86" s="29"/>
      <c r="N86" s="24"/>
      <c r="O86" s="30"/>
      <c r="P86" s="30"/>
      <c r="Q86" s="30"/>
      <c r="R86" s="20"/>
      <c r="S86" s="20"/>
      <c r="T86" s="20"/>
      <c r="U86" s="20"/>
      <c r="V86" s="20"/>
      <c r="W86" s="20"/>
      <c r="X86" s="5"/>
      <c r="Y86" s="29"/>
      <c r="Z86" s="24"/>
      <c r="AA86" s="30"/>
      <c r="AB86" s="30"/>
      <c r="AC86" s="30"/>
      <c r="AD86" s="20"/>
      <c r="AE86" s="20"/>
      <c r="AF86" s="20"/>
      <c r="AG86" s="20"/>
      <c r="AH86" s="20"/>
      <c r="AI86" s="20"/>
      <c r="AJ86" s="5"/>
      <c r="AK86" s="29"/>
      <c r="AL86" s="24"/>
      <c r="AM86" s="30"/>
      <c r="AN86" s="30"/>
      <c r="AO86" s="30"/>
      <c r="AP86" s="20"/>
      <c r="AQ86" s="20"/>
      <c r="AR86" s="20"/>
      <c r="AS86" s="20"/>
      <c r="AT86" s="20"/>
      <c r="AU86" s="20"/>
      <c r="AV86" s="5"/>
      <c r="AW86" s="29"/>
      <c r="AX86" s="24"/>
      <c r="AY86" s="30"/>
      <c r="AZ86" s="30"/>
      <c r="BA86" s="30"/>
      <c r="BB86" s="20"/>
      <c r="BC86" s="20"/>
      <c r="BD86" s="20"/>
      <c r="BE86" s="20"/>
      <c r="BF86" s="20"/>
      <c r="BG86" s="20"/>
      <c r="BH86" s="5"/>
      <c r="BI86" s="29"/>
      <c r="BJ86" s="24"/>
      <c r="BK86" s="30"/>
      <c r="BL86" s="30"/>
      <c r="BM86" s="30"/>
      <c r="BN86" s="20"/>
      <c r="BO86" s="20"/>
      <c r="BP86" s="20"/>
      <c r="BQ86" s="20"/>
      <c r="BR86" s="20"/>
      <c r="BS86" s="29"/>
    </row>
    <row r="87" spans="1:71" s="3" customFormat="1" ht="12.75">
      <c r="A87" s="3">
        <v>1999</v>
      </c>
      <c r="B87" s="38" t="s">
        <v>47</v>
      </c>
      <c r="C87" s="25">
        <f>+MITRE[[#This Row],[Trenes Puntuales]]/MITRE[[#This Row],[Trenes Programados]]</f>
        <v>0.97815686768223598</v>
      </c>
      <c r="D87" s="25">
        <f>+MITRE[[#This Row],[Trenes Puntuales]]/MITRE[[#This Row],[Trenes Corridos]]</f>
        <v>0.98099747474747478</v>
      </c>
      <c r="E87" s="25">
        <f>+MITRE[[#This Row],[Trenes Corridos]]/MITRE[[#This Row],[Trenes Programados]]</f>
        <v>0.99710436862646357</v>
      </c>
      <c r="F87" s="20">
        <v>15886</v>
      </c>
      <c r="G87" s="20">
        <f t="shared" si="12"/>
        <v>46</v>
      </c>
      <c r="H87" s="20">
        <v>15840</v>
      </c>
      <c r="I87" s="20">
        <v>15539</v>
      </c>
      <c r="J87" s="20">
        <f t="shared" si="13"/>
        <v>301</v>
      </c>
      <c r="K87" s="20"/>
      <c r="L87" s="5"/>
      <c r="M87" s="29"/>
      <c r="N87" s="24"/>
      <c r="O87" s="30"/>
      <c r="P87" s="30"/>
      <c r="Q87" s="30"/>
      <c r="R87" s="20"/>
      <c r="S87" s="20"/>
      <c r="T87" s="20"/>
      <c r="U87" s="20"/>
      <c r="V87" s="20"/>
      <c r="W87" s="20"/>
      <c r="X87" s="5"/>
      <c r="Y87" s="29"/>
      <c r="Z87" s="24"/>
      <c r="AA87" s="30"/>
      <c r="AB87" s="30"/>
      <c r="AC87" s="30"/>
      <c r="AD87" s="20"/>
      <c r="AE87" s="20"/>
      <c r="AF87" s="20"/>
      <c r="AG87" s="20"/>
      <c r="AH87" s="20"/>
      <c r="AI87" s="20"/>
      <c r="AJ87" s="5"/>
      <c r="AK87" s="29"/>
      <c r="AL87" s="24"/>
      <c r="AM87" s="30"/>
      <c r="AN87" s="30"/>
      <c r="AO87" s="30"/>
      <c r="AP87" s="20"/>
      <c r="AQ87" s="20"/>
      <c r="AR87" s="20"/>
      <c r="AS87" s="20"/>
      <c r="AT87" s="20"/>
      <c r="AU87" s="20"/>
      <c r="AV87" s="5"/>
      <c r="AW87" s="29"/>
      <c r="AX87" s="24"/>
      <c r="AY87" s="30"/>
      <c r="AZ87" s="30"/>
      <c r="BA87" s="30"/>
      <c r="BB87" s="20"/>
      <c r="BC87" s="20"/>
      <c r="BD87" s="20"/>
      <c r="BE87" s="20"/>
      <c r="BF87" s="20"/>
      <c r="BG87" s="20"/>
      <c r="BH87" s="5"/>
      <c r="BI87" s="29"/>
      <c r="BJ87" s="24"/>
      <c r="BK87" s="30"/>
      <c r="BL87" s="30"/>
      <c r="BM87" s="30"/>
      <c r="BN87" s="20"/>
      <c r="BO87" s="20"/>
      <c r="BP87" s="20"/>
      <c r="BQ87" s="20"/>
      <c r="BR87" s="20"/>
      <c r="BS87" s="29"/>
    </row>
    <row r="88" spans="1:71" s="3" customFormat="1" ht="12.75">
      <c r="A88" s="3">
        <v>1999</v>
      </c>
      <c r="B88" s="38" t="s">
        <v>48</v>
      </c>
      <c r="C88" s="25">
        <f>+MITRE[[#This Row],[Trenes Puntuales]]/MITRE[[#This Row],[Trenes Programados]]</f>
        <v>0.973664314516129</v>
      </c>
      <c r="D88" s="25">
        <f>+MITRE[[#This Row],[Trenes Puntuales]]/MITRE[[#This Row],[Trenes Corridos]]</f>
        <v>0.98002409791362799</v>
      </c>
      <c r="E88" s="25">
        <f>+MITRE[[#This Row],[Trenes Corridos]]/MITRE[[#This Row],[Trenes Programados]]</f>
        <v>0.99351058467741937</v>
      </c>
      <c r="F88" s="20">
        <v>15872</v>
      </c>
      <c r="G88" s="20">
        <f t="shared" si="12"/>
        <v>103</v>
      </c>
      <c r="H88" s="20">
        <v>15769</v>
      </c>
      <c r="I88" s="20">
        <v>15454</v>
      </c>
      <c r="J88" s="20">
        <f t="shared" si="13"/>
        <v>315</v>
      </c>
      <c r="K88" s="20"/>
      <c r="L88" s="5"/>
      <c r="M88" s="29"/>
      <c r="N88" s="24"/>
      <c r="O88" s="30"/>
      <c r="P88" s="30"/>
      <c r="Q88" s="30"/>
      <c r="R88" s="20"/>
      <c r="S88" s="20"/>
      <c r="T88" s="20"/>
      <c r="U88" s="20"/>
      <c r="V88" s="20"/>
      <c r="W88" s="20"/>
      <c r="X88" s="5"/>
      <c r="Y88" s="29"/>
      <c r="Z88" s="24"/>
      <c r="AA88" s="30"/>
      <c r="AB88" s="30"/>
      <c r="AC88" s="30"/>
      <c r="AD88" s="20"/>
      <c r="AE88" s="20"/>
      <c r="AF88" s="20"/>
      <c r="AG88" s="20"/>
      <c r="AH88" s="20"/>
      <c r="AI88" s="20"/>
      <c r="AJ88" s="5"/>
      <c r="AK88" s="29"/>
      <c r="AL88" s="24"/>
      <c r="AM88" s="30"/>
      <c r="AN88" s="30"/>
      <c r="AO88" s="30"/>
      <c r="AP88" s="20"/>
      <c r="AQ88" s="20"/>
      <c r="AR88" s="20"/>
      <c r="AS88" s="20"/>
      <c r="AT88" s="20"/>
      <c r="AU88" s="20"/>
      <c r="AV88" s="5"/>
      <c r="AW88" s="29"/>
      <c r="AX88" s="24"/>
      <c r="AY88" s="30"/>
      <c r="AZ88" s="30"/>
      <c r="BA88" s="30"/>
      <c r="BB88" s="20"/>
      <c r="BC88" s="20"/>
      <c r="BD88" s="20"/>
      <c r="BE88" s="20"/>
      <c r="BF88" s="20"/>
      <c r="BG88" s="20"/>
      <c r="BH88" s="5"/>
      <c r="BI88" s="29"/>
      <c r="BJ88" s="24"/>
      <c r="BK88" s="30"/>
      <c r="BL88" s="30"/>
      <c r="BM88" s="30"/>
      <c r="BN88" s="20"/>
      <c r="BO88" s="20"/>
      <c r="BP88" s="20"/>
      <c r="BQ88" s="20"/>
      <c r="BR88" s="20"/>
      <c r="BS88" s="29"/>
    </row>
    <row r="89" spans="1:71" s="3" customFormat="1" ht="12.75">
      <c r="A89" s="3">
        <v>1999</v>
      </c>
      <c r="B89" s="38" t="s">
        <v>49</v>
      </c>
      <c r="C89" s="25">
        <f>+MITRE[[#This Row],[Trenes Puntuales]]/MITRE[[#This Row],[Trenes Programados]]</f>
        <v>0.93483943241224798</v>
      </c>
      <c r="D89" s="25">
        <f>+MITRE[[#This Row],[Trenes Puntuales]]/MITRE[[#This Row],[Trenes Corridos]]</f>
        <v>0.96511179645335388</v>
      </c>
      <c r="E89" s="25">
        <f>+MITRE[[#This Row],[Trenes Corridos]]/MITRE[[#This Row],[Trenes Programados]]</f>
        <v>0.96863330843913364</v>
      </c>
      <c r="F89" s="20">
        <v>16068</v>
      </c>
      <c r="G89" s="20">
        <f t="shared" si="12"/>
        <v>504</v>
      </c>
      <c r="H89" s="20">
        <v>15564</v>
      </c>
      <c r="I89" s="20">
        <v>15021</v>
      </c>
      <c r="J89" s="20">
        <f t="shared" si="13"/>
        <v>543</v>
      </c>
      <c r="K89" s="20"/>
      <c r="L89" s="5"/>
      <c r="M89" s="29"/>
      <c r="N89" s="24"/>
      <c r="O89" s="30"/>
      <c r="P89" s="30"/>
      <c r="Q89" s="30"/>
      <c r="R89" s="20"/>
      <c r="S89" s="20"/>
      <c r="T89" s="20"/>
      <c r="U89" s="20"/>
      <c r="V89" s="20"/>
      <c r="W89" s="20"/>
      <c r="X89" s="5"/>
      <c r="Y89" s="29"/>
      <c r="Z89" s="24"/>
      <c r="AA89" s="30"/>
      <c r="AB89" s="30"/>
      <c r="AC89" s="30"/>
      <c r="AD89" s="20"/>
      <c r="AE89" s="20"/>
      <c r="AF89" s="20"/>
      <c r="AG89" s="20"/>
      <c r="AH89" s="20"/>
      <c r="AI89" s="20"/>
      <c r="AJ89" s="5"/>
      <c r="AK89" s="29"/>
      <c r="AL89" s="24"/>
      <c r="AM89" s="30"/>
      <c r="AN89" s="30"/>
      <c r="AO89" s="30"/>
      <c r="AP89" s="20"/>
      <c r="AQ89" s="20"/>
      <c r="AR89" s="20"/>
      <c r="AS89" s="20"/>
      <c r="AT89" s="20"/>
      <c r="AU89" s="20"/>
      <c r="AV89" s="5"/>
      <c r="AW89" s="29"/>
      <c r="AX89" s="24"/>
      <c r="AY89" s="30"/>
      <c r="AZ89" s="30"/>
      <c r="BA89" s="30"/>
      <c r="BB89" s="20"/>
      <c r="BC89" s="20"/>
      <c r="BD89" s="20"/>
      <c r="BE89" s="20"/>
      <c r="BF89" s="20"/>
      <c r="BG89" s="20"/>
      <c r="BH89" s="5"/>
      <c r="BI89" s="29"/>
      <c r="BJ89" s="24"/>
      <c r="BK89" s="30"/>
      <c r="BL89" s="30"/>
      <c r="BM89" s="30"/>
      <c r="BN89" s="20"/>
      <c r="BO89" s="20"/>
      <c r="BP89" s="20"/>
      <c r="BQ89" s="20"/>
      <c r="BR89" s="20"/>
      <c r="BS89" s="29"/>
    </row>
    <row r="90" spans="1:71" s="3" customFormat="1" ht="12.75">
      <c r="A90" s="3">
        <v>2000</v>
      </c>
      <c r="B90" s="38" t="s">
        <v>38</v>
      </c>
      <c r="C90" s="25">
        <f>+MITRE[[#This Row],[Trenes Puntuales]]/MITRE[[#This Row],[Trenes Programados]]</f>
        <v>0.97877668565704623</v>
      </c>
      <c r="D90" s="25">
        <f>+MITRE[[#This Row],[Trenes Puntuales]]/MITRE[[#This Row],[Trenes Corridos]]</f>
        <v>0.98401309164149042</v>
      </c>
      <c r="E90" s="25">
        <f>+MITRE[[#This Row],[Trenes Corridos]]/MITRE[[#This Row],[Trenes Programados]]</f>
        <v>0.99467852000250423</v>
      </c>
      <c r="F90" s="20">
        <v>15973</v>
      </c>
      <c r="G90" s="20">
        <f t="shared" ref="G90:G101" si="14">F90-H90</f>
        <v>85</v>
      </c>
      <c r="H90" s="20">
        <v>15888</v>
      </c>
      <c r="I90" s="20">
        <v>15634</v>
      </c>
      <c r="J90" s="20">
        <f t="shared" ref="J90:J101" si="15">H90-I90</f>
        <v>254</v>
      </c>
      <c r="K90" s="20"/>
      <c r="L90" s="5"/>
      <c r="M90" s="29"/>
      <c r="N90" s="24"/>
      <c r="O90" s="30"/>
      <c r="P90" s="30"/>
      <c r="Q90" s="30"/>
      <c r="R90" s="20"/>
      <c r="S90" s="20"/>
      <c r="T90" s="20"/>
      <c r="U90" s="20"/>
      <c r="V90" s="20"/>
      <c r="W90" s="20"/>
      <c r="X90" s="5"/>
      <c r="Y90" s="29"/>
      <c r="Z90" s="24"/>
      <c r="AA90" s="30"/>
      <c r="AB90" s="30"/>
      <c r="AC90" s="30"/>
      <c r="AD90" s="20"/>
      <c r="AE90" s="20"/>
      <c r="AF90" s="20"/>
      <c r="AG90" s="20"/>
      <c r="AH90" s="20"/>
      <c r="AI90" s="20"/>
      <c r="AJ90" s="5"/>
      <c r="AK90" s="29"/>
      <c r="AL90" s="24"/>
      <c r="AM90" s="30"/>
      <c r="AN90" s="30"/>
      <c r="AO90" s="30"/>
      <c r="AP90" s="20"/>
      <c r="AQ90" s="20"/>
      <c r="AR90" s="20"/>
      <c r="AS90" s="20"/>
      <c r="AT90" s="20"/>
      <c r="AU90" s="20"/>
      <c r="AV90" s="5"/>
      <c r="AW90" s="29"/>
      <c r="AX90" s="24"/>
      <c r="AY90" s="30"/>
      <c r="AZ90" s="30"/>
      <c r="BA90" s="30"/>
      <c r="BB90" s="20"/>
      <c r="BC90" s="20"/>
      <c r="BD90" s="20"/>
      <c r="BE90" s="20"/>
      <c r="BF90" s="20"/>
      <c r="BG90" s="20"/>
      <c r="BH90" s="5"/>
      <c r="BI90" s="29"/>
      <c r="BJ90" s="24"/>
      <c r="BK90" s="30"/>
      <c r="BL90" s="30"/>
      <c r="BM90" s="30"/>
      <c r="BN90" s="20"/>
      <c r="BO90" s="20"/>
      <c r="BP90" s="20"/>
      <c r="BQ90" s="20"/>
      <c r="BR90" s="20"/>
      <c r="BS90" s="29"/>
    </row>
    <row r="91" spans="1:71" s="3" customFormat="1" ht="12.75">
      <c r="A91" s="3">
        <v>2000</v>
      </c>
      <c r="B91" s="38" t="s">
        <v>39</v>
      </c>
      <c r="C91" s="25">
        <f>+MITRE[[#This Row],[Trenes Puntuales]]/MITRE[[#This Row],[Trenes Programados]]</f>
        <v>0.96425070256845957</v>
      </c>
      <c r="D91" s="25">
        <f>+MITRE[[#This Row],[Trenes Puntuales]]/MITRE[[#This Row],[Trenes Corridos]]</f>
        <v>0.97521316676581404</v>
      </c>
      <c r="E91" s="25">
        <f>+MITRE[[#This Row],[Trenes Corridos]]/MITRE[[#This Row],[Trenes Programados]]</f>
        <v>0.98875890464675509</v>
      </c>
      <c r="F91" s="20">
        <v>15301</v>
      </c>
      <c r="G91" s="20">
        <f t="shared" si="14"/>
        <v>172</v>
      </c>
      <c r="H91" s="20">
        <v>15129</v>
      </c>
      <c r="I91" s="20">
        <v>14754</v>
      </c>
      <c r="J91" s="20">
        <f t="shared" si="15"/>
        <v>375</v>
      </c>
      <c r="K91" s="20"/>
      <c r="L91" s="5"/>
      <c r="M91" s="29"/>
      <c r="N91" s="24"/>
      <c r="O91" s="30"/>
      <c r="P91" s="30"/>
      <c r="Q91" s="30"/>
      <c r="R91" s="20"/>
      <c r="S91" s="20"/>
      <c r="T91" s="20"/>
      <c r="U91" s="20"/>
      <c r="V91" s="20"/>
      <c r="W91" s="20"/>
      <c r="X91" s="5"/>
      <c r="Y91" s="29"/>
      <c r="Z91" s="24"/>
      <c r="AA91" s="30"/>
      <c r="AB91" s="30"/>
      <c r="AC91" s="30"/>
      <c r="AD91" s="20"/>
      <c r="AE91" s="20"/>
      <c r="AF91" s="20"/>
      <c r="AG91" s="20"/>
      <c r="AH91" s="20"/>
      <c r="AI91" s="20"/>
      <c r="AJ91" s="5"/>
      <c r="AK91" s="29"/>
      <c r="AL91" s="24"/>
      <c r="AM91" s="30"/>
      <c r="AN91" s="30"/>
      <c r="AO91" s="30"/>
      <c r="AP91" s="20"/>
      <c r="AQ91" s="20"/>
      <c r="AR91" s="20"/>
      <c r="AS91" s="20"/>
      <c r="AT91" s="20"/>
      <c r="AU91" s="20"/>
      <c r="AV91" s="5"/>
      <c r="AW91" s="29"/>
      <c r="AX91" s="24"/>
      <c r="AY91" s="30"/>
      <c r="AZ91" s="30"/>
      <c r="BA91" s="30"/>
      <c r="BB91" s="20"/>
      <c r="BC91" s="20"/>
      <c r="BD91" s="20"/>
      <c r="BE91" s="20"/>
      <c r="BF91" s="20"/>
      <c r="BG91" s="20"/>
      <c r="BH91" s="5"/>
      <c r="BI91" s="29"/>
      <c r="BJ91" s="24"/>
      <c r="BK91" s="30"/>
      <c r="BL91" s="30"/>
      <c r="BM91" s="30"/>
      <c r="BN91" s="20"/>
      <c r="BO91" s="20"/>
      <c r="BP91" s="20"/>
      <c r="BQ91" s="20"/>
      <c r="BR91" s="20"/>
      <c r="BS91" s="29"/>
    </row>
    <row r="92" spans="1:71" s="3" customFormat="1" ht="12.75">
      <c r="A92" s="3">
        <v>2000</v>
      </c>
      <c r="B92" s="38" t="s">
        <v>40</v>
      </c>
      <c r="C92" s="25">
        <f>+MITRE[[#This Row],[Trenes Puntuales]]/MITRE[[#This Row],[Trenes Programados]]</f>
        <v>0.9528210116731517</v>
      </c>
      <c r="D92" s="25">
        <f>+MITRE[[#This Row],[Trenes Puntuales]]/MITRE[[#This Row],[Trenes Corridos]]</f>
        <v>0.96968197005321122</v>
      </c>
      <c r="E92" s="25">
        <f>+MITRE[[#This Row],[Trenes Corridos]]/MITRE[[#This Row],[Trenes Programados]]</f>
        <v>0.98261186770428011</v>
      </c>
      <c r="F92" s="20">
        <v>16448</v>
      </c>
      <c r="G92" s="20">
        <f t="shared" si="14"/>
        <v>286</v>
      </c>
      <c r="H92" s="20">
        <v>16162</v>
      </c>
      <c r="I92" s="20">
        <v>15672</v>
      </c>
      <c r="J92" s="20">
        <f t="shared" si="15"/>
        <v>490</v>
      </c>
      <c r="K92" s="20"/>
      <c r="L92" s="5"/>
      <c r="M92" s="29"/>
      <c r="N92" s="24"/>
      <c r="O92" s="30"/>
      <c r="P92" s="30"/>
      <c r="Q92" s="30"/>
      <c r="R92" s="20"/>
      <c r="S92" s="20"/>
      <c r="T92" s="20"/>
      <c r="U92" s="20"/>
      <c r="V92" s="20"/>
      <c r="W92" s="20"/>
      <c r="X92" s="5"/>
      <c r="Y92" s="29"/>
      <c r="Z92" s="24"/>
      <c r="AA92" s="30"/>
      <c r="AB92" s="30"/>
      <c r="AC92" s="30"/>
      <c r="AD92" s="20"/>
      <c r="AE92" s="20"/>
      <c r="AF92" s="20"/>
      <c r="AG92" s="20"/>
      <c r="AH92" s="20"/>
      <c r="AI92" s="20"/>
      <c r="AJ92" s="5"/>
      <c r="AK92" s="29"/>
      <c r="AL92" s="24"/>
      <c r="AM92" s="30"/>
      <c r="AN92" s="30"/>
      <c r="AO92" s="30"/>
      <c r="AP92" s="20"/>
      <c r="AQ92" s="20"/>
      <c r="AR92" s="20"/>
      <c r="AS92" s="20"/>
      <c r="AT92" s="20"/>
      <c r="AU92" s="20"/>
      <c r="AV92" s="5"/>
      <c r="AW92" s="29"/>
      <c r="AX92" s="24"/>
      <c r="AY92" s="30"/>
      <c r="AZ92" s="30"/>
      <c r="BA92" s="30"/>
      <c r="BB92" s="20"/>
      <c r="BC92" s="20"/>
      <c r="BD92" s="20"/>
      <c r="BE92" s="20"/>
      <c r="BF92" s="20"/>
      <c r="BG92" s="20"/>
      <c r="BH92" s="5"/>
      <c r="BI92" s="29"/>
      <c r="BJ92" s="24"/>
      <c r="BK92" s="30"/>
      <c r="BL92" s="30"/>
      <c r="BM92" s="30"/>
      <c r="BN92" s="20"/>
      <c r="BO92" s="20"/>
      <c r="BP92" s="20"/>
      <c r="BQ92" s="20"/>
      <c r="BR92" s="20"/>
      <c r="BS92" s="29"/>
    </row>
    <row r="93" spans="1:71" s="3" customFormat="1" ht="12.75">
      <c r="A93" s="3">
        <v>2000</v>
      </c>
      <c r="B93" s="38" t="s">
        <v>41</v>
      </c>
      <c r="C93" s="25">
        <f>+MITRE[[#This Row],[Trenes Puntuales]]/MITRE[[#This Row],[Trenes Programados]]</f>
        <v>0.9555816839767457</v>
      </c>
      <c r="D93" s="25">
        <f>+MITRE[[#This Row],[Trenes Puntuales]]/MITRE[[#This Row],[Trenes Corridos]]</f>
        <v>0.96205445218992502</v>
      </c>
      <c r="E93" s="25">
        <f>+MITRE[[#This Row],[Trenes Corridos]]/MITRE[[#This Row],[Trenes Programados]]</f>
        <v>0.99327193154353643</v>
      </c>
      <c r="F93" s="20">
        <v>15309</v>
      </c>
      <c r="G93" s="20">
        <f t="shared" si="14"/>
        <v>103</v>
      </c>
      <c r="H93" s="20">
        <v>15206</v>
      </c>
      <c r="I93" s="20">
        <v>14629</v>
      </c>
      <c r="J93" s="20">
        <f t="shared" si="15"/>
        <v>577</v>
      </c>
      <c r="K93" s="20"/>
      <c r="L93" s="5"/>
      <c r="M93" s="29"/>
      <c r="N93" s="24"/>
      <c r="O93" s="30"/>
      <c r="P93" s="30"/>
      <c r="Q93" s="30"/>
      <c r="R93" s="20"/>
      <c r="S93" s="20"/>
      <c r="T93" s="20"/>
      <c r="U93" s="20"/>
      <c r="V93" s="20"/>
      <c r="W93" s="20"/>
      <c r="X93" s="5"/>
      <c r="Y93" s="29"/>
      <c r="Z93" s="24"/>
      <c r="AA93" s="30"/>
      <c r="AB93" s="30"/>
      <c r="AC93" s="30"/>
      <c r="AD93" s="20"/>
      <c r="AE93" s="20"/>
      <c r="AF93" s="20"/>
      <c r="AG93" s="20"/>
      <c r="AH93" s="20"/>
      <c r="AI93" s="20"/>
      <c r="AJ93" s="5"/>
      <c r="AK93" s="29"/>
      <c r="AL93" s="24"/>
      <c r="AM93" s="30"/>
      <c r="AN93" s="30"/>
      <c r="AO93" s="30"/>
      <c r="AP93" s="20"/>
      <c r="AQ93" s="20"/>
      <c r="AR93" s="20"/>
      <c r="AS93" s="20"/>
      <c r="AT93" s="20"/>
      <c r="AU93" s="20"/>
      <c r="AV93" s="5"/>
      <c r="AW93" s="29"/>
      <c r="AX93" s="24"/>
      <c r="AY93" s="30"/>
      <c r="AZ93" s="30"/>
      <c r="BA93" s="30"/>
      <c r="BB93" s="20"/>
      <c r="BC93" s="20"/>
      <c r="BD93" s="20"/>
      <c r="BE93" s="20"/>
      <c r="BF93" s="20"/>
      <c r="BG93" s="20"/>
      <c r="BH93" s="5"/>
      <c r="BI93" s="29"/>
      <c r="BJ93" s="24"/>
      <c r="BK93" s="30"/>
      <c r="BL93" s="30"/>
      <c r="BM93" s="30"/>
      <c r="BN93" s="20"/>
      <c r="BO93" s="20"/>
      <c r="BP93" s="20"/>
      <c r="BQ93" s="20"/>
      <c r="BR93" s="20"/>
      <c r="BS93" s="29"/>
    </row>
    <row r="94" spans="1:71" s="3" customFormat="1" ht="12.75">
      <c r="A94" s="3">
        <v>2000</v>
      </c>
      <c r="B94" s="38" t="s">
        <v>42</v>
      </c>
      <c r="C94" s="25">
        <f>+MITRE[[#This Row],[Trenes Puntuales]]/MITRE[[#This Row],[Trenes Programados]]</f>
        <v>0.94239689106180269</v>
      </c>
      <c r="D94" s="25">
        <f>+MITRE[[#This Row],[Trenes Puntuales]]/MITRE[[#This Row],[Trenes Corridos]]</f>
        <v>0.96236318248735842</v>
      </c>
      <c r="E94" s="25">
        <f>+MITRE[[#This Row],[Trenes Corridos]]/MITRE[[#This Row],[Trenes Programados]]</f>
        <v>0.97925285194935441</v>
      </c>
      <c r="F94" s="20">
        <v>15954</v>
      </c>
      <c r="G94" s="20">
        <f t="shared" si="14"/>
        <v>331</v>
      </c>
      <c r="H94" s="20">
        <v>15623</v>
      </c>
      <c r="I94" s="20">
        <v>15035</v>
      </c>
      <c r="J94" s="20">
        <f t="shared" si="15"/>
        <v>588</v>
      </c>
      <c r="K94" s="20"/>
      <c r="L94" s="5"/>
      <c r="M94" s="29"/>
      <c r="N94" s="24"/>
      <c r="O94" s="30"/>
      <c r="P94" s="30"/>
      <c r="Q94" s="30"/>
      <c r="R94" s="20"/>
      <c r="S94" s="20"/>
      <c r="T94" s="20"/>
      <c r="U94" s="20"/>
      <c r="V94" s="20"/>
      <c r="W94" s="20"/>
      <c r="X94" s="5"/>
      <c r="Y94" s="29"/>
      <c r="Z94" s="24"/>
      <c r="AA94" s="30"/>
      <c r="AB94" s="30"/>
      <c r="AC94" s="30"/>
      <c r="AD94" s="20"/>
      <c r="AE94" s="20"/>
      <c r="AF94" s="20"/>
      <c r="AG94" s="20"/>
      <c r="AH94" s="20"/>
      <c r="AI94" s="20"/>
      <c r="AJ94" s="5"/>
      <c r="AK94" s="29"/>
      <c r="AL94" s="24"/>
      <c r="AM94" s="30"/>
      <c r="AN94" s="30"/>
      <c r="AO94" s="30"/>
      <c r="AP94" s="20"/>
      <c r="AQ94" s="20"/>
      <c r="AR94" s="20"/>
      <c r="AS94" s="20"/>
      <c r="AT94" s="20"/>
      <c r="AU94" s="20"/>
      <c r="AV94" s="5"/>
      <c r="AW94" s="29"/>
      <c r="AX94" s="24"/>
      <c r="AY94" s="30"/>
      <c r="AZ94" s="30"/>
      <c r="BA94" s="30"/>
      <c r="BB94" s="20"/>
      <c r="BC94" s="20"/>
      <c r="BD94" s="20"/>
      <c r="BE94" s="20"/>
      <c r="BF94" s="20"/>
      <c r="BG94" s="20"/>
      <c r="BH94" s="5"/>
      <c r="BI94" s="29"/>
      <c r="BJ94" s="24"/>
      <c r="BK94" s="30"/>
      <c r="BL94" s="30"/>
      <c r="BM94" s="30"/>
      <c r="BN94" s="20"/>
      <c r="BO94" s="20"/>
      <c r="BP94" s="20"/>
      <c r="BQ94" s="20"/>
      <c r="BR94" s="20"/>
      <c r="BS94" s="29"/>
    </row>
    <row r="95" spans="1:71" s="3" customFormat="1" ht="12.75">
      <c r="A95" s="3">
        <v>2000</v>
      </c>
      <c r="B95" s="38" t="s">
        <v>43</v>
      </c>
      <c r="C95" s="25">
        <f>+MITRE[[#This Row],[Trenes Puntuales]]/MITRE[[#This Row],[Trenes Programados]]</f>
        <v>0.8909278883432411</v>
      </c>
      <c r="D95" s="25">
        <f>+MITRE[[#This Row],[Trenes Puntuales]]/MITRE[[#This Row],[Trenes Corridos]]</f>
        <v>0.93585827733659133</v>
      </c>
      <c r="E95" s="25">
        <f>+MITRE[[#This Row],[Trenes Corridos]]/MITRE[[#This Row],[Trenes Programados]]</f>
        <v>0.95199017834065647</v>
      </c>
      <c r="F95" s="20">
        <v>15476</v>
      </c>
      <c r="G95" s="20">
        <f t="shared" si="14"/>
        <v>743</v>
      </c>
      <c r="H95" s="20">
        <v>14733</v>
      </c>
      <c r="I95" s="20">
        <v>13788</v>
      </c>
      <c r="J95" s="20">
        <f t="shared" si="15"/>
        <v>945</v>
      </c>
      <c r="K95" s="20"/>
      <c r="L95" s="5"/>
      <c r="M95" s="29"/>
      <c r="N95" s="24"/>
      <c r="O95" s="30"/>
      <c r="P95" s="30"/>
      <c r="Q95" s="30"/>
      <c r="R95" s="20"/>
      <c r="S95" s="20"/>
      <c r="T95" s="20"/>
      <c r="U95" s="20"/>
      <c r="V95" s="20"/>
      <c r="W95" s="20"/>
      <c r="X95" s="5"/>
      <c r="Y95" s="29"/>
      <c r="Z95" s="24"/>
      <c r="AA95" s="30"/>
      <c r="AB95" s="30"/>
      <c r="AC95" s="30"/>
      <c r="AD95" s="20"/>
      <c r="AE95" s="20"/>
      <c r="AF95" s="20"/>
      <c r="AG95" s="20"/>
      <c r="AH95" s="20"/>
      <c r="AI95" s="20"/>
      <c r="AJ95" s="5"/>
      <c r="AK95" s="29"/>
      <c r="AL95" s="24"/>
      <c r="AM95" s="30"/>
      <c r="AN95" s="30"/>
      <c r="AO95" s="30"/>
      <c r="AP95" s="20"/>
      <c r="AQ95" s="20"/>
      <c r="AR95" s="20"/>
      <c r="AS95" s="20"/>
      <c r="AT95" s="20"/>
      <c r="AU95" s="20"/>
      <c r="AV95" s="5"/>
      <c r="AW95" s="29"/>
      <c r="AX95" s="24"/>
      <c r="AY95" s="30"/>
      <c r="AZ95" s="30"/>
      <c r="BA95" s="30"/>
      <c r="BB95" s="20"/>
      <c r="BC95" s="20"/>
      <c r="BD95" s="20"/>
      <c r="BE95" s="20"/>
      <c r="BF95" s="20"/>
      <c r="BG95" s="20"/>
      <c r="BH95" s="5"/>
      <c r="BI95" s="29"/>
      <c r="BJ95" s="24"/>
      <c r="BK95" s="30"/>
      <c r="BL95" s="30"/>
      <c r="BM95" s="30"/>
      <c r="BN95" s="20"/>
      <c r="BO95" s="20"/>
      <c r="BP95" s="20"/>
      <c r="BQ95" s="20"/>
      <c r="BR95" s="20"/>
      <c r="BS95" s="29"/>
    </row>
    <row r="96" spans="1:71" s="3" customFormat="1" ht="12.75">
      <c r="A96" s="3">
        <v>2000</v>
      </c>
      <c r="B96" s="38" t="s">
        <v>44</v>
      </c>
      <c r="C96" s="25">
        <f>+MITRE[[#This Row],[Trenes Puntuales]]/MITRE[[#This Row],[Trenes Programados]]</f>
        <v>0.96315854870775353</v>
      </c>
      <c r="D96" s="25">
        <f>+MITRE[[#This Row],[Trenes Puntuales]]/MITRE[[#This Row],[Trenes Corridos]]</f>
        <v>0.97008948125899508</v>
      </c>
      <c r="E96" s="25">
        <f>+MITRE[[#This Row],[Trenes Corridos]]/MITRE[[#This Row],[Trenes Programados]]</f>
        <v>0.99285536779324057</v>
      </c>
      <c r="F96" s="20">
        <v>16096</v>
      </c>
      <c r="G96" s="20">
        <f t="shared" si="14"/>
        <v>115</v>
      </c>
      <c r="H96" s="20">
        <v>15981</v>
      </c>
      <c r="I96" s="20">
        <v>15503</v>
      </c>
      <c r="J96" s="20">
        <f t="shared" si="15"/>
        <v>478</v>
      </c>
      <c r="K96" s="20"/>
      <c r="L96" s="5"/>
      <c r="M96" s="29"/>
      <c r="N96" s="24"/>
      <c r="O96" s="30"/>
      <c r="P96" s="30"/>
      <c r="Q96" s="30"/>
      <c r="R96" s="20"/>
      <c r="S96" s="20"/>
      <c r="T96" s="20"/>
      <c r="U96" s="20"/>
      <c r="V96" s="20"/>
      <c r="W96" s="20"/>
      <c r="X96" s="5"/>
      <c r="Y96" s="29"/>
      <c r="Z96" s="24"/>
      <c r="AA96" s="30"/>
      <c r="AB96" s="30"/>
      <c r="AC96" s="30"/>
      <c r="AD96" s="20"/>
      <c r="AE96" s="20"/>
      <c r="AF96" s="20"/>
      <c r="AG96" s="20"/>
      <c r="AH96" s="20"/>
      <c r="AI96" s="20"/>
      <c r="AJ96" s="5"/>
      <c r="AK96" s="29"/>
      <c r="AL96" s="24"/>
      <c r="AM96" s="30"/>
      <c r="AN96" s="30"/>
      <c r="AO96" s="30"/>
      <c r="AP96" s="20"/>
      <c r="AQ96" s="20"/>
      <c r="AR96" s="20"/>
      <c r="AS96" s="20"/>
      <c r="AT96" s="20"/>
      <c r="AU96" s="20"/>
      <c r="AV96" s="5"/>
      <c r="AW96" s="29"/>
      <c r="AX96" s="24"/>
      <c r="AY96" s="30"/>
      <c r="AZ96" s="30"/>
      <c r="BA96" s="30"/>
      <c r="BB96" s="20"/>
      <c r="BC96" s="20"/>
      <c r="BD96" s="20"/>
      <c r="BE96" s="20"/>
      <c r="BF96" s="20"/>
      <c r="BG96" s="20"/>
      <c r="BH96" s="5"/>
      <c r="BI96" s="29"/>
      <c r="BJ96" s="24"/>
      <c r="BK96" s="30"/>
      <c r="BL96" s="30"/>
      <c r="BM96" s="30"/>
      <c r="BN96" s="20"/>
      <c r="BO96" s="20"/>
      <c r="BP96" s="20"/>
      <c r="BQ96" s="20"/>
      <c r="BR96" s="20"/>
      <c r="BS96" s="29"/>
    </row>
    <row r="97" spans="1:71" s="3" customFormat="1" ht="12.75">
      <c r="A97" s="3">
        <v>2000</v>
      </c>
      <c r="B97" s="38" t="s">
        <v>45</v>
      </c>
      <c r="C97" s="25">
        <f>+MITRE[[#This Row],[Trenes Puntuales]]/MITRE[[#This Row],[Trenes Programados]]</f>
        <v>0.96060755742158555</v>
      </c>
      <c r="D97" s="25">
        <f>+MITRE[[#This Row],[Trenes Puntuales]]/MITRE[[#This Row],[Trenes Corridos]]</f>
        <v>0.97359198998748431</v>
      </c>
      <c r="E97" s="25">
        <f>+MITRE[[#This Row],[Trenes Corridos]]/MITRE[[#This Row],[Trenes Programados]]</f>
        <v>0.98666337367251178</v>
      </c>
      <c r="F97" s="20">
        <v>16196</v>
      </c>
      <c r="G97" s="20">
        <f t="shared" si="14"/>
        <v>216</v>
      </c>
      <c r="H97" s="20">
        <v>15980</v>
      </c>
      <c r="I97" s="20">
        <v>15558</v>
      </c>
      <c r="J97" s="20">
        <f t="shared" si="15"/>
        <v>422</v>
      </c>
      <c r="K97" s="20"/>
      <c r="L97" s="5"/>
      <c r="M97" s="29"/>
      <c r="N97" s="24"/>
      <c r="O97" s="30"/>
      <c r="P97" s="30"/>
      <c r="Q97" s="30"/>
      <c r="R97" s="20"/>
      <c r="S97" s="20"/>
      <c r="T97" s="20"/>
      <c r="U97" s="20"/>
      <c r="V97" s="20"/>
      <c r="W97" s="20"/>
      <c r="X97" s="5"/>
      <c r="Y97" s="29"/>
      <c r="Z97" s="24"/>
      <c r="AA97" s="30"/>
      <c r="AB97" s="30"/>
      <c r="AC97" s="30"/>
      <c r="AD97" s="20"/>
      <c r="AE97" s="20"/>
      <c r="AF97" s="20"/>
      <c r="AG97" s="20"/>
      <c r="AH97" s="20"/>
      <c r="AI97" s="20"/>
      <c r="AJ97" s="5"/>
      <c r="AK97" s="29"/>
      <c r="AL97" s="24"/>
      <c r="AM97" s="30"/>
      <c r="AN97" s="30"/>
      <c r="AO97" s="30"/>
      <c r="AP97" s="20"/>
      <c r="AQ97" s="20"/>
      <c r="AR97" s="20"/>
      <c r="AS97" s="20"/>
      <c r="AT97" s="20"/>
      <c r="AU97" s="20"/>
      <c r="AV97" s="5"/>
      <c r="AW97" s="29"/>
      <c r="AX97" s="24"/>
      <c r="AY97" s="30"/>
      <c r="AZ97" s="30"/>
      <c r="BA97" s="30"/>
      <c r="BB97" s="20"/>
      <c r="BC97" s="20"/>
      <c r="BD97" s="20"/>
      <c r="BE97" s="20"/>
      <c r="BF97" s="20"/>
      <c r="BG97" s="20"/>
      <c r="BH97" s="5"/>
      <c r="BI97" s="29"/>
      <c r="BJ97" s="24"/>
      <c r="BK97" s="30"/>
      <c r="BL97" s="30"/>
      <c r="BM97" s="30"/>
      <c r="BN97" s="20"/>
      <c r="BO97" s="20"/>
      <c r="BP97" s="20"/>
      <c r="BQ97" s="20"/>
      <c r="BR97" s="20"/>
      <c r="BS97" s="29"/>
    </row>
    <row r="98" spans="1:71" s="3" customFormat="1" ht="12.75">
      <c r="A98" s="3">
        <v>2000</v>
      </c>
      <c r="B98" s="38" t="s">
        <v>46</v>
      </c>
      <c r="C98" s="25">
        <f>+MITRE[[#This Row],[Trenes Puntuales]]/MITRE[[#This Row],[Trenes Programados]]</f>
        <v>0.9544589623239883</v>
      </c>
      <c r="D98" s="25">
        <f>+MITRE[[#This Row],[Trenes Puntuales]]/MITRE[[#This Row],[Trenes Corridos]]</f>
        <v>0.97008767405879315</v>
      </c>
      <c r="E98" s="25">
        <f>+MITRE[[#This Row],[Trenes Corridos]]/MITRE[[#This Row],[Trenes Programados]]</f>
        <v>0.98388938221489286</v>
      </c>
      <c r="F98" s="20">
        <v>15766</v>
      </c>
      <c r="G98" s="20">
        <f t="shared" si="14"/>
        <v>254</v>
      </c>
      <c r="H98" s="20">
        <v>15512</v>
      </c>
      <c r="I98" s="20">
        <v>15048</v>
      </c>
      <c r="J98" s="20">
        <f t="shared" si="15"/>
        <v>464</v>
      </c>
      <c r="K98" s="20"/>
      <c r="L98" s="5"/>
      <c r="M98" s="29"/>
      <c r="N98" s="24"/>
      <c r="O98" s="30"/>
      <c r="P98" s="30"/>
      <c r="Q98" s="30"/>
      <c r="R98" s="20"/>
      <c r="S98" s="20"/>
      <c r="T98" s="20"/>
      <c r="U98" s="20"/>
      <c r="V98" s="20"/>
      <c r="W98" s="20"/>
      <c r="X98" s="5"/>
      <c r="Y98" s="29"/>
      <c r="Z98" s="24"/>
      <c r="AA98" s="30"/>
      <c r="AB98" s="30"/>
      <c r="AC98" s="30"/>
      <c r="AD98" s="20"/>
      <c r="AE98" s="20"/>
      <c r="AF98" s="20"/>
      <c r="AG98" s="20"/>
      <c r="AH98" s="20"/>
      <c r="AI98" s="20"/>
      <c r="AJ98" s="5"/>
      <c r="AK98" s="29"/>
      <c r="AL98" s="24"/>
      <c r="AM98" s="30"/>
      <c r="AN98" s="30"/>
      <c r="AO98" s="30"/>
      <c r="AP98" s="20"/>
      <c r="AQ98" s="20"/>
      <c r="AR98" s="20"/>
      <c r="AS98" s="20"/>
      <c r="AT98" s="20"/>
      <c r="AU98" s="20"/>
      <c r="AV98" s="5"/>
      <c r="AW98" s="29"/>
      <c r="AX98" s="24"/>
      <c r="AY98" s="30"/>
      <c r="AZ98" s="30"/>
      <c r="BA98" s="30"/>
      <c r="BB98" s="20"/>
      <c r="BC98" s="20"/>
      <c r="BD98" s="20"/>
      <c r="BE98" s="20"/>
      <c r="BF98" s="20"/>
      <c r="BG98" s="20"/>
      <c r="BH98" s="5"/>
      <c r="BI98" s="29"/>
      <c r="BJ98" s="24"/>
      <c r="BK98" s="30"/>
      <c r="BL98" s="30"/>
      <c r="BM98" s="30"/>
      <c r="BN98" s="20"/>
      <c r="BO98" s="20"/>
      <c r="BP98" s="20"/>
      <c r="BQ98" s="20"/>
      <c r="BR98" s="20"/>
      <c r="BS98" s="29"/>
    </row>
    <row r="99" spans="1:71" s="3" customFormat="1" ht="12.75">
      <c r="A99" s="3">
        <v>2000</v>
      </c>
      <c r="B99" s="38" t="s">
        <v>47</v>
      </c>
      <c r="C99" s="25">
        <f>+MITRE[[#This Row],[Trenes Puntuales]]/MITRE[[#This Row],[Trenes Programados]]</f>
        <v>0.95776942355889727</v>
      </c>
      <c r="D99" s="25">
        <f>+MITRE[[#This Row],[Trenes Puntuales]]/MITRE[[#This Row],[Trenes Corridos]]</f>
        <v>0.9713414246679799</v>
      </c>
      <c r="E99" s="25">
        <f>+MITRE[[#This Row],[Trenes Corridos]]/MITRE[[#This Row],[Trenes Programados]]</f>
        <v>0.98602756892230581</v>
      </c>
      <c r="F99" s="20">
        <v>15960</v>
      </c>
      <c r="G99" s="20">
        <f t="shared" si="14"/>
        <v>223</v>
      </c>
      <c r="H99" s="20">
        <v>15737</v>
      </c>
      <c r="I99" s="20">
        <v>15286</v>
      </c>
      <c r="J99" s="20">
        <f t="shared" si="15"/>
        <v>451</v>
      </c>
      <c r="K99" s="20"/>
      <c r="L99" s="5"/>
      <c r="M99" s="29"/>
      <c r="N99" s="24"/>
      <c r="O99" s="30"/>
      <c r="P99" s="30"/>
      <c r="Q99" s="30"/>
      <c r="R99" s="20"/>
      <c r="S99" s="20"/>
      <c r="T99" s="20"/>
      <c r="U99" s="20"/>
      <c r="V99" s="20"/>
      <c r="W99" s="20"/>
      <c r="X99" s="5"/>
      <c r="Y99" s="29"/>
      <c r="Z99" s="24"/>
      <c r="AA99" s="30"/>
      <c r="AB99" s="30"/>
      <c r="AC99" s="30"/>
      <c r="AD99" s="20"/>
      <c r="AE99" s="20"/>
      <c r="AF99" s="20"/>
      <c r="AG99" s="20"/>
      <c r="AH99" s="20"/>
      <c r="AI99" s="20"/>
      <c r="AJ99" s="5"/>
      <c r="AK99" s="29"/>
      <c r="AL99" s="24"/>
      <c r="AM99" s="30"/>
      <c r="AN99" s="30"/>
      <c r="AO99" s="30"/>
      <c r="AP99" s="20"/>
      <c r="AQ99" s="20"/>
      <c r="AR99" s="20"/>
      <c r="AS99" s="20"/>
      <c r="AT99" s="20"/>
      <c r="AU99" s="20"/>
      <c r="AV99" s="5"/>
      <c r="AW99" s="29"/>
      <c r="AX99" s="24"/>
      <c r="AY99" s="30"/>
      <c r="AZ99" s="30"/>
      <c r="BA99" s="30"/>
      <c r="BB99" s="20"/>
      <c r="BC99" s="20"/>
      <c r="BD99" s="20"/>
      <c r="BE99" s="20"/>
      <c r="BF99" s="20"/>
      <c r="BG99" s="20"/>
      <c r="BH99" s="5"/>
      <c r="BI99" s="29"/>
      <c r="BJ99" s="24"/>
      <c r="BK99" s="30"/>
      <c r="BL99" s="30"/>
      <c r="BM99" s="30"/>
      <c r="BN99" s="20"/>
      <c r="BO99" s="20"/>
      <c r="BP99" s="20"/>
      <c r="BQ99" s="20"/>
      <c r="BR99" s="20"/>
      <c r="BS99" s="29"/>
    </row>
    <row r="100" spans="1:71" s="3" customFormat="1" ht="12.75">
      <c r="A100" s="3">
        <v>2000</v>
      </c>
      <c r="B100" s="38" t="s">
        <v>48</v>
      </c>
      <c r="C100" s="25">
        <f>+MITRE[[#This Row],[Trenes Puntuales]]/MITRE[[#This Row],[Trenes Programados]]</f>
        <v>0.92936427850655901</v>
      </c>
      <c r="D100" s="25">
        <f>+MITRE[[#This Row],[Trenes Puntuales]]/MITRE[[#This Row],[Trenes Corridos]]</f>
        <v>0.97816130102887489</v>
      </c>
      <c r="E100" s="25">
        <f>+MITRE[[#This Row],[Trenes Corridos]]/MITRE[[#This Row],[Trenes Programados]]</f>
        <v>0.95011352169525731</v>
      </c>
      <c r="F100" s="20">
        <v>15856</v>
      </c>
      <c r="G100" s="20">
        <f t="shared" si="14"/>
        <v>791</v>
      </c>
      <c r="H100" s="20">
        <v>15065</v>
      </c>
      <c r="I100" s="20">
        <v>14736</v>
      </c>
      <c r="J100" s="20">
        <f t="shared" si="15"/>
        <v>329</v>
      </c>
      <c r="K100" s="20"/>
      <c r="L100" s="5"/>
      <c r="M100" s="29"/>
      <c r="N100" s="24"/>
      <c r="O100" s="30"/>
      <c r="P100" s="30"/>
      <c r="Q100" s="30"/>
      <c r="R100" s="20"/>
      <c r="S100" s="20"/>
      <c r="T100" s="20"/>
      <c r="U100" s="20"/>
      <c r="V100" s="20"/>
      <c r="W100" s="20"/>
      <c r="X100" s="5"/>
      <c r="Y100" s="29"/>
      <c r="Z100" s="24"/>
      <c r="AA100" s="30"/>
      <c r="AB100" s="30"/>
      <c r="AC100" s="30"/>
      <c r="AD100" s="20"/>
      <c r="AE100" s="20"/>
      <c r="AF100" s="20"/>
      <c r="AG100" s="20"/>
      <c r="AH100" s="20"/>
      <c r="AI100" s="20"/>
      <c r="AJ100" s="5"/>
      <c r="AK100" s="29"/>
      <c r="AL100" s="24"/>
      <c r="AM100" s="30"/>
      <c r="AN100" s="30"/>
      <c r="AO100" s="30"/>
      <c r="AP100" s="20"/>
      <c r="AQ100" s="20"/>
      <c r="AR100" s="20"/>
      <c r="AS100" s="20"/>
      <c r="AT100" s="20"/>
      <c r="AU100" s="20"/>
      <c r="AV100" s="5"/>
      <c r="AW100" s="29"/>
      <c r="AX100" s="24"/>
      <c r="AY100" s="30"/>
      <c r="AZ100" s="30"/>
      <c r="BA100" s="30"/>
      <c r="BB100" s="20"/>
      <c r="BC100" s="20"/>
      <c r="BD100" s="20"/>
      <c r="BE100" s="20"/>
      <c r="BF100" s="20"/>
      <c r="BG100" s="20"/>
      <c r="BH100" s="5"/>
      <c r="BI100" s="29"/>
      <c r="BJ100" s="24"/>
      <c r="BK100" s="30"/>
      <c r="BL100" s="30"/>
      <c r="BM100" s="30"/>
      <c r="BN100" s="20"/>
      <c r="BO100" s="20"/>
      <c r="BP100" s="20"/>
      <c r="BQ100" s="20"/>
      <c r="BR100" s="20"/>
      <c r="BS100" s="29"/>
    </row>
    <row r="101" spans="1:71" s="3" customFormat="1" ht="12.75">
      <c r="A101" s="3">
        <v>2000</v>
      </c>
      <c r="B101" s="38" t="s">
        <v>49</v>
      </c>
      <c r="C101" s="25">
        <f>+MITRE[[#This Row],[Trenes Puntuales]]/MITRE[[#This Row],[Trenes Programados]]</f>
        <v>0.94339622641509435</v>
      </c>
      <c r="D101" s="25">
        <f>+MITRE[[#This Row],[Trenes Puntuales]]/MITRE[[#This Row],[Trenes Corridos]]</f>
        <v>0.97263435542367294</v>
      </c>
      <c r="E101" s="25">
        <f>+MITRE[[#This Row],[Trenes Corridos]]/MITRE[[#This Row],[Trenes Programados]]</f>
        <v>0.9699392388871122</v>
      </c>
      <c r="F101" s="20">
        <v>15635</v>
      </c>
      <c r="G101" s="20">
        <f t="shared" si="14"/>
        <v>470</v>
      </c>
      <c r="H101" s="20">
        <v>15165</v>
      </c>
      <c r="I101" s="20">
        <v>14750</v>
      </c>
      <c r="J101" s="20">
        <f t="shared" si="15"/>
        <v>415</v>
      </c>
      <c r="K101" s="20"/>
      <c r="L101" s="5"/>
      <c r="M101" s="29"/>
      <c r="N101" s="24"/>
      <c r="O101" s="30"/>
      <c r="P101" s="30"/>
      <c r="Q101" s="30"/>
      <c r="R101" s="20"/>
      <c r="S101" s="20"/>
      <c r="T101" s="20"/>
      <c r="U101" s="20"/>
      <c r="V101" s="20"/>
      <c r="W101" s="20"/>
      <c r="X101" s="5"/>
      <c r="Y101" s="29"/>
      <c r="Z101" s="24"/>
      <c r="AA101" s="30"/>
      <c r="AB101" s="30"/>
      <c r="AC101" s="30"/>
      <c r="AD101" s="20"/>
      <c r="AE101" s="20"/>
      <c r="AF101" s="20"/>
      <c r="AG101" s="20"/>
      <c r="AH101" s="20"/>
      <c r="AI101" s="20"/>
      <c r="AJ101" s="5"/>
      <c r="AK101" s="29"/>
      <c r="AL101" s="24"/>
      <c r="AM101" s="30"/>
      <c r="AN101" s="30"/>
      <c r="AO101" s="30"/>
      <c r="AP101" s="20"/>
      <c r="AQ101" s="20"/>
      <c r="AR101" s="20"/>
      <c r="AS101" s="20"/>
      <c r="AT101" s="20"/>
      <c r="AU101" s="20"/>
      <c r="AV101" s="5"/>
      <c r="AW101" s="29"/>
      <c r="AX101" s="24"/>
      <c r="AY101" s="30"/>
      <c r="AZ101" s="30"/>
      <c r="BA101" s="30"/>
      <c r="BB101" s="20"/>
      <c r="BC101" s="20"/>
      <c r="BD101" s="20"/>
      <c r="BE101" s="20"/>
      <c r="BF101" s="20"/>
      <c r="BG101" s="20"/>
      <c r="BH101" s="5"/>
      <c r="BI101" s="29"/>
      <c r="BJ101" s="24"/>
      <c r="BK101" s="30"/>
      <c r="BL101" s="30"/>
      <c r="BM101" s="30"/>
      <c r="BN101" s="20"/>
      <c r="BO101" s="20"/>
      <c r="BP101" s="20"/>
      <c r="BQ101" s="20"/>
      <c r="BR101" s="20"/>
      <c r="BS101" s="29"/>
    </row>
    <row r="102" spans="1:71" s="3" customFormat="1" ht="12.75">
      <c r="A102" s="3">
        <v>2001</v>
      </c>
      <c r="B102" s="38" t="s">
        <v>38</v>
      </c>
      <c r="C102" s="25">
        <f>+MITRE[[#This Row],[Trenes Puntuales]]/MITRE[[#This Row],[Trenes Programados]]</f>
        <v>0.95552810376775787</v>
      </c>
      <c r="D102" s="25">
        <f>+MITRE[[#This Row],[Trenes Puntuales]]/MITRE[[#This Row],[Trenes Corridos]]</f>
        <v>0.97387472458293989</v>
      </c>
      <c r="E102" s="25">
        <f>+MITRE[[#This Row],[Trenes Corridos]]/MITRE[[#This Row],[Trenes Programados]]</f>
        <v>0.98116121062384187</v>
      </c>
      <c r="F102" s="20">
        <v>16190</v>
      </c>
      <c r="G102" s="20">
        <f t="shared" ref="G102:G113" si="16">F102-H102</f>
        <v>305</v>
      </c>
      <c r="H102" s="20">
        <v>15885</v>
      </c>
      <c r="I102" s="20">
        <v>15470</v>
      </c>
      <c r="J102" s="20">
        <f t="shared" ref="J102:J113" si="17">H102-I102</f>
        <v>415</v>
      </c>
      <c r="K102" s="20"/>
      <c r="L102" s="5"/>
      <c r="M102" s="29"/>
      <c r="N102" s="24"/>
      <c r="O102" s="30"/>
      <c r="P102" s="30"/>
      <c r="Q102" s="30"/>
      <c r="R102" s="20"/>
      <c r="S102" s="20"/>
      <c r="T102" s="20"/>
      <c r="U102" s="20"/>
      <c r="V102" s="20"/>
      <c r="W102" s="20"/>
      <c r="X102" s="5"/>
      <c r="Y102" s="29"/>
      <c r="Z102" s="24"/>
      <c r="AA102" s="30"/>
      <c r="AB102" s="30"/>
      <c r="AC102" s="30"/>
      <c r="AD102" s="20"/>
      <c r="AE102" s="20"/>
      <c r="AF102" s="20"/>
      <c r="AG102" s="20"/>
      <c r="AH102" s="20"/>
      <c r="AI102" s="20"/>
      <c r="AJ102" s="5"/>
      <c r="AK102" s="29"/>
      <c r="AL102" s="24"/>
      <c r="AM102" s="30"/>
      <c r="AN102" s="30"/>
      <c r="AO102" s="30"/>
      <c r="AP102" s="20"/>
      <c r="AQ102" s="20"/>
      <c r="AR102" s="20"/>
      <c r="AS102" s="20"/>
      <c r="AT102" s="20"/>
      <c r="AU102" s="20"/>
      <c r="AV102" s="5"/>
      <c r="AW102" s="29"/>
      <c r="AX102" s="24"/>
      <c r="AY102" s="30"/>
      <c r="AZ102" s="30"/>
      <c r="BA102" s="30"/>
      <c r="BB102" s="20"/>
      <c r="BC102" s="20"/>
      <c r="BD102" s="20"/>
      <c r="BE102" s="20"/>
      <c r="BF102" s="20"/>
      <c r="BG102" s="20"/>
      <c r="BH102" s="5"/>
      <c r="BI102" s="29"/>
      <c r="BJ102" s="24"/>
      <c r="BK102" s="30"/>
      <c r="BL102" s="30"/>
      <c r="BM102" s="30"/>
      <c r="BN102" s="20"/>
      <c r="BO102" s="20"/>
      <c r="BP102" s="20"/>
      <c r="BQ102" s="20"/>
      <c r="BR102" s="20"/>
      <c r="BS102" s="29"/>
    </row>
    <row r="103" spans="1:71" s="3" customFormat="1" ht="12.75">
      <c r="A103" s="3">
        <v>2001</v>
      </c>
      <c r="B103" s="38" t="s">
        <v>39</v>
      </c>
      <c r="C103" s="25">
        <f>+MITRE[[#This Row],[Trenes Puntuales]]/MITRE[[#This Row],[Trenes Programados]]</f>
        <v>0.95452073419442551</v>
      </c>
      <c r="D103" s="25">
        <f>+MITRE[[#This Row],[Trenes Puntuales]]/MITRE[[#This Row],[Trenes Corridos]]</f>
        <v>0.97277262020230015</v>
      </c>
      <c r="E103" s="25">
        <f>+MITRE[[#This Row],[Trenes Corridos]]/MITRE[[#This Row],[Trenes Programados]]</f>
        <v>0.98123725356900071</v>
      </c>
      <c r="F103" s="20">
        <v>14710</v>
      </c>
      <c r="G103" s="20">
        <f t="shared" si="16"/>
        <v>276</v>
      </c>
      <c r="H103" s="20">
        <v>14434</v>
      </c>
      <c r="I103" s="20">
        <v>14041</v>
      </c>
      <c r="J103" s="20">
        <f t="shared" si="17"/>
        <v>393</v>
      </c>
      <c r="K103" s="20"/>
      <c r="L103" s="5"/>
      <c r="M103" s="29"/>
      <c r="N103" s="24"/>
      <c r="O103" s="30"/>
      <c r="P103" s="30"/>
      <c r="Q103" s="30"/>
      <c r="R103" s="20"/>
      <c r="S103" s="20"/>
      <c r="T103" s="20"/>
      <c r="U103" s="20"/>
      <c r="V103" s="20"/>
      <c r="W103" s="20"/>
      <c r="X103" s="5"/>
      <c r="Y103" s="29"/>
      <c r="Z103" s="24"/>
      <c r="AA103" s="30"/>
      <c r="AB103" s="30"/>
      <c r="AC103" s="30"/>
      <c r="AD103" s="20"/>
      <c r="AE103" s="20"/>
      <c r="AF103" s="20"/>
      <c r="AG103" s="20"/>
      <c r="AH103" s="20"/>
      <c r="AI103" s="20"/>
      <c r="AJ103" s="5"/>
      <c r="AK103" s="29"/>
      <c r="AL103" s="24"/>
      <c r="AM103" s="30"/>
      <c r="AN103" s="30"/>
      <c r="AO103" s="30"/>
      <c r="AP103" s="20"/>
      <c r="AQ103" s="20"/>
      <c r="AR103" s="20"/>
      <c r="AS103" s="20"/>
      <c r="AT103" s="20"/>
      <c r="AU103" s="20"/>
      <c r="AV103" s="5"/>
      <c r="AW103" s="29"/>
      <c r="AX103" s="24"/>
      <c r="AY103" s="30"/>
      <c r="AZ103" s="30"/>
      <c r="BA103" s="30"/>
      <c r="BB103" s="20"/>
      <c r="BC103" s="20"/>
      <c r="BD103" s="20"/>
      <c r="BE103" s="20"/>
      <c r="BF103" s="20"/>
      <c r="BG103" s="20"/>
      <c r="BH103" s="5"/>
      <c r="BI103" s="29"/>
      <c r="BJ103" s="24"/>
      <c r="BK103" s="30"/>
      <c r="BL103" s="30"/>
      <c r="BM103" s="30"/>
      <c r="BN103" s="20"/>
      <c r="BO103" s="20"/>
      <c r="BP103" s="20"/>
      <c r="BQ103" s="20"/>
      <c r="BR103" s="20"/>
      <c r="BS103" s="29"/>
    </row>
    <row r="104" spans="1:71" s="3" customFormat="1" ht="12.75">
      <c r="A104" s="3">
        <v>2001</v>
      </c>
      <c r="B104" s="38" t="s">
        <v>40</v>
      </c>
      <c r="C104" s="25">
        <f>+MITRE[[#This Row],[Trenes Puntuales]]/MITRE[[#This Row],[Trenes Programados]]</f>
        <v>0.94215230166503428</v>
      </c>
      <c r="D104" s="25">
        <f>+MITRE[[#This Row],[Trenes Puntuales]]/MITRE[[#This Row],[Trenes Corridos]]</f>
        <v>0.96163698844111212</v>
      </c>
      <c r="E104" s="25">
        <f>+MITRE[[#This Row],[Trenes Corridos]]/MITRE[[#This Row],[Trenes Programados]]</f>
        <v>0.97973800195886385</v>
      </c>
      <c r="F104" s="20">
        <v>16336</v>
      </c>
      <c r="G104" s="20">
        <f t="shared" si="16"/>
        <v>331</v>
      </c>
      <c r="H104" s="20">
        <v>16005</v>
      </c>
      <c r="I104" s="20">
        <v>15391</v>
      </c>
      <c r="J104" s="20">
        <f t="shared" si="17"/>
        <v>614</v>
      </c>
      <c r="K104" s="20"/>
      <c r="L104" s="5"/>
      <c r="M104" s="29"/>
      <c r="N104" s="24"/>
      <c r="O104" s="30"/>
      <c r="P104" s="30"/>
      <c r="Q104" s="30"/>
      <c r="R104" s="20"/>
      <c r="S104" s="20"/>
      <c r="T104" s="20"/>
      <c r="U104" s="20"/>
      <c r="V104" s="20"/>
      <c r="W104" s="20"/>
      <c r="X104" s="5"/>
      <c r="Y104" s="29"/>
      <c r="Z104" s="24"/>
      <c r="AA104" s="30"/>
      <c r="AB104" s="30"/>
      <c r="AC104" s="30"/>
      <c r="AD104" s="20"/>
      <c r="AE104" s="20"/>
      <c r="AF104" s="20"/>
      <c r="AG104" s="20"/>
      <c r="AH104" s="20"/>
      <c r="AI104" s="20"/>
      <c r="AJ104" s="5"/>
      <c r="AK104" s="29"/>
      <c r="AL104" s="24"/>
      <c r="AM104" s="30"/>
      <c r="AN104" s="30"/>
      <c r="AO104" s="30"/>
      <c r="AP104" s="20"/>
      <c r="AQ104" s="20"/>
      <c r="AR104" s="20"/>
      <c r="AS104" s="20"/>
      <c r="AT104" s="20"/>
      <c r="AU104" s="20"/>
      <c r="AV104" s="5"/>
      <c r="AW104" s="29"/>
      <c r="AX104" s="24"/>
      <c r="AY104" s="30"/>
      <c r="AZ104" s="30"/>
      <c r="BA104" s="30"/>
      <c r="BB104" s="20"/>
      <c r="BC104" s="20"/>
      <c r="BD104" s="20"/>
      <c r="BE104" s="20"/>
      <c r="BF104" s="20"/>
      <c r="BG104" s="20"/>
      <c r="BH104" s="5"/>
      <c r="BI104" s="29"/>
      <c r="BJ104" s="24"/>
      <c r="BK104" s="30"/>
      <c r="BL104" s="30"/>
      <c r="BM104" s="30"/>
      <c r="BN104" s="20"/>
      <c r="BO104" s="20"/>
      <c r="BP104" s="20"/>
      <c r="BQ104" s="20"/>
      <c r="BR104" s="20"/>
      <c r="BS104" s="29"/>
    </row>
    <row r="105" spans="1:71" s="3" customFormat="1" ht="12.75">
      <c r="A105" s="3">
        <v>2001</v>
      </c>
      <c r="B105" s="38" t="s">
        <v>41</v>
      </c>
      <c r="C105" s="25">
        <f>+MITRE[[#This Row],[Trenes Puntuales]]/MITRE[[#This Row],[Trenes Programados]]</f>
        <v>0.95820341007098786</v>
      </c>
      <c r="D105" s="25">
        <f>+MITRE[[#This Row],[Trenes Puntuales]]/MITRE[[#This Row],[Trenes Corridos]]</f>
        <v>0.97825792468165806</v>
      </c>
      <c r="E105" s="25">
        <f>+MITRE[[#This Row],[Trenes Corridos]]/MITRE[[#This Row],[Trenes Programados]]</f>
        <v>0.97949976779672265</v>
      </c>
      <c r="F105" s="20">
        <v>15073</v>
      </c>
      <c r="G105" s="20">
        <f t="shared" si="16"/>
        <v>309</v>
      </c>
      <c r="H105" s="20">
        <v>14764</v>
      </c>
      <c r="I105" s="20">
        <v>14443</v>
      </c>
      <c r="J105" s="20">
        <f t="shared" si="17"/>
        <v>321</v>
      </c>
      <c r="K105" s="20"/>
      <c r="L105" s="5"/>
      <c r="M105" s="29"/>
      <c r="N105" s="24"/>
      <c r="O105" s="30"/>
      <c r="P105" s="30"/>
      <c r="Q105" s="30"/>
      <c r="R105" s="20"/>
      <c r="S105" s="20"/>
      <c r="T105" s="20"/>
      <c r="U105" s="20"/>
      <c r="V105" s="20"/>
      <c r="W105" s="20"/>
      <c r="X105" s="5"/>
      <c r="Y105" s="29"/>
      <c r="Z105" s="24"/>
      <c r="AA105" s="30"/>
      <c r="AB105" s="30"/>
      <c r="AC105" s="30"/>
      <c r="AD105" s="20"/>
      <c r="AE105" s="20"/>
      <c r="AF105" s="20"/>
      <c r="AG105" s="20"/>
      <c r="AH105" s="20"/>
      <c r="AI105" s="20"/>
      <c r="AJ105" s="5"/>
      <c r="AK105" s="29"/>
      <c r="AL105" s="24"/>
      <c r="AM105" s="30"/>
      <c r="AN105" s="30"/>
      <c r="AO105" s="30"/>
      <c r="AP105" s="20"/>
      <c r="AQ105" s="20"/>
      <c r="AR105" s="20"/>
      <c r="AS105" s="20"/>
      <c r="AT105" s="20"/>
      <c r="AU105" s="20"/>
      <c r="AV105" s="5"/>
      <c r="AW105" s="29"/>
      <c r="AX105" s="24"/>
      <c r="AY105" s="30"/>
      <c r="AZ105" s="30"/>
      <c r="BA105" s="30"/>
      <c r="BB105" s="20"/>
      <c r="BC105" s="20"/>
      <c r="BD105" s="20"/>
      <c r="BE105" s="20"/>
      <c r="BF105" s="20"/>
      <c r="BG105" s="20"/>
      <c r="BH105" s="5"/>
      <c r="BI105" s="29"/>
      <c r="BJ105" s="24"/>
      <c r="BK105" s="30"/>
      <c r="BL105" s="30"/>
      <c r="BM105" s="30"/>
      <c r="BN105" s="20"/>
      <c r="BO105" s="20"/>
      <c r="BP105" s="20"/>
      <c r="BQ105" s="20"/>
      <c r="BR105" s="20"/>
      <c r="BS105" s="29"/>
    </row>
    <row r="106" spans="1:71" s="3" customFormat="1" ht="12.75">
      <c r="A106" s="3">
        <v>2001</v>
      </c>
      <c r="B106" s="38" t="s">
        <v>42</v>
      </c>
      <c r="C106" s="25">
        <f>+MITRE[[#This Row],[Trenes Puntuales]]/MITRE[[#This Row],[Trenes Programados]]</f>
        <v>0.93859264364935147</v>
      </c>
      <c r="D106" s="25">
        <f>+MITRE[[#This Row],[Trenes Puntuales]]/MITRE[[#This Row],[Trenes Corridos]]</f>
        <v>0.95201474513791784</v>
      </c>
      <c r="E106" s="25">
        <f>+MITRE[[#This Row],[Trenes Corridos]]/MITRE[[#This Row],[Trenes Programados]]</f>
        <v>0.98590137226643271</v>
      </c>
      <c r="F106" s="20">
        <v>15959</v>
      </c>
      <c r="G106" s="20">
        <f t="shared" si="16"/>
        <v>225</v>
      </c>
      <c r="H106" s="20">
        <v>15734</v>
      </c>
      <c r="I106" s="20">
        <v>14979</v>
      </c>
      <c r="J106" s="20">
        <f t="shared" si="17"/>
        <v>755</v>
      </c>
      <c r="K106" s="20"/>
      <c r="L106" s="5"/>
      <c r="M106" s="29"/>
      <c r="N106" s="24"/>
      <c r="O106" s="30"/>
      <c r="P106" s="30"/>
      <c r="Q106" s="30"/>
      <c r="R106" s="20"/>
      <c r="S106" s="20"/>
      <c r="T106" s="20"/>
      <c r="U106" s="20"/>
      <c r="V106" s="20"/>
      <c r="W106" s="20"/>
      <c r="X106" s="5"/>
      <c r="Y106" s="29"/>
      <c r="Z106" s="24"/>
      <c r="AA106" s="30"/>
      <c r="AB106" s="30"/>
      <c r="AC106" s="30"/>
      <c r="AD106" s="20"/>
      <c r="AE106" s="20"/>
      <c r="AF106" s="20"/>
      <c r="AG106" s="20"/>
      <c r="AH106" s="20"/>
      <c r="AI106" s="20"/>
      <c r="AJ106" s="5"/>
      <c r="AK106" s="29"/>
      <c r="AL106" s="24"/>
      <c r="AM106" s="30"/>
      <c r="AN106" s="30"/>
      <c r="AO106" s="30"/>
      <c r="AP106" s="20"/>
      <c r="AQ106" s="20"/>
      <c r="AR106" s="20"/>
      <c r="AS106" s="20"/>
      <c r="AT106" s="20"/>
      <c r="AU106" s="20"/>
      <c r="AV106" s="5"/>
      <c r="AW106" s="29"/>
      <c r="AX106" s="24"/>
      <c r="AY106" s="30"/>
      <c r="AZ106" s="30"/>
      <c r="BA106" s="30"/>
      <c r="BB106" s="20"/>
      <c r="BC106" s="20"/>
      <c r="BD106" s="20"/>
      <c r="BE106" s="20"/>
      <c r="BF106" s="20"/>
      <c r="BG106" s="20"/>
      <c r="BH106" s="5"/>
      <c r="BI106" s="29"/>
      <c r="BJ106" s="24"/>
      <c r="BK106" s="30"/>
      <c r="BL106" s="30"/>
      <c r="BM106" s="30"/>
      <c r="BN106" s="20"/>
      <c r="BO106" s="20"/>
      <c r="BP106" s="20"/>
      <c r="BQ106" s="20"/>
      <c r="BR106" s="20"/>
      <c r="BS106" s="29"/>
    </row>
    <row r="107" spans="1:71" s="3" customFormat="1" ht="12.75">
      <c r="A107" s="3">
        <v>2001</v>
      </c>
      <c r="B107" s="38" t="s">
        <v>43</v>
      </c>
      <c r="C107" s="25">
        <f>+MITRE[[#This Row],[Trenes Puntuales]]/MITRE[[#This Row],[Trenes Programados]]</f>
        <v>0.95422353850115893</v>
      </c>
      <c r="D107" s="25">
        <f>+MITRE[[#This Row],[Trenes Puntuales]]/MITRE[[#This Row],[Trenes Corridos]]</f>
        <v>0.97964174763698852</v>
      </c>
      <c r="E107" s="25">
        <f>+MITRE[[#This Row],[Trenes Corridos]]/MITRE[[#This Row],[Trenes Programados]]</f>
        <v>0.97405356682977084</v>
      </c>
      <c r="F107" s="20">
        <v>15532</v>
      </c>
      <c r="G107" s="20">
        <f t="shared" si="16"/>
        <v>403</v>
      </c>
      <c r="H107" s="20">
        <v>15129</v>
      </c>
      <c r="I107" s="20">
        <v>14821</v>
      </c>
      <c r="J107" s="20">
        <f t="shared" si="17"/>
        <v>308</v>
      </c>
      <c r="K107" s="20"/>
      <c r="L107" s="5"/>
      <c r="M107" s="29"/>
      <c r="N107" s="24"/>
      <c r="O107" s="30"/>
      <c r="P107" s="30"/>
      <c r="Q107" s="30"/>
      <c r="R107" s="20"/>
      <c r="S107" s="20"/>
      <c r="T107" s="20"/>
      <c r="U107" s="20"/>
      <c r="V107" s="20"/>
      <c r="W107" s="20"/>
      <c r="X107" s="5"/>
      <c r="Y107" s="29"/>
      <c r="Z107" s="24"/>
      <c r="AA107" s="30"/>
      <c r="AB107" s="30"/>
      <c r="AC107" s="30"/>
      <c r="AD107" s="20"/>
      <c r="AE107" s="20"/>
      <c r="AF107" s="20"/>
      <c r="AG107" s="20"/>
      <c r="AH107" s="20"/>
      <c r="AI107" s="20"/>
      <c r="AJ107" s="5"/>
      <c r="AK107" s="29"/>
      <c r="AL107" s="24"/>
      <c r="AM107" s="30"/>
      <c r="AN107" s="30"/>
      <c r="AO107" s="30"/>
      <c r="AP107" s="20"/>
      <c r="AQ107" s="20"/>
      <c r="AR107" s="20"/>
      <c r="AS107" s="20"/>
      <c r="AT107" s="20"/>
      <c r="AU107" s="20"/>
      <c r="AV107" s="5"/>
      <c r="AW107" s="29"/>
      <c r="AX107" s="24"/>
      <c r="AY107" s="30"/>
      <c r="AZ107" s="30"/>
      <c r="BA107" s="30"/>
      <c r="BB107" s="20"/>
      <c r="BC107" s="20"/>
      <c r="BD107" s="20"/>
      <c r="BE107" s="20"/>
      <c r="BF107" s="20"/>
      <c r="BG107" s="20"/>
      <c r="BH107" s="5"/>
      <c r="BI107" s="29"/>
      <c r="BJ107" s="24"/>
      <c r="BK107" s="30"/>
      <c r="BL107" s="30"/>
      <c r="BM107" s="30"/>
      <c r="BN107" s="20"/>
      <c r="BO107" s="20"/>
      <c r="BP107" s="20"/>
      <c r="BQ107" s="20"/>
      <c r="BR107" s="20"/>
      <c r="BS107" s="29"/>
    </row>
    <row r="108" spans="1:71" s="3" customFormat="1" ht="12.75">
      <c r="A108" s="3">
        <v>2001</v>
      </c>
      <c r="B108" s="38" t="s">
        <v>44</v>
      </c>
      <c r="C108" s="25">
        <f>+MITRE[[#This Row],[Trenes Puntuales]]/MITRE[[#This Row],[Trenes Programados]]</f>
        <v>0.94760591626974178</v>
      </c>
      <c r="D108" s="25">
        <f>+MITRE[[#This Row],[Trenes Puntuales]]/MITRE[[#This Row],[Trenes Corridos]]</f>
        <v>0.98752530860165899</v>
      </c>
      <c r="E108" s="25">
        <f>+MITRE[[#This Row],[Trenes Corridos]]/MITRE[[#This Row],[Trenes Programados]]</f>
        <v>0.95957633492103289</v>
      </c>
      <c r="F108" s="20">
        <v>15956</v>
      </c>
      <c r="G108" s="20">
        <f t="shared" si="16"/>
        <v>645</v>
      </c>
      <c r="H108" s="20">
        <v>15311</v>
      </c>
      <c r="I108" s="20">
        <v>15120</v>
      </c>
      <c r="J108" s="20">
        <f t="shared" si="17"/>
        <v>191</v>
      </c>
      <c r="K108" s="20"/>
      <c r="L108" s="5"/>
      <c r="M108" s="29"/>
      <c r="N108" s="24"/>
      <c r="O108" s="30"/>
      <c r="P108" s="30"/>
      <c r="Q108" s="30"/>
      <c r="R108" s="20"/>
      <c r="S108" s="20"/>
      <c r="T108" s="20"/>
      <c r="U108" s="20"/>
      <c r="V108" s="20"/>
      <c r="W108" s="20"/>
      <c r="X108" s="5"/>
      <c r="Y108" s="29"/>
      <c r="Z108" s="24"/>
      <c r="AA108" s="30"/>
      <c r="AB108" s="30"/>
      <c r="AC108" s="30"/>
      <c r="AD108" s="20"/>
      <c r="AE108" s="20"/>
      <c r="AF108" s="20"/>
      <c r="AG108" s="20"/>
      <c r="AH108" s="20"/>
      <c r="AI108" s="20"/>
      <c r="AJ108" s="5"/>
      <c r="AK108" s="29"/>
      <c r="AL108" s="24"/>
      <c r="AM108" s="30"/>
      <c r="AN108" s="30"/>
      <c r="AO108" s="30"/>
      <c r="AP108" s="20"/>
      <c r="AQ108" s="20"/>
      <c r="AR108" s="20"/>
      <c r="AS108" s="20"/>
      <c r="AT108" s="20"/>
      <c r="AU108" s="20"/>
      <c r="AV108" s="5"/>
      <c r="AW108" s="29"/>
      <c r="AX108" s="24"/>
      <c r="AY108" s="30"/>
      <c r="AZ108" s="30"/>
      <c r="BA108" s="30"/>
      <c r="BB108" s="20"/>
      <c r="BC108" s="20"/>
      <c r="BD108" s="20"/>
      <c r="BE108" s="20"/>
      <c r="BF108" s="20"/>
      <c r="BG108" s="20"/>
      <c r="BH108" s="5"/>
      <c r="BI108" s="29"/>
      <c r="BJ108" s="24"/>
      <c r="BK108" s="30"/>
      <c r="BL108" s="30"/>
      <c r="BM108" s="30"/>
      <c r="BN108" s="20"/>
      <c r="BO108" s="20"/>
      <c r="BP108" s="20"/>
      <c r="BQ108" s="20"/>
      <c r="BR108" s="20"/>
      <c r="BS108" s="29"/>
    </row>
    <row r="109" spans="1:71" s="3" customFormat="1" ht="12.75">
      <c r="A109" s="3">
        <v>2001</v>
      </c>
      <c r="B109" s="38" t="s">
        <v>45</v>
      </c>
      <c r="C109" s="25">
        <f>+MITRE[[#This Row],[Trenes Puntuales]]/MITRE[[#This Row],[Trenes Programados]]</f>
        <v>0.97671833508306061</v>
      </c>
      <c r="D109" s="25">
        <f>+MITRE[[#This Row],[Trenes Puntuales]]/MITRE[[#This Row],[Trenes Corridos]]</f>
        <v>0.98732754853611338</v>
      </c>
      <c r="E109" s="25">
        <f>+MITRE[[#This Row],[Trenes Corridos]]/MITRE[[#This Row],[Trenes Programados]]</f>
        <v>0.9892546161921818</v>
      </c>
      <c r="F109" s="20">
        <v>16193</v>
      </c>
      <c r="G109" s="20">
        <f t="shared" si="16"/>
        <v>174</v>
      </c>
      <c r="H109" s="20">
        <v>16019</v>
      </c>
      <c r="I109" s="20">
        <v>15816</v>
      </c>
      <c r="J109" s="20">
        <f t="shared" si="17"/>
        <v>203</v>
      </c>
      <c r="K109" s="20"/>
      <c r="L109" s="5"/>
      <c r="M109" s="29"/>
      <c r="N109" s="24"/>
      <c r="O109" s="30"/>
      <c r="P109" s="30"/>
      <c r="Q109" s="30"/>
      <c r="R109" s="20"/>
      <c r="S109" s="20"/>
      <c r="T109" s="20"/>
      <c r="U109" s="20"/>
      <c r="V109" s="20"/>
      <c r="W109" s="20"/>
      <c r="X109" s="5"/>
      <c r="Y109" s="29"/>
      <c r="Z109" s="24"/>
      <c r="AA109" s="30"/>
      <c r="AB109" s="30"/>
      <c r="AC109" s="30"/>
      <c r="AD109" s="20"/>
      <c r="AE109" s="20"/>
      <c r="AF109" s="20"/>
      <c r="AG109" s="20"/>
      <c r="AH109" s="20"/>
      <c r="AI109" s="20"/>
      <c r="AJ109" s="5"/>
      <c r="AK109" s="29"/>
      <c r="AL109" s="24"/>
      <c r="AM109" s="30"/>
      <c r="AN109" s="30"/>
      <c r="AO109" s="30"/>
      <c r="AP109" s="20"/>
      <c r="AQ109" s="20"/>
      <c r="AR109" s="20"/>
      <c r="AS109" s="20"/>
      <c r="AT109" s="20"/>
      <c r="AU109" s="20"/>
      <c r="AV109" s="5"/>
      <c r="AW109" s="29"/>
      <c r="AX109" s="24"/>
      <c r="AY109" s="30"/>
      <c r="AZ109" s="30"/>
      <c r="BA109" s="30"/>
      <c r="BB109" s="20"/>
      <c r="BC109" s="20"/>
      <c r="BD109" s="20"/>
      <c r="BE109" s="20"/>
      <c r="BF109" s="20"/>
      <c r="BG109" s="20"/>
      <c r="BH109" s="5"/>
      <c r="BI109" s="29"/>
      <c r="BJ109" s="24"/>
      <c r="BK109" s="30"/>
      <c r="BL109" s="30"/>
      <c r="BM109" s="30"/>
      <c r="BN109" s="20"/>
      <c r="BO109" s="20"/>
      <c r="BP109" s="20"/>
      <c r="BQ109" s="20"/>
      <c r="BR109" s="20"/>
      <c r="BS109" s="29"/>
    </row>
    <row r="110" spans="1:71" s="3" customFormat="1" ht="12.75">
      <c r="A110" s="3">
        <v>2001</v>
      </c>
      <c r="B110" s="38" t="s">
        <v>46</v>
      </c>
      <c r="C110" s="25">
        <f>+MITRE[[#This Row],[Trenes Puntuales]]/MITRE[[#This Row],[Trenes Programados]]</f>
        <v>0.97695494562402896</v>
      </c>
      <c r="D110" s="25">
        <f>+MITRE[[#This Row],[Trenes Puntuales]]/MITRE[[#This Row],[Trenes Corridos]]</f>
        <v>0.98351254480286743</v>
      </c>
      <c r="E110" s="25">
        <f>+MITRE[[#This Row],[Trenes Corridos]]/MITRE[[#This Row],[Trenes Programados]]</f>
        <v>0.99333247022268256</v>
      </c>
      <c r="F110" s="20">
        <v>15448</v>
      </c>
      <c r="G110" s="20">
        <f t="shared" si="16"/>
        <v>103</v>
      </c>
      <c r="H110" s="20">
        <v>15345</v>
      </c>
      <c r="I110" s="20">
        <v>15092</v>
      </c>
      <c r="J110" s="20">
        <f t="shared" si="17"/>
        <v>253</v>
      </c>
      <c r="K110" s="20"/>
      <c r="L110" s="5"/>
      <c r="M110" s="29"/>
      <c r="N110" s="24"/>
      <c r="O110" s="30"/>
      <c r="P110" s="30"/>
      <c r="Q110" s="30"/>
      <c r="R110" s="20"/>
      <c r="S110" s="20"/>
      <c r="T110" s="20"/>
      <c r="U110" s="20"/>
      <c r="V110" s="20"/>
      <c r="W110" s="20"/>
      <c r="X110" s="5"/>
      <c r="Y110" s="29"/>
      <c r="Z110" s="24"/>
      <c r="AA110" s="30"/>
      <c r="AB110" s="30"/>
      <c r="AC110" s="30"/>
      <c r="AD110" s="20"/>
      <c r="AE110" s="20"/>
      <c r="AF110" s="20"/>
      <c r="AG110" s="20"/>
      <c r="AH110" s="20"/>
      <c r="AI110" s="20"/>
      <c r="AJ110" s="5"/>
      <c r="AK110" s="29"/>
      <c r="AL110" s="24"/>
      <c r="AM110" s="30"/>
      <c r="AN110" s="30"/>
      <c r="AO110" s="30"/>
      <c r="AP110" s="20"/>
      <c r="AQ110" s="20"/>
      <c r="AR110" s="20"/>
      <c r="AS110" s="20"/>
      <c r="AT110" s="20"/>
      <c r="AU110" s="20"/>
      <c r="AV110" s="5"/>
      <c r="AW110" s="29"/>
      <c r="AX110" s="24"/>
      <c r="AY110" s="30"/>
      <c r="AZ110" s="30"/>
      <c r="BA110" s="30"/>
      <c r="BB110" s="20"/>
      <c r="BC110" s="20"/>
      <c r="BD110" s="20"/>
      <c r="BE110" s="20"/>
      <c r="BF110" s="20"/>
      <c r="BG110" s="20"/>
      <c r="BH110" s="5"/>
      <c r="BI110" s="29"/>
      <c r="BJ110" s="24"/>
      <c r="BK110" s="30"/>
      <c r="BL110" s="30"/>
      <c r="BM110" s="30"/>
      <c r="BN110" s="20"/>
      <c r="BO110" s="20"/>
      <c r="BP110" s="20"/>
      <c r="BQ110" s="20"/>
      <c r="BR110" s="20"/>
      <c r="BS110" s="29"/>
    </row>
    <row r="111" spans="1:71" s="3" customFormat="1" ht="12.75">
      <c r="A111" s="3">
        <v>2001</v>
      </c>
      <c r="B111" s="38" t="s">
        <v>47</v>
      </c>
      <c r="C111" s="25">
        <f>+MITRE[[#This Row],[Trenes Puntuales]]/MITRE[[#This Row],[Trenes Programados]]</f>
        <v>0.97032878909382514</v>
      </c>
      <c r="D111" s="25">
        <f>+MITRE[[#This Row],[Trenes Puntuales]]/MITRE[[#This Row],[Trenes Corridos]]</f>
        <v>0.97580645161290325</v>
      </c>
      <c r="E111" s="25">
        <f>+MITRE[[#This Row],[Trenes Corridos]]/MITRE[[#This Row],[Trenes Programados]]</f>
        <v>0.99438652766639934</v>
      </c>
      <c r="F111" s="20">
        <v>16211</v>
      </c>
      <c r="G111" s="20">
        <f t="shared" si="16"/>
        <v>91</v>
      </c>
      <c r="H111" s="20">
        <v>16120</v>
      </c>
      <c r="I111" s="20">
        <v>15730</v>
      </c>
      <c r="J111" s="20">
        <f t="shared" si="17"/>
        <v>390</v>
      </c>
      <c r="K111" s="20"/>
      <c r="L111" s="5"/>
      <c r="M111" s="29"/>
      <c r="N111" s="24"/>
      <c r="O111" s="30"/>
      <c r="P111" s="30"/>
      <c r="Q111" s="30"/>
      <c r="R111" s="20"/>
      <c r="S111" s="20"/>
      <c r="T111" s="20"/>
      <c r="U111" s="20"/>
      <c r="V111" s="20"/>
      <c r="W111" s="20"/>
      <c r="X111" s="5"/>
      <c r="Y111" s="29"/>
      <c r="Z111" s="24"/>
      <c r="AA111" s="30"/>
      <c r="AB111" s="30"/>
      <c r="AC111" s="30"/>
      <c r="AD111" s="20"/>
      <c r="AE111" s="20"/>
      <c r="AF111" s="20"/>
      <c r="AG111" s="20"/>
      <c r="AH111" s="20"/>
      <c r="AI111" s="20"/>
      <c r="AJ111" s="5"/>
      <c r="AK111" s="29"/>
      <c r="AL111" s="24"/>
      <c r="AM111" s="30"/>
      <c r="AN111" s="30"/>
      <c r="AO111" s="30"/>
      <c r="AP111" s="20"/>
      <c r="AQ111" s="20"/>
      <c r="AR111" s="20"/>
      <c r="AS111" s="20"/>
      <c r="AT111" s="20"/>
      <c r="AU111" s="20"/>
      <c r="AV111" s="5"/>
      <c r="AW111" s="29"/>
      <c r="AX111" s="24"/>
      <c r="AY111" s="30"/>
      <c r="AZ111" s="30"/>
      <c r="BA111" s="30"/>
      <c r="BB111" s="20"/>
      <c r="BC111" s="20"/>
      <c r="BD111" s="20"/>
      <c r="BE111" s="20"/>
      <c r="BF111" s="20"/>
      <c r="BG111" s="20"/>
      <c r="BH111" s="5"/>
      <c r="BI111" s="29"/>
      <c r="BJ111" s="24"/>
      <c r="BK111" s="30"/>
      <c r="BL111" s="30"/>
      <c r="BM111" s="30"/>
      <c r="BN111" s="20"/>
      <c r="BO111" s="20"/>
      <c r="BP111" s="20"/>
      <c r="BQ111" s="20"/>
      <c r="BR111" s="20"/>
      <c r="BS111" s="29"/>
    </row>
    <row r="112" spans="1:71" s="3" customFormat="1" ht="12.75">
      <c r="A112" s="3">
        <v>2001</v>
      </c>
      <c r="B112" s="38" t="s">
        <v>48</v>
      </c>
      <c r="C112" s="25">
        <f>+MITRE[[#This Row],[Trenes Puntuales]]/MITRE[[#This Row],[Trenes Programados]]</f>
        <v>0.96332440362291105</v>
      </c>
      <c r="D112" s="25">
        <f>+MITRE[[#This Row],[Trenes Puntuales]]/MITRE[[#This Row],[Trenes Corridos]]</f>
        <v>0.97369608664818519</v>
      </c>
      <c r="E112" s="25">
        <f>+MITRE[[#This Row],[Trenes Corridos]]/MITRE[[#This Row],[Trenes Programados]]</f>
        <v>0.98934813113917597</v>
      </c>
      <c r="F112" s="20">
        <v>15678</v>
      </c>
      <c r="G112" s="20">
        <f t="shared" si="16"/>
        <v>167</v>
      </c>
      <c r="H112" s="20">
        <v>15511</v>
      </c>
      <c r="I112" s="20">
        <v>15103</v>
      </c>
      <c r="J112" s="20">
        <f t="shared" si="17"/>
        <v>408</v>
      </c>
      <c r="K112" s="20"/>
      <c r="L112" s="5"/>
      <c r="M112" s="29"/>
      <c r="N112" s="24"/>
      <c r="O112" s="30"/>
      <c r="P112" s="30"/>
      <c r="Q112" s="30"/>
      <c r="R112" s="20"/>
      <c r="S112" s="20"/>
      <c r="T112" s="20"/>
      <c r="U112" s="20"/>
      <c r="V112" s="20"/>
      <c r="W112" s="20"/>
      <c r="X112" s="5"/>
      <c r="Y112" s="29"/>
      <c r="Z112" s="24"/>
      <c r="AA112" s="30"/>
      <c r="AB112" s="30"/>
      <c r="AC112" s="30"/>
      <c r="AD112" s="20"/>
      <c r="AE112" s="20"/>
      <c r="AF112" s="20"/>
      <c r="AG112" s="20"/>
      <c r="AH112" s="20"/>
      <c r="AI112" s="20"/>
      <c r="AJ112" s="5"/>
      <c r="AK112" s="29"/>
      <c r="AL112" s="24"/>
      <c r="AM112" s="30"/>
      <c r="AN112" s="30"/>
      <c r="AO112" s="30"/>
      <c r="AP112" s="20"/>
      <c r="AQ112" s="20"/>
      <c r="AR112" s="20"/>
      <c r="AS112" s="20"/>
      <c r="AT112" s="20"/>
      <c r="AU112" s="20"/>
      <c r="AV112" s="5"/>
      <c r="AW112" s="29"/>
      <c r="AX112" s="24"/>
      <c r="AY112" s="30"/>
      <c r="AZ112" s="30"/>
      <c r="BA112" s="30"/>
      <c r="BB112" s="20"/>
      <c r="BC112" s="20"/>
      <c r="BD112" s="20"/>
      <c r="BE112" s="20"/>
      <c r="BF112" s="20"/>
      <c r="BG112" s="20"/>
      <c r="BH112" s="5"/>
      <c r="BI112" s="29"/>
      <c r="BJ112" s="24"/>
      <c r="BK112" s="30"/>
      <c r="BL112" s="30"/>
      <c r="BM112" s="30"/>
      <c r="BN112" s="20"/>
      <c r="BO112" s="20"/>
      <c r="BP112" s="20"/>
      <c r="BQ112" s="20"/>
      <c r="BR112" s="20"/>
      <c r="BS112" s="29"/>
    </row>
    <row r="113" spans="1:71" s="3" customFormat="1" ht="12.75">
      <c r="A113" s="3">
        <v>2001</v>
      </c>
      <c r="B113" s="38" t="s">
        <v>49</v>
      </c>
      <c r="C113" s="25">
        <f>+MITRE[[#This Row],[Trenes Puntuales]]/MITRE[[#This Row],[Trenes Programados]]</f>
        <v>0.87515988743924278</v>
      </c>
      <c r="D113" s="25">
        <f>+MITRE[[#This Row],[Trenes Puntuales]]/MITRE[[#This Row],[Trenes Corridos]]</f>
        <v>0.98135398737808377</v>
      </c>
      <c r="E113" s="25">
        <f>+MITRE[[#This Row],[Trenes Corridos]]/MITRE[[#This Row],[Trenes Programados]]</f>
        <v>0.89178818112049119</v>
      </c>
      <c r="F113" s="20">
        <v>15636</v>
      </c>
      <c r="G113" s="20">
        <f t="shared" si="16"/>
        <v>1692</v>
      </c>
      <c r="H113" s="20">
        <v>13944</v>
      </c>
      <c r="I113" s="20">
        <v>13684</v>
      </c>
      <c r="J113" s="20">
        <f t="shared" si="17"/>
        <v>260</v>
      </c>
      <c r="K113" s="20"/>
      <c r="L113" s="5"/>
      <c r="M113" s="29"/>
      <c r="N113" s="24"/>
      <c r="O113" s="30"/>
      <c r="P113" s="30"/>
      <c r="Q113" s="30"/>
      <c r="R113" s="20"/>
      <c r="S113" s="20"/>
      <c r="T113" s="20"/>
      <c r="U113" s="20"/>
      <c r="V113" s="20"/>
      <c r="W113" s="20"/>
      <c r="X113" s="5"/>
      <c r="Y113" s="29"/>
      <c r="Z113" s="24"/>
      <c r="AA113" s="30"/>
      <c r="AB113" s="30"/>
      <c r="AC113" s="30"/>
      <c r="AD113" s="20"/>
      <c r="AE113" s="20"/>
      <c r="AF113" s="20"/>
      <c r="AG113" s="20"/>
      <c r="AH113" s="20"/>
      <c r="AI113" s="20"/>
      <c r="AJ113" s="5"/>
      <c r="AK113" s="29"/>
      <c r="AL113" s="24"/>
      <c r="AM113" s="30"/>
      <c r="AN113" s="30"/>
      <c r="AO113" s="30"/>
      <c r="AP113" s="20"/>
      <c r="AQ113" s="20"/>
      <c r="AR113" s="20"/>
      <c r="AS113" s="20"/>
      <c r="AT113" s="20"/>
      <c r="AU113" s="20"/>
      <c r="AV113" s="5"/>
      <c r="AW113" s="29"/>
      <c r="AX113" s="24"/>
      <c r="AY113" s="30"/>
      <c r="AZ113" s="30"/>
      <c r="BA113" s="30"/>
      <c r="BB113" s="20"/>
      <c r="BC113" s="20"/>
      <c r="BD113" s="20"/>
      <c r="BE113" s="20"/>
      <c r="BF113" s="20"/>
      <c r="BG113" s="20"/>
      <c r="BH113" s="5"/>
      <c r="BI113" s="29"/>
      <c r="BJ113" s="24"/>
      <c r="BK113" s="30"/>
      <c r="BL113" s="30"/>
      <c r="BM113" s="30"/>
      <c r="BN113" s="20"/>
      <c r="BO113" s="20"/>
      <c r="BP113" s="20"/>
      <c r="BQ113" s="20"/>
      <c r="BR113" s="20"/>
      <c r="BS113" s="29"/>
    </row>
    <row r="114" spans="1:71" s="3" customFormat="1" ht="12.75">
      <c r="A114" s="3">
        <v>2002</v>
      </c>
      <c r="B114" s="38" t="s">
        <v>38</v>
      </c>
      <c r="C114" s="25">
        <f>+MITRE[[#This Row],[Trenes Puntuales]]/MITRE[[#This Row],[Trenes Programados]]</f>
        <v>0.93791478012776774</v>
      </c>
      <c r="D114" s="25">
        <f>+MITRE[[#This Row],[Trenes Puntuales]]/MITRE[[#This Row],[Trenes Corridos]]</f>
        <v>0.98226696979538808</v>
      </c>
      <c r="E114" s="25">
        <f>+MITRE[[#This Row],[Trenes Corridos]]/MITRE[[#This Row],[Trenes Programados]]</f>
        <v>0.95484711282019474</v>
      </c>
      <c r="F114" s="20">
        <v>16123</v>
      </c>
      <c r="G114" s="20">
        <f t="shared" ref="G114:G125" si="18">F114-H114</f>
        <v>728</v>
      </c>
      <c r="H114" s="20">
        <v>15395</v>
      </c>
      <c r="I114" s="20">
        <v>15122</v>
      </c>
      <c r="J114" s="20">
        <f t="shared" ref="J114:J125" si="19">H114-I114</f>
        <v>273</v>
      </c>
      <c r="K114" s="20"/>
      <c r="L114" s="5"/>
      <c r="M114" s="29"/>
      <c r="N114" s="24"/>
      <c r="O114" s="30"/>
      <c r="P114" s="30"/>
      <c r="Q114" s="30"/>
      <c r="R114" s="20"/>
      <c r="S114" s="20"/>
      <c r="T114" s="20"/>
      <c r="U114" s="20"/>
      <c r="V114" s="20"/>
      <c r="W114" s="20"/>
      <c r="X114" s="5"/>
      <c r="Y114" s="29"/>
      <c r="Z114" s="24"/>
      <c r="AA114" s="30"/>
      <c r="AB114" s="30"/>
      <c r="AC114" s="30"/>
      <c r="AD114" s="20"/>
      <c r="AE114" s="20"/>
      <c r="AF114" s="20"/>
      <c r="AG114" s="20"/>
      <c r="AH114" s="20"/>
      <c r="AI114" s="20"/>
      <c r="AJ114" s="5"/>
      <c r="AK114" s="29"/>
      <c r="AL114" s="24"/>
      <c r="AM114" s="30"/>
      <c r="AN114" s="30"/>
      <c r="AO114" s="30"/>
      <c r="AP114" s="20"/>
      <c r="AQ114" s="20"/>
      <c r="AR114" s="20"/>
      <c r="AS114" s="20"/>
      <c r="AT114" s="20"/>
      <c r="AU114" s="20"/>
      <c r="AV114" s="5"/>
      <c r="AW114" s="29"/>
      <c r="AX114" s="24"/>
      <c r="AY114" s="30"/>
      <c r="AZ114" s="30"/>
      <c r="BA114" s="30"/>
      <c r="BB114" s="20"/>
      <c r="BC114" s="20"/>
      <c r="BD114" s="20"/>
      <c r="BE114" s="20"/>
      <c r="BF114" s="20"/>
      <c r="BG114" s="20"/>
      <c r="BH114" s="5"/>
      <c r="BI114" s="29"/>
      <c r="BJ114" s="24"/>
      <c r="BK114" s="30"/>
      <c r="BL114" s="30"/>
      <c r="BM114" s="30"/>
      <c r="BN114" s="20"/>
      <c r="BO114" s="20"/>
      <c r="BP114" s="20"/>
      <c r="BQ114" s="20"/>
      <c r="BR114" s="20"/>
      <c r="BS114" s="29"/>
    </row>
    <row r="115" spans="1:71" s="3" customFormat="1" ht="12.75">
      <c r="A115" s="3">
        <v>2002</v>
      </c>
      <c r="B115" s="38" t="s">
        <v>39</v>
      </c>
      <c r="C115" s="25">
        <f>+MITRE[[#This Row],[Trenes Puntuales]]/MITRE[[#This Row],[Trenes Programados]]</f>
        <v>0.92442654287274717</v>
      </c>
      <c r="D115" s="25">
        <f>+MITRE[[#This Row],[Trenes Puntuales]]/MITRE[[#This Row],[Trenes Corridos]]</f>
        <v>0.98237086477074864</v>
      </c>
      <c r="E115" s="25">
        <f>+MITRE[[#This Row],[Trenes Corridos]]/MITRE[[#This Row],[Trenes Programados]]</f>
        <v>0.94101583833970504</v>
      </c>
      <c r="F115" s="20">
        <v>14648</v>
      </c>
      <c r="G115" s="20">
        <f t="shared" si="18"/>
        <v>864</v>
      </c>
      <c r="H115" s="20">
        <v>13784</v>
      </c>
      <c r="I115" s="20">
        <v>13541</v>
      </c>
      <c r="J115" s="20">
        <f t="shared" si="19"/>
        <v>243</v>
      </c>
      <c r="K115" s="20"/>
      <c r="L115" s="5"/>
      <c r="M115" s="29"/>
      <c r="N115" s="24"/>
      <c r="O115" s="30"/>
      <c r="P115" s="30"/>
      <c r="Q115" s="30"/>
      <c r="R115" s="20"/>
      <c r="S115" s="20"/>
      <c r="T115" s="20"/>
      <c r="U115" s="20"/>
      <c r="V115" s="20"/>
      <c r="W115" s="20"/>
      <c r="X115" s="5"/>
      <c r="Y115" s="29"/>
      <c r="Z115" s="24"/>
      <c r="AA115" s="30"/>
      <c r="AB115" s="30"/>
      <c r="AC115" s="30"/>
      <c r="AD115" s="20"/>
      <c r="AE115" s="20"/>
      <c r="AF115" s="20"/>
      <c r="AG115" s="20"/>
      <c r="AH115" s="20"/>
      <c r="AI115" s="20"/>
      <c r="AJ115" s="5"/>
      <c r="AK115" s="29"/>
      <c r="AL115" s="24"/>
      <c r="AM115" s="30"/>
      <c r="AN115" s="30"/>
      <c r="AO115" s="30"/>
      <c r="AP115" s="20"/>
      <c r="AQ115" s="20"/>
      <c r="AR115" s="20"/>
      <c r="AS115" s="20"/>
      <c r="AT115" s="20"/>
      <c r="AU115" s="20"/>
      <c r="AV115" s="5"/>
      <c r="AW115" s="29"/>
      <c r="AX115" s="24"/>
      <c r="AY115" s="30"/>
      <c r="AZ115" s="30"/>
      <c r="BA115" s="30"/>
      <c r="BB115" s="20"/>
      <c r="BC115" s="20"/>
      <c r="BD115" s="20"/>
      <c r="BE115" s="20"/>
      <c r="BF115" s="20"/>
      <c r="BG115" s="20"/>
      <c r="BH115" s="5"/>
      <c r="BI115" s="29"/>
      <c r="BJ115" s="24"/>
      <c r="BK115" s="30"/>
      <c r="BL115" s="30"/>
      <c r="BM115" s="30"/>
      <c r="BN115" s="20"/>
      <c r="BO115" s="20"/>
      <c r="BP115" s="20"/>
      <c r="BQ115" s="20"/>
      <c r="BR115" s="20"/>
      <c r="BS115" s="29"/>
    </row>
    <row r="116" spans="1:71" s="3" customFormat="1" ht="12.75">
      <c r="A116" s="3">
        <v>2002</v>
      </c>
      <c r="B116" s="38" t="s">
        <v>40</v>
      </c>
      <c r="C116" s="25">
        <f>+MITRE[[#This Row],[Trenes Puntuales]]/MITRE[[#This Row],[Trenes Programados]]</f>
        <v>0.9186149936467598</v>
      </c>
      <c r="D116" s="25">
        <f>+MITRE[[#This Row],[Trenes Puntuales]]/MITRE[[#This Row],[Trenes Corridos]]</f>
        <v>0.97954068152564189</v>
      </c>
      <c r="E116" s="25">
        <f>+MITRE[[#This Row],[Trenes Corridos]]/MITRE[[#This Row],[Trenes Programados]]</f>
        <v>0.9378017789072427</v>
      </c>
      <c r="F116" s="20">
        <v>15740</v>
      </c>
      <c r="G116" s="20">
        <f t="shared" si="18"/>
        <v>979</v>
      </c>
      <c r="H116" s="20">
        <v>14761</v>
      </c>
      <c r="I116" s="20">
        <v>14459</v>
      </c>
      <c r="J116" s="20">
        <f t="shared" si="19"/>
        <v>302</v>
      </c>
      <c r="K116" s="20"/>
      <c r="L116" s="5"/>
      <c r="M116" s="29"/>
      <c r="N116" s="24"/>
      <c r="O116" s="30"/>
      <c r="P116" s="30"/>
      <c r="Q116" s="30"/>
      <c r="R116" s="20"/>
      <c r="S116" s="20"/>
      <c r="T116" s="20"/>
      <c r="U116" s="20"/>
      <c r="V116" s="20"/>
      <c r="W116" s="20"/>
      <c r="X116" s="5"/>
      <c r="Y116" s="29"/>
      <c r="Z116" s="24"/>
      <c r="AA116" s="30"/>
      <c r="AB116" s="30"/>
      <c r="AC116" s="30"/>
      <c r="AD116" s="20"/>
      <c r="AE116" s="20"/>
      <c r="AF116" s="20"/>
      <c r="AG116" s="20"/>
      <c r="AH116" s="20"/>
      <c r="AI116" s="20"/>
      <c r="AJ116" s="5"/>
      <c r="AK116" s="29"/>
      <c r="AL116" s="24"/>
      <c r="AM116" s="30"/>
      <c r="AN116" s="30"/>
      <c r="AO116" s="30"/>
      <c r="AP116" s="20"/>
      <c r="AQ116" s="20"/>
      <c r="AR116" s="20"/>
      <c r="AS116" s="20"/>
      <c r="AT116" s="20"/>
      <c r="AU116" s="20"/>
      <c r="AV116" s="5"/>
      <c r="AW116" s="29"/>
      <c r="AX116" s="24"/>
      <c r="AY116" s="30"/>
      <c r="AZ116" s="30"/>
      <c r="BA116" s="30"/>
      <c r="BB116" s="20"/>
      <c r="BC116" s="20"/>
      <c r="BD116" s="20"/>
      <c r="BE116" s="20"/>
      <c r="BF116" s="20"/>
      <c r="BG116" s="20"/>
      <c r="BH116" s="5"/>
      <c r="BI116" s="29"/>
      <c r="BJ116" s="24"/>
      <c r="BK116" s="30"/>
      <c r="BL116" s="30"/>
      <c r="BM116" s="30"/>
      <c r="BN116" s="20"/>
      <c r="BO116" s="20"/>
      <c r="BP116" s="20"/>
      <c r="BQ116" s="20"/>
      <c r="BR116" s="20"/>
      <c r="BS116" s="29"/>
    </row>
    <row r="117" spans="1:71" s="3" customFormat="1" ht="12.75">
      <c r="A117" s="3">
        <v>2002</v>
      </c>
      <c r="B117" s="38" t="s">
        <v>41</v>
      </c>
      <c r="C117" s="25">
        <f>+MITRE[[#This Row],[Trenes Puntuales]]/MITRE[[#This Row],[Trenes Programados]]</f>
        <v>0.88168724279835387</v>
      </c>
      <c r="D117" s="25">
        <f>+MITRE[[#This Row],[Trenes Puntuales]]/MITRE[[#This Row],[Trenes Corridos]]</f>
        <v>0.96870363829035677</v>
      </c>
      <c r="E117" s="25">
        <f>+MITRE[[#This Row],[Trenes Corridos]]/MITRE[[#This Row],[Trenes Programados]]</f>
        <v>0.91017232510288071</v>
      </c>
      <c r="F117" s="20">
        <v>15552</v>
      </c>
      <c r="G117" s="20">
        <f t="shared" si="18"/>
        <v>1397</v>
      </c>
      <c r="H117" s="20">
        <v>14155</v>
      </c>
      <c r="I117" s="20">
        <v>13712</v>
      </c>
      <c r="J117" s="20">
        <f t="shared" si="19"/>
        <v>443</v>
      </c>
      <c r="K117" s="20"/>
      <c r="L117" s="5"/>
      <c r="M117" s="29"/>
      <c r="N117" s="24"/>
      <c r="O117" s="30"/>
      <c r="P117" s="30"/>
      <c r="Q117" s="30"/>
      <c r="R117" s="20"/>
      <c r="S117" s="20"/>
      <c r="T117" s="20"/>
      <c r="U117" s="20"/>
      <c r="V117" s="20"/>
      <c r="W117" s="20"/>
      <c r="X117" s="5"/>
      <c r="Y117" s="29"/>
      <c r="Z117" s="24"/>
      <c r="AA117" s="30"/>
      <c r="AB117" s="30"/>
      <c r="AC117" s="30"/>
      <c r="AD117" s="20"/>
      <c r="AE117" s="20"/>
      <c r="AF117" s="20"/>
      <c r="AG117" s="20"/>
      <c r="AH117" s="20"/>
      <c r="AI117" s="20"/>
      <c r="AJ117" s="5"/>
      <c r="AK117" s="29"/>
      <c r="AL117" s="24"/>
      <c r="AM117" s="30"/>
      <c r="AN117" s="30"/>
      <c r="AO117" s="30"/>
      <c r="AP117" s="20"/>
      <c r="AQ117" s="20"/>
      <c r="AR117" s="20"/>
      <c r="AS117" s="20"/>
      <c r="AT117" s="20"/>
      <c r="AU117" s="20"/>
      <c r="AV117" s="5"/>
      <c r="AW117" s="29"/>
      <c r="AX117" s="24"/>
      <c r="AY117" s="30"/>
      <c r="AZ117" s="30"/>
      <c r="BA117" s="30"/>
      <c r="BB117" s="20"/>
      <c r="BC117" s="20"/>
      <c r="BD117" s="20"/>
      <c r="BE117" s="20"/>
      <c r="BF117" s="20"/>
      <c r="BG117" s="20"/>
      <c r="BH117" s="5"/>
      <c r="BI117" s="29"/>
      <c r="BJ117" s="24"/>
      <c r="BK117" s="30"/>
      <c r="BL117" s="30"/>
      <c r="BM117" s="30"/>
      <c r="BN117" s="20"/>
      <c r="BO117" s="20"/>
      <c r="BP117" s="20"/>
      <c r="BQ117" s="20"/>
      <c r="BR117" s="20"/>
      <c r="BS117" s="29"/>
    </row>
    <row r="118" spans="1:71" s="3" customFormat="1" ht="12.75">
      <c r="A118" s="3">
        <v>2002</v>
      </c>
      <c r="B118" s="38" t="s">
        <v>42</v>
      </c>
      <c r="C118" s="25">
        <f>+MITRE[[#This Row],[Trenes Puntuales]]/MITRE[[#This Row],[Trenes Programados]]</f>
        <v>0.9015018773466833</v>
      </c>
      <c r="D118" s="25">
        <f>+MITRE[[#This Row],[Trenes Puntuales]]/MITRE[[#This Row],[Trenes Corridos]]</f>
        <v>0.96432157440257049</v>
      </c>
      <c r="E118" s="25">
        <f>+MITRE[[#This Row],[Trenes Corridos]]/MITRE[[#This Row],[Trenes Programados]]</f>
        <v>0.93485607008760951</v>
      </c>
      <c r="F118" s="20">
        <v>15980</v>
      </c>
      <c r="G118" s="20">
        <f t="shared" si="18"/>
        <v>1041</v>
      </c>
      <c r="H118" s="20">
        <v>14939</v>
      </c>
      <c r="I118" s="20">
        <v>14406</v>
      </c>
      <c r="J118" s="20">
        <f t="shared" si="19"/>
        <v>533</v>
      </c>
      <c r="K118" s="20"/>
      <c r="L118" s="5"/>
      <c r="M118" s="29"/>
      <c r="N118" s="24"/>
      <c r="O118" s="30"/>
      <c r="P118" s="30"/>
      <c r="Q118" s="30"/>
      <c r="R118" s="20"/>
      <c r="S118" s="20"/>
      <c r="T118" s="20"/>
      <c r="U118" s="20"/>
      <c r="V118" s="20"/>
      <c r="W118" s="20"/>
      <c r="X118" s="5"/>
      <c r="Y118" s="29"/>
      <c r="Z118" s="24"/>
      <c r="AA118" s="30"/>
      <c r="AB118" s="30"/>
      <c r="AC118" s="30"/>
      <c r="AD118" s="20"/>
      <c r="AE118" s="20"/>
      <c r="AF118" s="20"/>
      <c r="AG118" s="20"/>
      <c r="AH118" s="20"/>
      <c r="AI118" s="20"/>
      <c r="AJ118" s="5"/>
      <c r="AK118" s="29"/>
      <c r="AL118" s="24"/>
      <c r="AM118" s="30"/>
      <c r="AN118" s="30"/>
      <c r="AO118" s="30"/>
      <c r="AP118" s="20"/>
      <c r="AQ118" s="20"/>
      <c r="AR118" s="20"/>
      <c r="AS118" s="20"/>
      <c r="AT118" s="20"/>
      <c r="AU118" s="20"/>
      <c r="AV118" s="5"/>
      <c r="AW118" s="29"/>
      <c r="AX118" s="24"/>
      <c r="AY118" s="30"/>
      <c r="AZ118" s="30"/>
      <c r="BA118" s="30"/>
      <c r="BB118" s="20"/>
      <c r="BC118" s="20"/>
      <c r="BD118" s="20"/>
      <c r="BE118" s="20"/>
      <c r="BF118" s="20"/>
      <c r="BG118" s="20"/>
      <c r="BH118" s="5"/>
      <c r="BI118" s="29"/>
      <c r="BJ118" s="24"/>
      <c r="BK118" s="30"/>
      <c r="BL118" s="30"/>
      <c r="BM118" s="30"/>
      <c r="BN118" s="20"/>
      <c r="BO118" s="20"/>
      <c r="BP118" s="20"/>
      <c r="BQ118" s="20"/>
      <c r="BR118" s="20"/>
      <c r="BS118" s="29"/>
    </row>
    <row r="119" spans="1:71" s="3" customFormat="1" ht="12.75">
      <c r="A119" s="3">
        <v>2002</v>
      </c>
      <c r="B119" s="38" t="s">
        <v>43</v>
      </c>
      <c r="C119" s="25">
        <f>+MITRE[[#This Row],[Trenes Puntuales]]/MITRE[[#This Row],[Trenes Programados]]</f>
        <v>0.86392592106127275</v>
      </c>
      <c r="D119" s="25">
        <f>+MITRE[[#This Row],[Trenes Puntuales]]/MITRE[[#This Row],[Trenes Corridos]]</f>
        <v>0.93080025472298877</v>
      </c>
      <c r="E119" s="25">
        <f>+MITRE[[#This Row],[Trenes Corridos]]/MITRE[[#This Row],[Trenes Programados]]</f>
        <v>0.92815393708544036</v>
      </c>
      <c r="F119" s="20">
        <v>15227</v>
      </c>
      <c r="G119" s="20">
        <f t="shared" si="18"/>
        <v>1094</v>
      </c>
      <c r="H119" s="20">
        <v>14133</v>
      </c>
      <c r="I119" s="20">
        <v>13155</v>
      </c>
      <c r="J119" s="20">
        <f t="shared" si="19"/>
        <v>978</v>
      </c>
      <c r="K119" s="20"/>
      <c r="L119" s="5"/>
      <c r="M119" s="29"/>
      <c r="N119" s="24"/>
      <c r="O119" s="30"/>
      <c r="P119" s="30"/>
      <c r="Q119" s="30"/>
      <c r="R119" s="20"/>
      <c r="S119" s="20"/>
      <c r="T119" s="20"/>
      <c r="U119" s="20"/>
      <c r="V119" s="20"/>
      <c r="W119" s="20"/>
      <c r="X119" s="5"/>
      <c r="Y119" s="29"/>
      <c r="Z119" s="24"/>
      <c r="AA119" s="30"/>
      <c r="AB119" s="30"/>
      <c r="AC119" s="30"/>
      <c r="AD119" s="20"/>
      <c r="AE119" s="20"/>
      <c r="AF119" s="20"/>
      <c r="AG119" s="20"/>
      <c r="AH119" s="20"/>
      <c r="AI119" s="20"/>
      <c r="AJ119" s="5"/>
      <c r="AK119" s="29"/>
      <c r="AL119" s="24"/>
      <c r="AM119" s="30"/>
      <c r="AN119" s="30"/>
      <c r="AO119" s="30"/>
      <c r="AP119" s="20"/>
      <c r="AQ119" s="20"/>
      <c r="AR119" s="20"/>
      <c r="AS119" s="20"/>
      <c r="AT119" s="20"/>
      <c r="AU119" s="20"/>
      <c r="AV119" s="5"/>
      <c r="AW119" s="29"/>
      <c r="AX119" s="24"/>
      <c r="AY119" s="30"/>
      <c r="AZ119" s="30"/>
      <c r="BA119" s="30"/>
      <c r="BB119" s="20"/>
      <c r="BC119" s="20"/>
      <c r="BD119" s="20"/>
      <c r="BE119" s="20"/>
      <c r="BF119" s="20"/>
      <c r="BG119" s="20"/>
      <c r="BH119" s="5"/>
      <c r="BI119" s="29"/>
      <c r="BJ119" s="24"/>
      <c r="BK119" s="30"/>
      <c r="BL119" s="30"/>
      <c r="BM119" s="30"/>
      <c r="BN119" s="20"/>
      <c r="BO119" s="20"/>
      <c r="BP119" s="20"/>
      <c r="BQ119" s="20"/>
      <c r="BR119" s="20"/>
      <c r="BS119" s="29"/>
    </row>
    <row r="120" spans="1:71" s="3" customFormat="1" ht="12.75">
      <c r="A120" s="3">
        <v>2002</v>
      </c>
      <c r="B120" s="38" t="s">
        <v>44</v>
      </c>
      <c r="C120" s="25">
        <f>+MITRE[[#This Row],[Trenes Puntuales]]/MITRE[[#This Row],[Trenes Programados]]</f>
        <v>0.87283731735648351</v>
      </c>
      <c r="D120" s="25">
        <f>+MITRE[[#This Row],[Trenes Puntuales]]/MITRE[[#This Row],[Trenes Corridos]]</f>
        <v>0.94038993544987481</v>
      </c>
      <c r="E120" s="25">
        <f>+MITRE[[#This Row],[Trenes Corridos]]/MITRE[[#This Row],[Trenes Programados]]</f>
        <v>0.92816531148743653</v>
      </c>
      <c r="F120" s="20">
        <v>16357</v>
      </c>
      <c r="G120" s="20">
        <f t="shared" si="18"/>
        <v>1175</v>
      </c>
      <c r="H120" s="20">
        <v>15182</v>
      </c>
      <c r="I120" s="20">
        <v>14277</v>
      </c>
      <c r="J120" s="20">
        <f t="shared" si="19"/>
        <v>905</v>
      </c>
      <c r="K120" s="20"/>
      <c r="L120" s="5"/>
      <c r="M120" s="29"/>
      <c r="N120" s="24"/>
      <c r="O120" s="30"/>
      <c r="P120" s="30"/>
      <c r="Q120" s="30"/>
      <c r="R120" s="20"/>
      <c r="S120" s="20"/>
      <c r="T120" s="20"/>
      <c r="U120" s="20"/>
      <c r="V120" s="20"/>
      <c r="W120" s="20"/>
      <c r="X120" s="5"/>
      <c r="Y120" s="29"/>
      <c r="Z120" s="24"/>
      <c r="AA120" s="30"/>
      <c r="AB120" s="30"/>
      <c r="AC120" s="30"/>
      <c r="AD120" s="20"/>
      <c r="AE120" s="20"/>
      <c r="AF120" s="20"/>
      <c r="AG120" s="20"/>
      <c r="AH120" s="20"/>
      <c r="AI120" s="20"/>
      <c r="AJ120" s="5"/>
      <c r="AK120" s="29"/>
      <c r="AL120" s="24"/>
      <c r="AM120" s="30"/>
      <c r="AN120" s="30"/>
      <c r="AO120" s="30"/>
      <c r="AP120" s="20"/>
      <c r="AQ120" s="20"/>
      <c r="AR120" s="20"/>
      <c r="AS120" s="20"/>
      <c r="AT120" s="20"/>
      <c r="AU120" s="20"/>
      <c r="AV120" s="5"/>
      <c r="AW120" s="29"/>
      <c r="AX120" s="24"/>
      <c r="AY120" s="30"/>
      <c r="AZ120" s="30"/>
      <c r="BA120" s="30"/>
      <c r="BB120" s="20"/>
      <c r="BC120" s="20"/>
      <c r="BD120" s="20"/>
      <c r="BE120" s="20"/>
      <c r="BF120" s="20"/>
      <c r="BG120" s="20"/>
      <c r="BH120" s="5"/>
      <c r="BI120" s="29"/>
      <c r="BJ120" s="24"/>
      <c r="BK120" s="30"/>
      <c r="BL120" s="30"/>
      <c r="BM120" s="30"/>
      <c r="BN120" s="20"/>
      <c r="BO120" s="20"/>
      <c r="BP120" s="20"/>
      <c r="BQ120" s="20"/>
      <c r="BR120" s="20"/>
      <c r="BS120" s="29"/>
    </row>
    <row r="121" spans="1:71" s="3" customFormat="1" ht="12.75">
      <c r="A121" s="3">
        <v>2002</v>
      </c>
      <c r="B121" s="38" t="s">
        <v>45</v>
      </c>
      <c r="C121" s="25">
        <f>+MITRE[[#This Row],[Trenes Puntuales]]/MITRE[[#This Row],[Trenes Programados]]</f>
        <v>0.88529191616766467</v>
      </c>
      <c r="D121" s="25">
        <f>+MITRE[[#This Row],[Trenes Puntuales]]/MITRE[[#This Row],[Trenes Corridos]]</f>
        <v>0.95069997990488309</v>
      </c>
      <c r="E121" s="25">
        <f>+MITRE[[#This Row],[Trenes Corridos]]/MITRE[[#This Row],[Trenes Programados]]</f>
        <v>0.93120009980039919</v>
      </c>
      <c r="F121" s="20">
        <v>16032</v>
      </c>
      <c r="G121" s="20">
        <f t="shared" si="18"/>
        <v>1103</v>
      </c>
      <c r="H121" s="20">
        <v>14929</v>
      </c>
      <c r="I121" s="20">
        <v>14193</v>
      </c>
      <c r="J121" s="20">
        <f t="shared" si="19"/>
        <v>736</v>
      </c>
      <c r="K121" s="20"/>
      <c r="L121" s="5"/>
      <c r="M121" s="29"/>
      <c r="N121" s="24"/>
      <c r="O121" s="30"/>
      <c r="P121" s="30"/>
      <c r="Q121" s="30"/>
      <c r="R121" s="20"/>
      <c r="S121" s="20"/>
      <c r="T121" s="20"/>
      <c r="U121" s="20"/>
      <c r="V121" s="20"/>
      <c r="W121" s="20"/>
      <c r="X121" s="5"/>
      <c r="Y121" s="29"/>
      <c r="Z121" s="24"/>
      <c r="AA121" s="30"/>
      <c r="AB121" s="30"/>
      <c r="AC121" s="30"/>
      <c r="AD121" s="20"/>
      <c r="AE121" s="20"/>
      <c r="AF121" s="20"/>
      <c r="AG121" s="20"/>
      <c r="AH121" s="20"/>
      <c r="AI121" s="20"/>
      <c r="AJ121" s="5"/>
      <c r="AK121" s="29"/>
      <c r="AL121" s="24"/>
      <c r="AM121" s="30"/>
      <c r="AN121" s="30"/>
      <c r="AO121" s="30"/>
      <c r="AP121" s="20"/>
      <c r="AQ121" s="20"/>
      <c r="AR121" s="20"/>
      <c r="AS121" s="20"/>
      <c r="AT121" s="20"/>
      <c r="AU121" s="20"/>
      <c r="AV121" s="5"/>
      <c r="AW121" s="29"/>
      <c r="AX121" s="24"/>
      <c r="AY121" s="30"/>
      <c r="AZ121" s="30"/>
      <c r="BA121" s="30"/>
      <c r="BB121" s="20"/>
      <c r="BC121" s="20"/>
      <c r="BD121" s="20"/>
      <c r="BE121" s="20"/>
      <c r="BF121" s="20"/>
      <c r="BG121" s="20"/>
      <c r="BH121" s="5"/>
      <c r="BI121" s="29"/>
      <c r="BJ121" s="24"/>
      <c r="BK121" s="30"/>
      <c r="BL121" s="30"/>
      <c r="BM121" s="30"/>
      <c r="BN121" s="20"/>
      <c r="BO121" s="20"/>
      <c r="BP121" s="20"/>
      <c r="BQ121" s="20"/>
      <c r="BR121" s="20"/>
      <c r="BS121" s="29"/>
    </row>
    <row r="122" spans="1:71" s="3" customFormat="1" ht="12.75">
      <c r="A122" s="3">
        <v>2002</v>
      </c>
      <c r="B122" s="38" t="s">
        <v>46</v>
      </c>
      <c r="C122" s="25">
        <f>+MITRE[[#This Row],[Trenes Puntuales]]/MITRE[[#This Row],[Trenes Programados]]</f>
        <v>0.90625</v>
      </c>
      <c r="D122" s="25">
        <f>+MITRE[[#This Row],[Trenes Puntuales]]/MITRE[[#This Row],[Trenes Corridos]]</f>
        <v>0.96666666666666667</v>
      </c>
      <c r="E122" s="25">
        <f>+MITRE[[#This Row],[Trenes Corridos]]/MITRE[[#This Row],[Trenes Programados]]</f>
        <v>0.9375</v>
      </c>
      <c r="F122" s="20">
        <v>16000</v>
      </c>
      <c r="G122" s="20">
        <f t="shared" si="18"/>
        <v>1000</v>
      </c>
      <c r="H122" s="20">
        <v>15000</v>
      </c>
      <c r="I122" s="20">
        <v>14500</v>
      </c>
      <c r="J122" s="20">
        <f t="shared" si="19"/>
        <v>500</v>
      </c>
      <c r="K122" s="20"/>
      <c r="L122" s="11"/>
      <c r="M122" s="29"/>
      <c r="N122" s="24"/>
      <c r="O122" s="30"/>
      <c r="P122" s="30"/>
      <c r="Q122" s="30"/>
      <c r="R122" s="20"/>
      <c r="S122" s="20"/>
      <c r="T122" s="20"/>
      <c r="U122" s="20"/>
      <c r="V122" s="20"/>
      <c r="W122" s="20"/>
      <c r="X122" s="5"/>
      <c r="Y122" s="29"/>
      <c r="Z122" s="24"/>
      <c r="AA122" s="30"/>
      <c r="AB122" s="30"/>
      <c r="AC122" s="30"/>
      <c r="AD122" s="20"/>
      <c r="AE122" s="20"/>
      <c r="AF122" s="20"/>
      <c r="AG122" s="20"/>
      <c r="AH122" s="20"/>
      <c r="AI122" s="20"/>
      <c r="AJ122" s="5"/>
      <c r="AK122" s="29"/>
      <c r="AL122" s="24"/>
      <c r="AM122" s="30"/>
      <c r="AN122" s="30"/>
      <c r="AO122" s="30"/>
      <c r="AP122" s="20"/>
      <c r="AQ122" s="20"/>
      <c r="AR122" s="20"/>
      <c r="AS122" s="20"/>
      <c r="AT122" s="20"/>
      <c r="AU122" s="20"/>
      <c r="AV122" s="5"/>
      <c r="AW122" s="29"/>
      <c r="AX122" s="24"/>
      <c r="AY122" s="30"/>
      <c r="AZ122" s="30"/>
      <c r="BA122" s="30"/>
      <c r="BB122" s="20"/>
      <c r="BC122" s="20"/>
      <c r="BD122" s="20"/>
      <c r="BE122" s="20"/>
      <c r="BF122" s="20"/>
      <c r="BG122" s="20"/>
      <c r="BH122" s="5"/>
      <c r="BI122" s="29"/>
      <c r="BJ122" s="24"/>
      <c r="BK122" s="30"/>
      <c r="BL122" s="30"/>
      <c r="BM122" s="30"/>
      <c r="BN122" s="20"/>
      <c r="BO122" s="20"/>
      <c r="BP122" s="20"/>
      <c r="BQ122" s="20"/>
      <c r="BR122" s="20"/>
      <c r="BS122" s="29"/>
    </row>
    <row r="123" spans="1:71" s="3" customFormat="1" ht="12.75">
      <c r="A123" s="3">
        <v>2002</v>
      </c>
      <c r="B123" s="38" t="s">
        <v>47</v>
      </c>
      <c r="C123" s="25">
        <f>+MITRE[[#This Row],[Trenes Puntuales]]/MITRE[[#This Row],[Trenes Programados]]</f>
        <v>0.95489992201715623</v>
      </c>
      <c r="D123" s="25">
        <f>+MITRE[[#This Row],[Trenes Puntuales]]/MITRE[[#This Row],[Trenes Corridos]]</f>
        <v>0.96887775286825795</v>
      </c>
      <c r="E123" s="25">
        <f>+MITRE[[#This Row],[Trenes Corridos]]/MITRE[[#This Row],[Trenes Programados]]</f>
        <v>0.98557317390174159</v>
      </c>
      <c r="F123" s="20">
        <v>15388</v>
      </c>
      <c r="G123" s="20">
        <f t="shared" si="18"/>
        <v>222</v>
      </c>
      <c r="H123" s="20">
        <f>962+984+3159+4320+5741</f>
        <v>15166</v>
      </c>
      <c r="I123" s="20">
        <f>923+947+3120+4233+5471</f>
        <v>14694</v>
      </c>
      <c r="J123" s="20">
        <f t="shared" si="19"/>
        <v>472</v>
      </c>
      <c r="K123" s="20"/>
      <c r="L123" s="5"/>
      <c r="M123" s="29"/>
      <c r="N123" s="24"/>
      <c r="O123" s="30"/>
      <c r="P123" s="30"/>
      <c r="Q123" s="30"/>
      <c r="R123" s="20"/>
      <c r="S123" s="20"/>
      <c r="T123" s="20"/>
      <c r="U123" s="20"/>
      <c r="V123" s="20"/>
      <c r="W123" s="20"/>
      <c r="X123" s="5"/>
      <c r="Y123" s="29"/>
      <c r="Z123" s="24"/>
      <c r="AA123" s="30"/>
      <c r="AB123" s="30"/>
      <c r="AC123" s="30"/>
      <c r="AD123" s="20"/>
      <c r="AE123" s="20"/>
      <c r="AF123" s="20"/>
      <c r="AG123" s="20"/>
      <c r="AH123" s="20"/>
      <c r="AI123" s="20"/>
      <c r="AJ123" s="5"/>
      <c r="AK123" s="29"/>
      <c r="AL123" s="24"/>
      <c r="AM123" s="30"/>
      <c r="AN123" s="30"/>
      <c r="AO123" s="30"/>
      <c r="AP123" s="20"/>
      <c r="AQ123" s="20"/>
      <c r="AR123" s="20"/>
      <c r="AS123" s="20"/>
      <c r="AT123" s="20"/>
      <c r="AU123" s="20"/>
      <c r="AV123" s="5"/>
      <c r="AW123" s="29"/>
      <c r="AX123" s="24"/>
      <c r="AY123" s="30"/>
      <c r="AZ123" s="30"/>
      <c r="BA123" s="30"/>
      <c r="BB123" s="20"/>
      <c r="BC123" s="20"/>
      <c r="BD123" s="20"/>
      <c r="BE123" s="20"/>
      <c r="BF123" s="20"/>
      <c r="BG123" s="20"/>
      <c r="BH123" s="5"/>
      <c r="BI123" s="29"/>
      <c r="BJ123" s="24"/>
      <c r="BK123" s="30"/>
      <c r="BL123" s="30"/>
      <c r="BM123" s="30"/>
      <c r="BN123" s="20"/>
      <c r="BO123" s="20"/>
      <c r="BP123" s="20"/>
      <c r="BQ123" s="20"/>
      <c r="BR123" s="20"/>
      <c r="BS123" s="29"/>
    </row>
    <row r="124" spans="1:71" s="3" customFormat="1" ht="12.75">
      <c r="A124" s="3">
        <v>2002</v>
      </c>
      <c r="B124" s="38" t="s">
        <v>48</v>
      </c>
      <c r="C124" s="25">
        <f>+MITRE[[#This Row],[Trenes Puntuales]]/MITRE[[#This Row],[Trenes Programados]]</f>
        <v>0.96366083445491246</v>
      </c>
      <c r="D124" s="25">
        <f>+MITRE[[#This Row],[Trenes Puntuales]]/MITRE[[#This Row],[Trenes Corridos]]</f>
        <v>0.97025543736025477</v>
      </c>
      <c r="E124" s="25">
        <f>+MITRE[[#This Row],[Trenes Corridos]]/MITRE[[#This Row],[Trenes Programados]]</f>
        <v>0.99320323014804845</v>
      </c>
      <c r="F124" s="20">
        <v>14860</v>
      </c>
      <c r="G124" s="20">
        <f t="shared" si="18"/>
        <v>101</v>
      </c>
      <c r="H124" s="20">
        <f>935+945+3065+4193+5621</f>
        <v>14759</v>
      </c>
      <c r="I124" s="20">
        <f>918+881+3006+4077+5438</f>
        <v>14320</v>
      </c>
      <c r="J124" s="20">
        <f t="shared" si="19"/>
        <v>439</v>
      </c>
      <c r="K124" s="20"/>
      <c r="L124" s="5"/>
      <c r="M124" s="29"/>
      <c r="N124" s="24"/>
      <c r="O124" s="30"/>
      <c r="P124" s="30"/>
      <c r="Q124" s="30"/>
      <c r="R124" s="20"/>
      <c r="S124" s="20"/>
      <c r="T124" s="20"/>
      <c r="U124" s="20"/>
      <c r="V124" s="20"/>
      <c r="W124" s="20"/>
      <c r="X124" s="5"/>
      <c r="Y124" s="29"/>
      <c r="Z124" s="24"/>
      <c r="AA124" s="30"/>
      <c r="AB124" s="30"/>
      <c r="AC124" s="30"/>
      <c r="AD124" s="20"/>
      <c r="AE124" s="20"/>
      <c r="AF124" s="20"/>
      <c r="AG124" s="20"/>
      <c r="AH124" s="20"/>
      <c r="AI124" s="20"/>
      <c r="AJ124" s="5"/>
      <c r="AK124" s="29"/>
      <c r="AL124" s="24"/>
      <c r="AM124" s="30"/>
      <c r="AN124" s="30"/>
      <c r="AO124" s="30"/>
      <c r="AP124" s="20"/>
      <c r="AQ124" s="20"/>
      <c r="AR124" s="20"/>
      <c r="AS124" s="20"/>
      <c r="AT124" s="20"/>
      <c r="AU124" s="20"/>
      <c r="AV124" s="5"/>
      <c r="AW124" s="29"/>
      <c r="AX124" s="24"/>
      <c r="AY124" s="30"/>
      <c r="AZ124" s="30"/>
      <c r="BA124" s="30"/>
      <c r="BB124" s="20"/>
      <c r="BC124" s="20"/>
      <c r="BD124" s="20"/>
      <c r="BE124" s="20"/>
      <c r="BF124" s="20"/>
      <c r="BG124" s="20"/>
      <c r="BH124" s="5"/>
      <c r="BI124" s="29"/>
      <c r="BJ124" s="24"/>
      <c r="BK124" s="30"/>
      <c r="BL124" s="30"/>
      <c r="BM124" s="30"/>
      <c r="BN124" s="20"/>
      <c r="BO124" s="20"/>
      <c r="BP124" s="20"/>
      <c r="BQ124" s="20"/>
      <c r="BR124" s="20"/>
      <c r="BS124" s="29"/>
    </row>
    <row r="125" spans="1:71" s="3" customFormat="1" ht="12.75">
      <c r="A125" s="3">
        <v>2002</v>
      </c>
      <c r="B125" s="38" t="s">
        <v>49</v>
      </c>
      <c r="C125" s="25">
        <f>+MITRE[[#This Row],[Trenes Puntuales]]/MITRE[[#This Row],[Trenes Programados]]</f>
        <v>0.95442448436460414</v>
      </c>
      <c r="D125" s="25">
        <f>+MITRE[[#This Row],[Trenes Puntuales]]/MITRE[[#This Row],[Trenes Corridos]]</f>
        <v>0.97024010821778828</v>
      </c>
      <c r="E125" s="25">
        <f>+MITRE[[#This Row],[Trenes Corridos]]/MITRE[[#This Row],[Trenes Programados]]</f>
        <v>0.98369926813040587</v>
      </c>
      <c r="F125" s="20">
        <v>15030</v>
      </c>
      <c r="G125" s="20">
        <f t="shared" si="18"/>
        <v>245</v>
      </c>
      <c r="H125" s="20">
        <f>939+962+3078+4207+5599</f>
        <v>14785</v>
      </c>
      <c r="I125" s="20">
        <f>894+878+3026+4108+5439</f>
        <v>14345</v>
      </c>
      <c r="J125" s="20">
        <f t="shared" si="19"/>
        <v>440</v>
      </c>
      <c r="K125" s="20"/>
      <c r="L125" s="5"/>
      <c r="M125" s="29"/>
      <c r="N125" s="24"/>
      <c r="O125" s="30"/>
      <c r="P125" s="30"/>
      <c r="Q125" s="30"/>
      <c r="R125" s="20"/>
      <c r="S125" s="20"/>
      <c r="T125" s="20"/>
      <c r="U125" s="20"/>
      <c r="V125" s="20"/>
      <c r="W125" s="20"/>
      <c r="X125" s="5"/>
      <c r="Y125" s="29"/>
      <c r="Z125" s="24"/>
      <c r="AA125" s="30"/>
      <c r="AB125" s="30"/>
      <c r="AC125" s="30"/>
      <c r="AD125" s="20"/>
      <c r="AE125" s="20"/>
      <c r="AF125" s="20"/>
      <c r="AG125" s="20"/>
      <c r="AH125" s="20"/>
      <c r="AI125" s="20"/>
      <c r="AJ125" s="5"/>
      <c r="AK125" s="29"/>
      <c r="AL125" s="24"/>
      <c r="AM125" s="30"/>
      <c r="AN125" s="30"/>
      <c r="AO125" s="30"/>
      <c r="AP125" s="20"/>
      <c r="AQ125" s="20"/>
      <c r="AR125" s="20"/>
      <c r="AS125" s="20"/>
      <c r="AT125" s="20"/>
      <c r="AU125" s="20"/>
      <c r="AV125" s="5"/>
      <c r="AW125" s="29"/>
      <c r="AX125" s="24"/>
      <c r="AY125" s="30"/>
      <c r="AZ125" s="30"/>
      <c r="BA125" s="30"/>
      <c r="BB125" s="20"/>
      <c r="BC125" s="20"/>
      <c r="BD125" s="20"/>
      <c r="BE125" s="20"/>
      <c r="BF125" s="20"/>
      <c r="BG125" s="20"/>
      <c r="BH125" s="5"/>
      <c r="BI125" s="29"/>
      <c r="BJ125" s="24"/>
      <c r="BK125" s="30"/>
      <c r="BL125" s="30"/>
      <c r="BM125" s="30"/>
      <c r="BN125" s="20"/>
      <c r="BO125" s="20"/>
      <c r="BP125" s="20"/>
      <c r="BQ125" s="20"/>
      <c r="BR125" s="20"/>
      <c r="BS125" s="29"/>
    </row>
    <row r="126" spans="1:71" s="3" customFormat="1" ht="12.75">
      <c r="A126" s="3">
        <v>2003</v>
      </c>
      <c r="B126" s="38" t="s">
        <v>38</v>
      </c>
      <c r="C126" s="25">
        <f>+MITRE[[#This Row],[Trenes Puntuales]]/MITRE[[#This Row],[Trenes Programados]]</f>
        <v>0.96625163826998695</v>
      </c>
      <c r="D126" s="25">
        <f>+MITRE[[#This Row],[Trenes Puntuales]]/MITRE[[#This Row],[Trenes Corridos]]</f>
        <v>0.9729462223688552</v>
      </c>
      <c r="E126" s="25">
        <f>+MITRE[[#This Row],[Trenes Corridos]]/MITRE[[#This Row],[Trenes Programados]]</f>
        <v>0.99311926605504586</v>
      </c>
      <c r="F126" s="20">
        <v>15260</v>
      </c>
      <c r="G126" s="20">
        <f t="shared" ref="G126:G139" si="20">F126-H126</f>
        <v>105</v>
      </c>
      <c r="H126" s="20">
        <f>965+976+3145+4316+5753</f>
        <v>15155</v>
      </c>
      <c r="I126" s="20">
        <f>913+943+3085+4227+5577</f>
        <v>14745</v>
      </c>
      <c r="J126" s="20">
        <f t="shared" ref="J126:J139" si="21">H126-I126</f>
        <v>410</v>
      </c>
      <c r="K126" s="20"/>
      <c r="L126" s="5"/>
      <c r="M126" s="29"/>
      <c r="N126" s="24"/>
      <c r="O126" s="30"/>
      <c r="P126" s="30"/>
      <c r="Q126" s="30"/>
      <c r="R126" s="20"/>
      <c r="S126" s="20"/>
      <c r="T126" s="20"/>
      <c r="U126" s="20"/>
      <c r="V126" s="20"/>
      <c r="W126" s="20"/>
      <c r="X126" s="5"/>
      <c r="Y126" s="29"/>
      <c r="Z126" s="24"/>
      <c r="AA126" s="30"/>
      <c r="AB126" s="30"/>
      <c r="AC126" s="30"/>
      <c r="AD126" s="20"/>
      <c r="AE126" s="20"/>
      <c r="AF126" s="20"/>
      <c r="AG126" s="20"/>
      <c r="AH126" s="20"/>
      <c r="AI126" s="20"/>
      <c r="AJ126" s="5"/>
      <c r="AK126" s="29"/>
      <c r="AL126" s="24"/>
      <c r="AM126" s="30"/>
      <c r="AN126" s="30"/>
      <c r="AO126" s="30"/>
      <c r="AP126" s="20"/>
      <c r="AQ126" s="20"/>
      <c r="AR126" s="20"/>
      <c r="AS126" s="20"/>
      <c r="AT126" s="20"/>
      <c r="AU126" s="20"/>
      <c r="AV126" s="5"/>
      <c r="AW126" s="29"/>
      <c r="AX126" s="24"/>
      <c r="AY126" s="30"/>
      <c r="AZ126" s="30"/>
      <c r="BA126" s="30"/>
      <c r="BB126" s="20"/>
      <c r="BC126" s="20"/>
      <c r="BD126" s="20"/>
      <c r="BE126" s="20"/>
      <c r="BF126" s="20"/>
      <c r="BG126" s="20"/>
      <c r="BH126" s="5"/>
      <c r="BI126" s="29"/>
      <c r="BJ126" s="24"/>
      <c r="BK126" s="30"/>
      <c r="BL126" s="30"/>
      <c r="BM126" s="30"/>
      <c r="BN126" s="20"/>
      <c r="BO126" s="20"/>
      <c r="BP126" s="20"/>
      <c r="BQ126" s="20"/>
      <c r="BR126" s="20"/>
      <c r="BS126" s="29"/>
    </row>
    <row r="127" spans="1:71" s="3" customFormat="1" ht="12.75">
      <c r="A127" s="3">
        <v>2003</v>
      </c>
      <c r="B127" s="38" t="s">
        <v>39</v>
      </c>
      <c r="C127" s="25">
        <f>+MITRE[[#This Row],[Trenes Puntuales]]/MITRE[[#This Row],[Trenes Programados]]</f>
        <v>0.94570233631381595</v>
      </c>
      <c r="D127" s="25">
        <f>+MITRE[[#This Row],[Trenes Puntuales]]/MITRE[[#This Row],[Trenes Corridos]]</f>
        <v>0.96165126851444493</v>
      </c>
      <c r="E127" s="25">
        <f>+MITRE[[#This Row],[Trenes Corridos]]/MITRE[[#This Row],[Trenes Programados]]</f>
        <v>0.98341505624459191</v>
      </c>
      <c r="F127" s="20">
        <v>13868</v>
      </c>
      <c r="G127" s="20">
        <f t="shared" si="20"/>
        <v>230</v>
      </c>
      <c r="H127" s="20">
        <f>852+878+2797+3914+5197</f>
        <v>13638</v>
      </c>
      <c r="I127" s="20">
        <f>761+815+2730+3808+5001</f>
        <v>13115</v>
      </c>
      <c r="J127" s="20">
        <f t="shared" si="21"/>
        <v>523</v>
      </c>
      <c r="K127" s="20"/>
      <c r="L127" s="5"/>
      <c r="M127" s="29"/>
      <c r="N127" s="24"/>
      <c r="O127" s="30"/>
      <c r="P127" s="30"/>
      <c r="Q127" s="30"/>
      <c r="R127" s="20"/>
      <c r="S127" s="20"/>
      <c r="T127" s="20"/>
      <c r="U127" s="20"/>
      <c r="V127" s="20"/>
      <c r="W127" s="20"/>
      <c r="X127" s="5"/>
      <c r="Y127" s="29"/>
      <c r="Z127" s="24"/>
      <c r="AA127" s="30"/>
      <c r="AB127" s="30"/>
      <c r="AC127" s="30"/>
      <c r="AD127" s="20"/>
      <c r="AE127" s="20"/>
      <c r="AF127" s="20"/>
      <c r="AG127" s="20"/>
      <c r="AH127" s="20"/>
      <c r="AI127" s="20"/>
      <c r="AJ127" s="5"/>
      <c r="AK127" s="29"/>
      <c r="AL127" s="24"/>
      <c r="AM127" s="30"/>
      <c r="AN127" s="30"/>
      <c r="AO127" s="30"/>
      <c r="AP127" s="20"/>
      <c r="AQ127" s="20"/>
      <c r="AR127" s="20"/>
      <c r="AS127" s="20"/>
      <c r="AT127" s="20"/>
      <c r="AU127" s="20"/>
      <c r="AV127" s="5"/>
      <c r="AW127" s="29"/>
      <c r="AX127" s="24"/>
      <c r="AY127" s="30"/>
      <c r="AZ127" s="30"/>
      <c r="BA127" s="30"/>
      <c r="BB127" s="20"/>
      <c r="BC127" s="20"/>
      <c r="BD127" s="20"/>
      <c r="BE127" s="20"/>
      <c r="BF127" s="20"/>
      <c r="BG127" s="20"/>
      <c r="BH127" s="5"/>
      <c r="BI127" s="29"/>
      <c r="BJ127" s="24"/>
      <c r="BK127" s="30"/>
      <c r="BL127" s="30"/>
      <c r="BM127" s="30"/>
      <c r="BN127" s="20"/>
      <c r="BO127" s="20"/>
      <c r="BP127" s="20"/>
      <c r="BQ127" s="20"/>
      <c r="BR127" s="20"/>
      <c r="BS127" s="29"/>
    </row>
    <row r="128" spans="1:71" s="3" customFormat="1" ht="12.75">
      <c r="A128" s="3">
        <v>2003</v>
      </c>
      <c r="B128" s="38" t="s">
        <v>40</v>
      </c>
      <c r="C128" s="25">
        <f>+MITRE[[#This Row],[Trenes Puntuales]]/MITRE[[#This Row],[Trenes Programados]]</f>
        <v>0.92161456590133206</v>
      </c>
      <c r="D128" s="25">
        <f>+MITRE[[#This Row],[Trenes Puntuales]]/MITRE[[#This Row],[Trenes Corridos]]</f>
        <v>0.96556560768637356</v>
      </c>
      <c r="E128" s="25">
        <f>+MITRE[[#This Row],[Trenes Corridos]]/MITRE[[#This Row],[Trenes Programados]]</f>
        <v>0.95448155833723813</v>
      </c>
      <c r="F128" s="20">
        <v>14939</v>
      </c>
      <c r="G128" s="20">
        <f t="shared" si="20"/>
        <v>680</v>
      </c>
      <c r="H128" s="20">
        <f>892+932+3009+4057+5369</f>
        <v>14259</v>
      </c>
      <c r="I128" s="20">
        <f>836+890+2955+3941+5146</f>
        <v>13768</v>
      </c>
      <c r="J128" s="20">
        <f t="shared" si="21"/>
        <v>491</v>
      </c>
      <c r="K128" s="20"/>
      <c r="L128" s="5"/>
      <c r="M128" s="29"/>
      <c r="N128" s="24"/>
      <c r="O128" s="30"/>
      <c r="P128" s="30"/>
      <c r="Q128" s="30"/>
      <c r="R128" s="20"/>
      <c r="S128" s="20"/>
      <c r="T128" s="20"/>
      <c r="U128" s="20"/>
      <c r="V128" s="20"/>
      <c r="W128" s="20"/>
      <c r="X128" s="5"/>
      <c r="Y128" s="29"/>
      <c r="Z128" s="24"/>
      <c r="AA128" s="30"/>
      <c r="AB128" s="30"/>
      <c r="AC128" s="30"/>
      <c r="AD128" s="20"/>
      <c r="AE128" s="20"/>
      <c r="AF128" s="20"/>
      <c r="AG128" s="20"/>
      <c r="AH128" s="20"/>
      <c r="AI128" s="20"/>
      <c r="AJ128" s="5"/>
      <c r="AK128" s="29"/>
      <c r="AL128" s="24"/>
      <c r="AM128" s="30"/>
      <c r="AN128" s="30"/>
      <c r="AO128" s="30"/>
      <c r="AP128" s="20"/>
      <c r="AQ128" s="20"/>
      <c r="AR128" s="20"/>
      <c r="AS128" s="20"/>
      <c r="AT128" s="20"/>
      <c r="AU128" s="20"/>
      <c r="AV128" s="5"/>
      <c r="AW128" s="29"/>
      <c r="AX128" s="24"/>
      <c r="AY128" s="30"/>
      <c r="AZ128" s="30"/>
      <c r="BA128" s="30"/>
      <c r="BB128" s="20"/>
      <c r="BC128" s="20"/>
      <c r="BD128" s="20"/>
      <c r="BE128" s="20"/>
      <c r="BF128" s="20"/>
      <c r="BG128" s="20"/>
      <c r="BH128" s="5"/>
      <c r="BI128" s="29"/>
      <c r="BJ128" s="24"/>
      <c r="BK128" s="30"/>
      <c r="BL128" s="30"/>
      <c r="BM128" s="30"/>
      <c r="BN128" s="20"/>
      <c r="BO128" s="20"/>
      <c r="BP128" s="20"/>
      <c r="BQ128" s="20"/>
      <c r="BR128" s="20"/>
      <c r="BS128" s="29"/>
    </row>
    <row r="129" spans="1:71" s="3" customFormat="1" ht="12.75">
      <c r="A129" s="3">
        <v>2003</v>
      </c>
      <c r="B129" s="38" t="s">
        <v>41</v>
      </c>
      <c r="C129" s="25">
        <f>+MITRE[[#This Row],[Trenes Puntuales]]/MITRE[[#This Row],[Trenes Programados]]</f>
        <v>0.94792651627718494</v>
      </c>
      <c r="D129" s="25">
        <f>+MITRE[[#This Row],[Trenes Puntuales]]/MITRE[[#This Row],[Trenes Corridos]]</f>
        <v>0.96599903640993878</v>
      </c>
      <c r="E129" s="25">
        <f>+MITRE[[#This Row],[Trenes Corridos]]/MITRE[[#This Row],[Trenes Programados]]</f>
        <v>0.98129136836417663</v>
      </c>
      <c r="F129" s="20">
        <v>14806</v>
      </c>
      <c r="G129" s="20">
        <f t="shared" si="20"/>
        <v>277</v>
      </c>
      <c r="H129" s="20">
        <v>14529</v>
      </c>
      <c r="I129" s="20">
        <v>14035</v>
      </c>
      <c r="J129" s="20">
        <f t="shared" si="21"/>
        <v>494</v>
      </c>
      <c r="K129" s="20"/>
      <c r="L129" s="5"/>
      <c r="M129" s="29"/>
      <c r="N129" s="24"/>
      <c r="O129" s="30"/>
      <c r="P129" s="30"/>
      <c r="Q129" s="30"/>
      <c r="R129" s="20"/>
      <c r="S129" s="20"/>
      <c r="T129" s="20"/>
      <c r="U129" s="20"/>
      <c r="V129" s="20"/>
      <c r="W129" s="20"/>
      <c r="X129" s="5"/>
      <c r="Y129" s="29"/>
      <c r="Z129" s="24"/>
      <c r="AA129" s="30"/>
      <c r="AB129" s="30"/>
      <c r="AC129" s="30"/>
      <c r="AD129" s="20"/>
      <c r="AE129" s="20"/>
      <c r="AF129" s="20"/>
      <c r="AG129" s="20"/>
      <c r="AH129" s="20"/>
      <c r="AI129" s="20"/>
      <c r="AJ129" s="5"/>
      <c r="AK129" s="29"/>
      <c r="AL129" s="24"/>
      <c r="AM129" s="30"/>
      <c r="AN129" s="30"/>
      <c r="AO129" s="30"/>
      <c r="AP129" s="20"/>
      <c r="AQ129" s="20"/>
      <c r="AR129" s="20"/>
      <c r="AS129" s="20"/>
      <c r="AT129" s="20"/>
      <c r="AU129" s="20"/>
      <c r="AV129" s="5"/>
      <c r="AW129" s="29"/>
      <c r="AX129" s="24"/>
      <c r="AY129" s="30"/>
      <c r="AZ129" s="30"/>
      <c r="BA129" s="30"/>
      <c r="BB129" s="20"/>
      <c r="BC129" s="20"/>
      <c r="BD129" s="20"/>
      <c r="BE129" s="20"/>
      <c r="BF129" s="20"/>
      <c r="BG129" s="20"/>
      <c r="BH129" s="5"/>
      <c r="BI129" s="29"/>
      <c r="BJ129" s="24"/>
      <c r="BK129" s="30"/>
      <c r="BL129" s="30"/>
      <c r="BM129" s="30"/>
      <c r="BN129" s="20"/>
      <c r="BO129" s="20"/>
      <c r="BP129" s="20"/>
      <c r="BQ129" s="20"/>
      <c r="BR129" s="20"/>
      <c r="BS129" s="29"/>
    </row>
    <row r="130" spans="1:71" s="3" customFormat="1" ht="12.75">
      <c r="A130" s="3">
        <v>2003</v>
      </c>
      <c r="B130" s="38" t="s">
        <v>42</v>
      </c>
      <c r="C130" s="25">
        <f>+MITRE[[#This Row],[Trenes Puntuales]]/MITRE[[#This Row],[Trenes Programados]]</f>
        <v>0.94606214578854797</v>
      </c>
      <c r="D130" s="25">
        <f>+MITRE[[#This Row],[Trenes Puntuales]]/MITRE[[#This Row],[Trenes Corridos]]</f>
        <v>0.97014028056112223</v>
      </c>
      <c r="E130" s="25">
        <f>+MITRE[[#This Row],[Trenes Corridos]]/MITRE[[#This Row],[Trenes Programados]]</f>
        <v>0.97518076998241154</v>
      </c>
      <c r="F130" s="20">
        <v>15351</v>
      </c>
      <c r="G130" s="20">
        <f t="shared" si="20"/>
        <v>381</v>
      </c>
      <c r="H130" s="20">
        <v>14970</v>
      </c>
      <c r="I130" s="20">
        <v>14523</v>
      </c>
      <c r="J130" s="20">
        <f t="shared" si="21"/>
        <v>447</v>
      </c>
      <c r="K130" s="20"/>
      <c r="L130" s="5"/>
      <c r="M130" s="29"/>
      <c r="N130" s="24"/>
      <c r="O130" s="30"/>
      <c r="P130" s="30"/>
      <c r="Q130" s="30"/>
      <c r="R130" s="20"/>
      <c r="S130" s="20"/>
      <c r="T130" s="20"/>
      <c r="U130" s="20"/>
      <c r="V130" s="20"/>
      <c r="W130" s="20"/>
      <c r="X130" s="5"/>
      <c r="Y130" s="29"/>
      <c r="Z130" s="24"/>
      <c r="AA130" s="30"/>
      <c r="AB130" s="30"/>
      <c r="AC130" s="30"/>
      <c r="AD130" s="20"/>
      <c r="AE130" s="20"/>
      <c r="AF130" s="20"/>
      <c r="AG130" s="20"/>
      <c r="AH130" s="20"/>
      <c r="AI130" s="20"/>
      <c r="AJ130" s="5"/>
      <c r="AK130" s="29"/>
      <c r="AL130" s="24"/>
      <c r="AM130" s="30"/>
      <c r="AN130" s="30"/>
      <c r="AO130" s="30"/>
      <c r="AP130" s="20"/>
      <c r="AQ130" s="20"/>
      <c r="AR130" s="20"/>
      <c r="AS130" s="20"/>
      <c r="AT130" s="20"/>
      <c r="AU130" s="20"/>
      <c r="AV130" s="5"/>
      <c r="AW130" s="29"/>
      <c r="AX130" s="24"/>
      <c r="AY130" s="30"/>
      <c r="AZ130" s="30"/>
      <c r="BA130" s="30"/>
      <c r="BB130" s="20"/>
      <c r="BC130" s="20"/>
      <c r="BD130" s="20"/>
      <c r="BE130" s="20"/>
      <c r="BF130" s="20"/>
      <c r="BG130" s="20"/>
      <c r="BH130" s="5"/>
      <c r="BI130" s="29"/>
      <c r="BJ130" s="24"/>
      <c r="BK130" s="30"/>
      <c r="BL130" s="30"/>
      <c r="BM130" s="30"/>
      <c r="BN130" s="20"/>
      <c r="BO130" s="20"/>
      <c r="BP130" s="20"/>
      <c r="BQ130" s="20"/>
      <c r="BR130" s="20"/>
      <c r="BS130" s="29"/>
    </row>
    <row r="131" spans="1:71" s="3" customFormat="1" ht="12.75">
      <c r="A131" s="3">
        <v>2003</v>
      </c>
      <c r="B131" s="38" t="s">
        <v>43</v>
      </c>
      <c r="C131" s="25">
        <f>+MITRE[[#This Row],[Trenes Puntuales]]/MITRE[[#This Row],[Trenes Programados]]</f>
        <v>0.9497713778748379</v>
      </c>
      <c r="D131" s="25">
        <f>+MITRE[[#This Row],[Trenes Puntuales]]/MITRE[[#This Row],[Trenes Corridos]]</f>
        <v>0.96894799136670617</v>
      </c>
      <c r="E131" s="25">
        <f>+MITRE[[#This Row],[Trenes Corridos]]/MITRE[[#This Row],[Trenes Programados]]</f>
        <v>0.98020883095611822</v>
      </c>
      <c r="F131" s="27">
        <v>14653</v>
      </c>
      <c r="G131" s="27">
        <v>290</v>
      </c>
      <c r="H131" s="27">
        <v>14363</v>
      </c>
      <c r="I131" s="27">
        <v>13917</v>
      </c>
      <c r="J131" s="27">
        <v>446</v>
      </c>
      <c r="K131" s="20"/>
      <c r="L131" s="5"/>
      <c r="M131" s="29"/>
      <c r="N131" s="38"/>
      <c r="O131" s="35"/>
      <c r="P131" s="35"/>
      <c r="Q131" s="35"/>
      <c r="R131" s="20"/>
      <c r="S131" s="27"/>
      <c r="T131" s="20"/>
      <c r="U131" s="20"/>
      <c r="V131" s="20"/>
      <c r="W131" s="20"/>
      <c r="X131" s="5"/>
      <c r="Y131" s="29"/>
      <c r="Z131" s="38"/>
      <c r="AA131" s="35"/>
      <c r="AB131" s="35"/>
      <c r="AC131" s="35"/>
      <c r="AD131" s="20"/>
      <c r="AE131" s="27"/>
      <c r="AF131" s="20"/>
      <c r="AG131" s="20"/>
      <c r="AH131" s="20"/>
      <c r="AI131" s="20"/>
      <c r="AJ131" s="5"/>
      <c r="AK131" s="29"/>
      <c r="AL131" s="38"/>
      <c r="AM131" s="35"/>
      <c r="AN131" s="35"/>
      <c r="AO131" s="35"/>
      <c r="AP131" s="20"/>
      <c r="AQ131" s="27"/>
      <c r="AR131" s="20"/>
      <c r="AS131" s="20"/>
      <c r="AT131" s="20"/>
      <c r="AU131" s="20"/>
      <c r="AV131" s="5"/>
      <c r="AW131" s="29"/>
      <c r="AX131" s="38"/>
      <c r="AY131" s="35"/>
      <c r="AZ131" s="35"/>
      <c r="BA131" s="35"/>
      <c r="BB131" s="20"/>
      <c r="BC131" s="27"/>
      <c r="BD131" s="20"/>
      <c r="BE131" s="20"/>
      <c r="BF131" s="20"/>
      <c r="BG131" s="20"/>
      <c r="BH131" s="5"/>
      <c r="BI131" s="29"/>
      <c r="BJ131" s="38"/>
      <c r="BK131" s="35"/>
      <c r="BL131" s="35"/>
      <c r="BM131" s="35"/>
      <c r="BN131" s="20"/>
      <c r="BO131" s="27"/>
      <c r="BP131" s="20"/>
      <c r="BQ131" s="20"/>
      <c r="BR131" s="20"/>
      <c r="BS131" s="29"/>
    </row>
    <row r="132" spans="1:71" s="3" customFormat="1" ht="12.75">
      <c r="A132" s="3">
        <v>2003</v>
      </c>
      <c r="B132" s="38" t="s">
        <v>44</v>
      </c>
      <c r="C132" s="25">
        <f>+MITRE[[#This Row],[Trenes Puntuales]]/MITRE[[#This Row],[Trenes Programados]]</f>
        <v>0.92664042841473648</v>
      </c>
      <c r="D132" s="25">
        <f>+MITRE[[#This Row],[Trenes Puntuales]]/MITRE[[#This Row],[Trenes Corridos]]</f>
        <v>0.9518822905620361</v>
      </c>
      <c r="E132" s="25">
        <f>+MITRE[[#This Row],[Trenes Corridos]]/MITRE[[#This Row],[Trenes Programados]]</f>
        <v>0.97348216013936384</v>
      </c>
      <c r="F132" s="27">
        <v>15499</v>
      </c>
      <c r="G132" s="27">
        <v>411</v>
      </c>
      <c r="H132" s="27">
        <v>15088</v>
      </c>
      <c r="I132" s="27">
        <v>14362</v>
      </c>
      <c r="J132" s="27">
        <v>726</v>
      </c>
      <c r="K132" s="20"/>
      <c r="L132" s="5"/>
      <c r="M132" s="29"/>
      <c r="N132" s="38"/>
      <c r="O132" s="35"/>
      <c r="P132" s="35"/>
      <c r="Q132" s="35"/>
      <c r="R132" s="20"/>
      <c r="S132" s="27"/>
      <c r="T132" s="20"/>
      <c r="U132" s="20"/>
      <c r="V132" s="20"/>
      <c r="W132" s="20"/>
      <c r="X132" s="5"/>
      <c r="Y132" s="29"/>
      <c r="Z132" s="38"/>
      <c r="AA132" s="35"/>
      <c r="AB132" s="35"/>
      <c r="AC132" s="35"/>
      <c r="AD132" s="20"/>
      <c r="AE132" s="27"/>
      <c r="AF132" s="20"/>
      <c r="AG132" s="20"/>
      <c r="AH132" s="20"/>
      <c r="AI132" s="20"/>
      <c r="AJ132" s="5"/>
      <c r="AK132" s="29"/>
      <c r="AL132" s="38"/>
      <c r="AM132" s="35"/>
      <c r="AN132" s="35"/>
      <c r="AO132" s="35"/>
      <c r="AP132" s="20"/>
      <c r="AQ132" s="27"/>
      <c r="AR132" s="20"/>
      <c r="AS132" s="20"/>
      <c r="AT132" s="20"/>
      <c r="AU132" s="20"/>
      <c r="AV132" s="5"/>
      <c r="AW132" s="29"/>
      <c r="AX132" s="38"/>
      <c r="AY132" s="35"/>
      <c r="AZ132" s="35"/>
      <c r="BA132" s="35"/>
      <c r="BB132" s="20"/>
      <c r="BC132" s="27"/>
      <c r="BD132" s="20"/>
      <c r="BE132" s="20"/>
      <c r="BF132" s="20"/>
      <c r="BG132" s="20"/>
      <c r="BH132" s="5"/>
      <c r="BI132" s="29"/>
      <c r="BJ132" s="38"/>
      <c r="BK132" s="35"/>
      <c r="BL132" s="35"/>
      <c r="BM132" s="35"/>
      <c r="BN132" s="20"/>
      <c r="BO132" s="27"/>
      <c r="BP132" s="20"/>
      <c r="BQ132" s="20"/>
      <c r="BR132" s="20"/>
      <c r="BS132" s="29"/>
    </row>
    <row r="133" spans="1:71" s="3" customFormat="1" ht="12.75">
      <c r="A133" s="3">
        <v>2003</v>
      </c>
      <c r="B133" s="38" t="s">
        <v>45</v>
      </c>
      <c r="C133" s="25">
        <f>+MITRE[[#This Row],[Trenes Puntuales]]/MITRE[[#This Row],[Trenes Programados]]</f>
        <v>0.88929074970882116</v>
      </c>
      <c r="D133" s="25">
        <f>+MITRE[[#This Row],[Trenes Puntuales]]/MITRE[[#This Row],[Trenes Corridos]]</f>
        <v>0.90448282311864825</v>
      </c>
      <c r="E133" s="25">
        <f>+MITRE[[#This Row],[Trenes Corridos]]/MITRE[[#This Row],[Trenes Programados]]</f>
        <v>0.98320357996689756</v>
      </c>
      <c r="F133" s="27">
        <v>16313</v>
      </c>
      <c r="G133" s="27">
        <v>274</v>
      </c>
      <c r="H133" s="27">
        <v>16039</v>
      </c>
      <c r="I133" s="27">
        <v>14507</v>
      </c>
      <c r="J133" s="27">
        <v>1532</v>
      </c>
      <c r="K133" s="20"/>
      <c r="L133" s="5"/>
      <c r="M133" s="29"/>
      <c r="N133" s="38"/>
      <c r="O133" s="35"/>
      <c r="P133" s="35"/>
      <c r="Q133" s="35"/>
      <c r="R133" s="20"/>
      <c r="S133" s="27"/>
      <c r="T133" s="20"/>
      <c r="U133" s="20"/>
      <c r="V133" s="20"/>
      <c r="W133" s="20"/>
      <c r="X133" s="5"/>
      <c r="Y133" s="29"/>
      <c r="Z133" s="38"/>
      <c r="AA133" s="35"/>
      <c r="AB133" s="35"/>
      <c r="AC133" s="35"/>
      <c r="AD133" s="20"/>
      <c r="AE133" s="27"/>
      <c r="AF133" s="20"/>
      <c r="AG133" s="20"/>
      <c r="AH133" s="20"/>
      <c r="AI133" s="20"/>
      <c r="AJ133" s="5"/>
      <c r="AK133" s="29"/>
      <c r="AL133" s="38"/>
      <c r="AM133" s="35"/>
      <c r="AN133" s="35"/>
      <c r="AO133" s="35"/>
      <c r="AP133" s="20"/>
      <c r="AQ133" s="27"/>
      <c r="AR133" s="20"/>
      <c r="AS133" s="20"/>
      <c r="AT133" s="20"/>
      <c r="AU133" s="20"/>
      <c r="AV133" s="5"/>
      <c r="AW133" s="29"/>
      <c r="AX133" s="38"/>
      <c r="AY133" s="35"/>
      <c r="AZ133" s="35"/>
      <c r="BA133" s="35"/>
      <c r="BB133" s="20"/>
      <c r="BC133" s="27"/>
      <c r="BD133" s="20"/>
      <c r="BE133" s="20"/>
      <c r="BF133" s="20"/>
      <c r="BG133" s="20"/>
      <c r="BH133" s="5"/>
      <c r="BI133" s="29"/>
      <c r="BJ133" s="38"/>
      <c r="BK133" s="35"/>
      <c r="BL133" s="35"/>
      <c r="BM133" s="35"/>
      <c r="BN133" s="20"/>
      <c r="BO133" s="27"/>
      <c r="BP133" s="20"/>
      <c r="BQ133" s="20"/>
      <c r="BR133" s="20"/>
      <c r="BS133" s="29"/>
    </row>
    <row r="134" spans="1:71" s="3" customFormat="1" ht="12.75">
      <c r="A134" s="3">
        <v>2003</v>
      </c>
      <c r="B134" s="38" t="s">
        <v>46</v>
      </c>
      <c r="C134" s="25">
        <f>+MITRE[[#This Row],[Trenes Puntuales]]/MITRE[[#This Row],[Trenes Programados]]</f>
        <v>0.9509040517355154</v>
      </c>
      <c r="D134" s="25">
        <f>+MITRE[[#This Row],[Trenes Puntuales]]/MITRE[[#This Row],[Trenes Corridos]]</f>
        <v>0.96111518708730737</v>
      </c>
      <c r="E134" s="25">
        <f>+MITRE[[#This Row],[Trenes Corridos]]/MITRE[[#This Row],[Trenes Programados]]</f>
        <v>0.98937574237824999</v>
      </c>
      <c r="F134" s="27">
        <f t="shared" ref="F134:F139" si="22">+R134+AD134+AP134+BB134+BN134</f>
        <v>15154</v>
      </c>
      <c r="G134" s="27">
        <f t="shared" si="20"/>
        <v>161</v>
      </c>
      <c r="H134" s="27">
        <f t="shared" ref="H134:H139" si="23">+T134+AF134+AR134+BD134+BP134</f>
        <v>14993</v>
      </c>
      <c r="I134" s="27">
        <f t="shared" ref="I134:I139" si="24">+U134+AG134+AS134+BE134+BQ134</f>
        <v>14410</v>
      </c>
      <c r="J134" s="27">
        <f t="shared" si="21"/>
        <v>583</v>
      </c>
      <c r="K134" s="20"/>
      <c r="L134" s="5"/>
      <c r="M134" s="3">
        <v>2003</v>
      </c>
      <c r="N134" s="38" t="s">
        <v>46</v>
      </c>
      <c r="O134" s="35">
        <f>+Tabla4[[#This Row],[Trenes Puntuales]]/Tabla4[[#This Row],[Trenes Programados]]</f>
        <v>0.95457734128376004</v>
      </c>
      <c r="P134" s="35">
        <f>+Tabla4[[#This Row],[Trenes Puntuales]]/Tabla4[[#This Row],[Trenes Corridos]]</f>
        <v>0.96234087694483739</v>
      </c>
      <c r="Q134" s="35">
        <f>+Tabla4[[#This Row],[Trenes Corridos]]/Tabla4[[#This Row],[Trenes Programados]]</f>
        <v>0.99193265520869867</v>
      </c>
      <c r="R134" s="20">
        <v>5702</v>
      </c>
      <c r="S134" s="27">
        <f t="shared" ref="S134:S135" si="25">R134-T134</f>
        <v>46</v>
      </c>
      <c r="T134" s="20">
        <v>5656</v>
      </c>
      <c r="U134" s="20">
        <v>5443</v>
      </c>
      <c r="V134" s="20">
        <f t="shared" ref="V134:V137" si="26">T134-U134</f>
        <v>213</v>
      </c>
      <c r="W134" s="20"/>
      <c r="X134" s="5"/>
      <c r="Y134" s="3">
        <v>2003</v>
      </c>
      <c r="Z134" s="38" t="s">
        <v>46</v>
      </c>
      <c r="AA134" s="35">
        <f>+Tabla5[[#This Row],[Trenes Puntuales]]/Tabla5[[#This Row],[Trenes Programados]]</f>
        <v>0.96082004555808653</v>
      </c>
      <c r="AB134" s="35">
        <f>+Tabla5[[#This Row],[Trenes Puntuales]]/Tabla5[[#This Row],[Trenes Corridos]]</f>
        <v>0.96433470507544583</v>
      </c>
      <c r="AC134" s="35">
        <f>+Tabla5[[#This Row],[Trenes Corridos]]/Tabla5[[#This Row],[Trenes Programados]]</f>
        <v>0.99635535307517087</v>
      </c>
      <c r="AD134" s="20">
        <v>4390</v>
      </c>
      <c r="AE134" s="27">
        <f t="shared" ref="AE134:AE137" si="27">AD134-AF134</f>
        <v>16</v>
      </c>
      <c r="AF134" s="20">
        <v>4374</v>
      </c>
      <c r="AG134" s="20">
        <v>4218</v>
      </c>
      <c r="AH134" s="20">
        <f t="shared" ref="AH134:AH137" si="28">AF134-AG134</f>
        <v>156</v>
      </c>
      <c r="AI134" s="20"/>
      <c r="AJ134" s="5"/>
      <c r="AK134" s="3">
        <v>2003</v>
      </c>
      <c r="AL134" s="38" t="s">
        <v>46</v>
      </c>
      <c r="AM134" s="35">
        <f>+Tabla6[[#This Row],[Trenes Puntuales]]/Tabla6[[#This Row],[Trenes Programados]]</f>
        <v>0.97131931166347996</v>
      </c>
      <c r="AN134" s="35">
        <f>+Tabla6[[#This Row],[Trenes Puntuales]]/Tabla6[[#This Row],[Trenes Corridos]]</f>
        <v>0.98640776699029131</v>
      </c>
      <c r="AO134" s="35">
        <f>+Tabla6[[#This Row],[Trenes Corridos]]/Tabla6[[#This Row],[Trenes Programados]]</f>
        <v>0.98470363288718932</v>
      </c>
      <c r="AP134" s="20">
        <v>3138</v>
      </c>
      <c r="AQ134" s="27">
        <f t="shared" ref="AQ134:AQ137" si="29">AP134-AR134</f>
        <v>48</v>
      </c>
      <c r="AR134" s="20">
        <v>3090</v>
      </c>
      <c r="AS134" s="20">
        <v>3048</v>
      </c>
      <c r="AT134" s="20">
        <f t="shared" ref="AT134:AT137" si="30">AR134-AS134</f>
        <v>42</v>
      </c>
      <c r="AU134" s="20"/>
      <c r="AV134" s="5"/>
      <c r="AW134" s="3">
        <v>2003</v>
      </c>
      <c r="AX134" s="38" t="s">
        <v>46</v>
      </c>
      <c r="AY134" s="35">
        <f>+MIT_Vic_Cap[[#This Row],[Trenes Puntuales]]/MIT_Vic_Cap[[#This Row],[Trenes Programados]]</f>
        <v>0.88429752066115708</v>
      </c>
      <c r="AZ134" s="35">
        <f>+MIT_Vic_Cap[[#This Row],[Trenes Puntuales]]/MIT_Vic_Cap[[#This Row],[Trenes Corridos]]</f>
        <v>0.91160809371671991</v>
      </c>
      <c r="BA134" s="35">
        <f>+MIT_Vic_Cap[[#This Row],[Trenes Corridos]]/MIT_Vic_Cap[[#This Row],[Trenes Programados]]</f>
        <v>0.9700413223140496</v>
      </c>
      <c r="BB134" s="20">
        <v>968</v>
      </c>
      <c r="BC134" s="27">
        <f t="shared" ref="BC134:BC137" si="31">BB134-BD134</f>
        <v>29</v>
      </c>
      <c r="BD134" s="20">
        <v>939</v>
      </c>
      <c r="BE134" s="20">
        <v>856</v>
      </c>
      <c r="BF134" s="20">
        <f t="shared" ref="BF134:BF137" si="32">BD134-BE134</f>
        <v>83</v>
      </c>
      <c r="BG134" s="20"/>
      <c r="BH134" s="5"/>
      <c r="BI134" s="3">
        <v>2003</v>
      </c>
      <c r="BJ134" s="38" t="s">
        <v>46</v>
      </c>
      <c r="BK134" s="35">
        <f>+Tabla8[[#This Row],[Trenes Puntuales]]/Tabla8[[#This Row],[Trenes Programados]]</f>
        <v>0.88389121338912136</v>
      </c>
      <c r="BL134" s="35">
        <f>+Tabla8[[#This Row],[Trenes Puntuales]]/Tabla8[[#This Row],[Trenes Corridos]]</f>
        <v>0.90471092077087789</v>
      </c>
      <c r="BM134" s="35">
        <f>+Tabla8[[#This Row],[Trenes Corridos]]/Tabla8[[#This Row],[Trenes Programados]]</f>
        <v>0.97698744769874479</v>
      </c>
      <c r="BN134" s="20">
        <v>956</v>
      </c>
      <c r="BO134" s="27">
        <f t="shared" ref="BO134:BO137" si="33">BN134-BP134</f>
        <v>22</v>
      </c>
      <c r="BP134" s="20">
        <v>934</v>
      </c>
      <c r="BQ134" s="20">
        <v>845</v>
      </c>
      <c r="BR134" s="20">
        <f t="shared" ref="BR134:BR137" si="34">BP134-BQ134</f>
        <v>89</v>
      </c>
      <c r="BS134" s="29"/>
    </row>
    <row r="135" spans="1:71" s="3" customFormat="1" ht="12.75">
      <c r="A135" s="3">
        <v>2003</v>
      </c>
      <c r="B135" s="38" t="s">
        <v>47</v>
      </c>
      <c r="C135" s="25">
        <f>+MITRE[[#This Row],[Trenes Puntuales]]/MITRE[[#This Row],[Trenes Programados]]</f>
        <v>0.93200180983776093</v>
      </c>
      <c r="D135" s="25">
        <f>+MITRE[[#This Row],[Trenes Puntuales]]/MITRE[[#This Row],[Trenes Corridos]]</f>
        <v>0.952000528192262</v>
      </c>
      <c r="E135" s="25">
        <f>+MITRE[[#This Row],[Trenes Corridos]]/MITRE[[#This Row],[Trenes Programados]]</f>
        <v>0.97899295456014479</v>
      </c>
      <c r="F135" s="27">
        <f t="shared" si="22"/>
        <v>15471</v>
      </c>
      <c r="G135" s="27">
        <f t="shared" si="20"/>
        <v>325</v>
      </c>
      <c r="H135" s="27">
        <f t="shared" si="23"/>
        <v>15146</v>
      </c>
      <c r="I135" s="27">
        <f t="shared" si="24"/>
        <v>14419</v>
      </c>
      <c r="J135" s="27">
        <f t="shared" si="21"/>
        <v>727</v>
      </c>
      <c r="K135" s="20"/>
      <c r="L135" s="5"/>
      <c r="M135" s="3">
        <v>2003</v>
      </c>
      <c r="N135" s="38" t="s">
        <v>47</v>
      </c>
      <c r="O135" s="35">
        <f>+Tabla4[[#This Row],[Trenes Puntuales]]/Tabla4[[#This Row],[Trenes Programados]]</f>
        <v>0.93629476584022042</v>
      </c>
      <c r="P135" s="35">
        <f>+Tabla4[[#This Row],[Trenes Puntuales]]/Tabla4[[#This Row],[Trenes Corridos]]</f>
        <v>0.95336605890603088</v>
      </c>
      <c r="Q135" s="35">
        <f>+Tabla4[[#This Row],[Trenes Corridos]]/Tabla4[[#This Row],[Trenes Programados]]</f>
        <v>0.98209366391184572</v>
      </c>
      <c r="R135" s="20">
        <v>5808</v>
      </c>
      <c r="S135" s="27">
        <f t="shared" si="25"/>
        <v>104</v>
      </c>
      <c r="T135" s="20">
        <v>5704</v>
      </c>
      <c r="U135" s="20">
        <v>5438</v>
      </c>
      <c r="V135" s="20">
        <f t="shared" si="26"/>
        <v>266</v>
      </c>
      <c r="W135" s="20"/>
      <c r="X135" s="5"/>
      <c r="Y135" s="3">
        <v>2003</v>
      </c>
      <c r="Z135" s="38" t="s">
        <v>47</v>
      </c>
      <c r="AA135" s="35">
        <f>+Tabla5[[#This Row],[Trenes Puntuales]]/Tabla5[[#This Row],[Trenes Programados]]</f>
        <v>0.94284438490734535</v>
      </c>
      <c r="AB135" s="35">
        <f>+Tabla5[[#This Row],[Trenes Puntuales]]/Tabla5[[#This Row],[Trenes Corridos]]</f>
        <v>0.96042756424835118</v>
      </c>
      <c r="AC135" s="35">
        <f>+Tabla5[[#This Row],[Trenes Corridos]]/Tabla5[[#This Row],[Trenes Programados]]</f>
        <v>0.98169234204063405</v>
      </c>
      <c r="AD135" s="20">
        <v>4479</v>
      </c>
      <c r="AE135" s="27">
        <f t="shared" si="27"/>
        <v>82</v>
      </c>
      <c r="AF135" s="20">
        <v>4397</v>
      </c>
      <c r="AG135" s="20">
        <v>4223</v>
      </c>
      <c r="AH135" s="20">
        <f t="shared" si="28"/>
        <v>174</v>
      </c>
      <c r="AI135" s="20"/>
      <c r="AJ135" s="5"/>
      <c r="AK135" s="3">
        <v>2003</v>
      </c>
      <c r="AL135" s="38" t="s">
        <v>47</v>
      </c>
      <c r="AM135" s="35">
        <f>+Tabla6[[#This Row],[Trenes Puntuales]]/Tabla6[[#This Row],[Trenes Programados]]</f>
        <v>0.96864327848494258</v>
      </c>
      <c r="AN135" s="35">
        <f>+Tabla6[[#This Row],[Trenes Puntuales]]/Tabla6[[#This Row],[Trenes Corridos]]</f>
        <v>0.98422712933753942</v>
      </c>
      <c r="AO135" s="35">
        <f>+Tabla6[[#This Row],[Trenes Corridos]]/Tabla6[[#This Row],[Trenes Programados]]</f>
        <v>0.98416640794784227</v>
      </c>
      <c r="AP135" s="20">
        <v>3221</v>
      </c>
      <c r="AQ135" s="27">
        <f t="shared" si="29"/>
        <v>51</v>
      </c>
      <c r="AR135" s="20">
        <v>3170</v>
      </c>
      <c r="AS135" s="20">
        <v>3120</v>
      </c>
      <c r="AT135" s="20">
        <f t="shared" si="30"/>
        <v>50</v>
      </c>
      <c r="AU135" s="20"/>
      <c r="AV135" s="5"/>
      <c r="AW135" s="3">
        <v>2003</v>
      </c>
      <c r="AX135" s="38" t="s">
        <v>47</v>
      </c>
      <c r="AY135" s="35">
        <f>+MIT_Vic_Cap[[#This Row],[Trenes Puntuales]]/MIT_Vic_Cap[[#This Row],[Trenes Programados]]</f>
        <v>0.85844287158746213</v>
      </c>
      <c r="AZ135" s="35">
        <f>+MIT_Vic_Cap[[#This Row],[Trenes Puntuales]]/MIT_Vic_Cap[[#This Row],[Trenes Corridos]]</f>
        <v>0.89368421052631575</v>
      </c>
      <c r="BA135" s="35">
        <f>+MIT_Vic_Cap[[#This Row],[Trenes Corridos]]/MIT_Vic_Cap[[#This Row],[Trenes Programados]]</f>
        <v>0.96056622851365014</v>
      </c>
      <c r="BB135" s="20">
        <v>989</v>
      </c>
      <c r="BC135" s="27">
        <f t="shared" si="31"/>
        <v>39</v>
      </c>
      <c r="BD135" s="20">
        <v>950</v>
      </c>
      <c r="BE135" s="20">
        <v>849</v>
      </c>
      <c r="BF135" s="20">
        <f t="shared" si="32"/>
        <v>101</v>
      </c>
      <c r="BG135" s="20"/>
      <c r="BH135" s="5"/>
      <c r="BI135" s="3">
        <v>2003</v>
      </c>
      <c r="BJ135" s="38" t="s">
        <v>47</v>
      </c>
      <c r="BK135" s="35">
        <f>+Tabla8[[#This Row],[Trenes Puntuales]]/Tabla8[[#This Row],[Trenes Programados]]</f>
        <v>0.81006160164271046</v>
      </c>
      <c r="BL135" s="35">
        <f>+Tabla8[[#This Row],[Trenes Puntuales]]/Tabla8[[#This Row],[Trenes Corridos]]</f>
        <v>0.85297297297297292</v>
      </c>
      <c r="BM135" s="35">
        <f>+Tabla8[[#This Row],[Trenes Corridos]]/Tabla8[[#This Row],[Trenes Programados]]</f>
        <v>0.94969199178644759</v>
      </c>
      <c r="BN135" s="20">
        <v>974</v>
      </c>
      <c r="BO135" s="27">
        <f t="shared" si="33"/>
        <v>49</v>
      </c>
      <c r="BP135" s="20">
        <v>925</v>
      </c>
      <c r="BQ135" s="20">
        <v>789</v>
      </c>
      <c r="BR135" s="20">
        <f t="shared" si="34"/>
        <v>136</v>
      </c>
      <c r="BS135" s="29"/>
    </row>
    <row r="136" spans="1:71" s="3" customFormat="1" ht="12.75">
      <c r="A136" s="3">
        <v>2003</v>
      </c>
      <c r="B136" s="38" t="s">
        <v>48</v>
      </c>
      <c r="C136" s="25">
        <f>+MITRE[[#This Row],[Trenes Puntuales]]/MITRE[[#This Row],[Trenes Programados]]</f>
        <v>0.91584625758597438</v>
      </c>
      <c r="D136" s="25">
        <f>+MITRE[[#This Row],[Trenes Puntuales]]/MITRE[[#This Row],[Trenes Corridos]]</f>
        <v>0.94064685920077573</v>
      </c>
      <c r="E136" s="25">
        <f>+MITRE[[#This Row],[Trenes Corridos]]/MITRE[[#This Row],[Trenes Programados]]</f>
        <v>0.9736345246122724</v>
      </c>
      <c r="F136" s="27">
        <f t="shared" si="22"/>
        <v>14830</v>
      </c>
      <c r="G136" s="27">
        <f t="shared" si="20"/>
        <v>391</v>
      </c>
      <c r="H136" s="27">
        <f t="shared" si="23"/>
        <v>14439</v>
      </c>
      <c r="I136" s="27">
        <f t="shared" si="24"/>
        <v>13582</v>
      </c>
      <c r="J136" s="27">
        <f t="shared" si="21"/>
        <v>857</v>
      </c>
      <c r="K136" s="20"/>
      <c r="L136" s="5"/>
      <c r="M136" s="3">
        <v>2003</v>
      </c>
      <c r="N136" s="38" t="s">
        <v>48</v>
      </c>
      <c r="O136" s="35">
        <f>+Tabla4[[#This Row],[Trenes Puntuales]]/Tabla4[[#This Row],[Trenes Programados]]</f>
        <v>0.90378378378378377</v>
      </c>
      <c r="P136" s="35">
        <f>+Tabla4[[#This Row],[Trenes Puntuales]]/Tabla4[[#This Row],[Trenes Corridos]]</f>
        <v>0.92324682495858645</v>
      </c>
      <c r="Q136" s="35">
        <f>+Tabla4[[#This Row],[Trenes Corridos]]/Tabla4[[#This Row],[Trenes Programados]]</f>
        <v>0.97891891891891891</v>
      </c>
      <c r="R136" s="20">
        <v>5550</v>
      </c>
      <c r="S136" s="27">
        <f t="shared" ref="S136:S149" si="35">R136-T136</f>
        <v>117</v>
      </c>
      <c r="T136" s="20">
        <v>5433</v>
      </c>
      <c r="U136" s="20">
        <v>5016</v>
      </c>
      <c r="V136" s="20">
        <f t="shared" si="26"/>
        <v>417</v>
      </c>
      <c r="W136" s="20"/>
      <c r="X136" s="5"/>
      <c r="Y136" s="3">
        <v>2003</v>
      </c>
      <c r="Z136" s="38" t="s">
        <v>48</v>
      </c>
      <c r="AA136" s="35">
        <f>+Tabla5[[#This Row],[Trenes Puntuales]]/Tabla5[[#This Row],[Trenes Programados]]</f>
        <v>0.94947613504074502</v>
      </c>
      <c r="AB136" s="35">
        <f>+Tabla5[[#This Row],[Trenes Puntuales]]/Tabla5[[#This Row],[Trenes Corridos]]</f>
        <v>0.96315540859707127</v>
      </c>
      <c r="AC136" s="35">
        <f>+Tabla5[[#This Row],[Trenes Corridos]]/Tabla5[[#This Row],[Trenes Programados]]</f>
        <v>0.98579743888242144</v>
      </c>
      <c r="AD136" s="20">
        <v>4295</v>
      </c>
      <c r="AE136" s="27">
        <f t="shared" si="27"/>
        <v>61</v>
      </c>
      <c r="AF136" s="20">
        <v>4234</v>
      </c>
      <c r="AG136" s="20">
        <v>4078</v>
      </c>
      <c r="AH136" s="20">
        <f t="shared" si="28"/>
        <v>156</v>
      </c>
      <c r="AI136" s="20"/>
      <c r="AJ136" s="5"/>
      <c r="AK136" s="3">
        <v>2003</v>
      </c>
      <c r="AL136" s="38" t="s">
        <v>48</v>
      </c>
      <c r="AM136" s="35">
        <f>+Tabla6[[#This Row],[Trenes Puntuales]]/Tabla6[[#This Row],[Trenes Programados]]</f>
        <v>0.97230273752012886</v>
      </c>
      <c r="AN136" s="35">
        <f>+Tabla6[[#This Row],[Trenes Puntuales]]/Tabla6[[#This Row],[Trenes Corridos]]</f>
        <v>0.98499184339314849</v>
      </c>
      <c r="AO136" s="35">
        <f>+Tabla6[[#This Row],[Trenes Corridos]]/Tabla6[[#This Row],[Trenes Programados]]</f>
        <v>0.98711755233494369</v>
      </c>
      <c r="AP136" s="20">
        <v>3105</v>
      </c>
      <c r="AQ136" s="27">
        <f t="shared" si="29"/>
        <v>40</v>
      </c>
      <c r="AR136" s="20">
        <v>3065</v>
      </c>
      <c r="AS136" s="20">
        <v>3019</v>
      </c>
      <c r="AT136" s="20">
        <f t="shared" si="30"/>
        <v>46</v>
      </c>
      <c r="AU136" s="20"/>
      <c r="AV136" s="5"/>
      <c r="AW136" s="3">
        <v>2003</v>
      </c>
      <c r="AX136" s="38" t="s">
        <v>48</v>
      </c>
      <c r="AY136" s="35">
        <f>+MIT_Vic_Cap[[#This Row],[Trenes Puntuales]]/MIT_Vic_Cap[[#This Row],[Trenes Programados]]</f>
        <v>0.73821989528795806</v>
      </c>
      <c r="AZ136" s="35">
        <f>+MIT_Vic_Cap[[#This Row],[Trenes Puntuales]]/MIT_Vic_Cap[[#This Row],[Trenes Corridos]]</f>
        <v>0.86715867158671589</v>
      </c>
      <c r="BA136" s="35">
        <f>+MIT_Vic_Cap[[#This Row],[Trenes Corridos]]/MIT_Vic_Cap[[#This Row],[Trenes Programados]]</f>
        <v>0.85130890052356023</v>
      </c>
      <c r="BB136" s="20">
        <v>955</v>
      </c>
      <c r="BC136" s="27">
        <f t="shared" si="31"/>
        <v>142</v>
      </c>
      <c r="BD136" s="20">
        <v>813</v>
      </c>
      <c r="BE136" s="20">
        <v>705</v>
      </c>
      <c r="BF136" s="20">
        <f t="shared" si="32"/>
        <v>108</v>
      </c>
      <c r="BG136" s="20"/>
      <c r="BH136" s="5"/>
      <c r="BI136" s="3">
        <v>2003</v>
      </c>
      <c r="BJ136" s="38" t="s">
        <v>48</v>
      </c>
      <c r="BK136" s="35">
        <f>+Tabla8[[#This Row],[Trenes Puntuales]]/Tabla8[[#This Row],[Trenes Programados]]</f>
        <v>0.82594594594594595</v>
      </c>
      <c r="BL136" s="35">
        <f>+Tabla8[[#This Row],[Trenes Puntuales]]/Tabla8[[#This Row],[Trenes Corridos]]</f>
        <v>0.85458612975391501</v>
      </c>
      <c r="BM136" s="35">
        <f>+Tabla8[[#This Row],[Trenes Corridos]]/Tabla8[[#This Row],[Trenes Programados]]</f>
        <v>0.9664864864864865</v>
      </c>
      <c r="BN136" s="20">
        <v>925</v>
      </c>
      <c r="BO136" s="27">
        <f t="shared" si="33"/>
        <v>31</v>
      </c>
      <c r="BP136" s="20">
        <v>894</v>
      </c>
      <c r="BQ136" s="20">
        <v>764</v>
      </c>
      <c r="BR136" s="20">
        <f t="shared" si="34"/>
        <v>130</v>
      </c>
      <c r="BS136" s="29"/>
    </row>
    <row r="137" spans="1:71" s="3" customFormat="1" ht="12.75">
      <c r="A137" s="3">
        <v>2003</v>
      </c>
      <c r="B137" s="38" t="s">
        <v>49</v>
      </c>
      <c r="C137" s="25">
        <f>+MITRE[[#This Row],[Trenes Puntuales]]/MITRE[[#This Row],[Trenes Programados]]</f>
        <v>0.91254428552683375</v>
      </c>
      <c r="D137" s="25">
        <f>+MITRE[[#This Row],[Trenes Puntuales]]/MITRE[[#This Row],[Trenes Corridos]]</f>
        <v>0.9341168569509738</v>
      </c>
      <c r="E137" s="25">
        <f>+MITRE[[#This Row],[Trenes Corridos]]/MITRE[[#This Row],[Trenes Programados]]</f>
        <v>0.97690591785854874</v>
      </c>
      <c r="F137" s="27">
        <f t="shared" si="22"/>
        <v>15242</v>
      </c>
      <c r="G137" s="27">
        <f t="shared" si="20"/>
        <v>352</v>
      </c>
      <c r="H137" s="27">
        <f t="shared" si="23"/>
        <v>14890</v>
      </c>
      <c r="I137" s="27">
        <f t="shared" si="24"/>
        <v>13909</v>
      </c>
      <c r="J137" s="27">
        <f t="shared" si="21"/>
        <v>981</v>
      </c>
      <c r="K137" s="20"/>
      <c r="L137" s="5"/>
      <c r="M137" s="3">
        <v>2003</v>
      </c>
      <c r="N137" s="38" t="s">
        <v>49</v>
      </c>
      <c r="O137" s="35">
        <f>+Tabla4[[#This Row],[Trenes Puntuales]]/Tabla4[[#This Row],[Trenes Programados]]</f>
        <v>0.89957939011566768</v>
      </c>
      <c r="P137" s="35">
        <f>+Tabla4[[#This Row],[Trenes Puntuales]]/Tabla4[[#This Row],[Trenes Corridos]]</f>
        <v>0.93005979344084078</v>
      </c>
      <c r="Q137" s="35">
        <f>+Tabla4[[#This Row],[Trenes Corridos]]/Tabla4[[#This Row],[Trenes Programados]]</f>
        <v>0.96722747984577639</v>
      </c>
      <c r="R137" s="20">
        <v>5706</v>
      </c>
      <c r="S137" s="27">
        <f t="shared" si="35"/>
        <v>187</v>
      </c>
      <c r="T137" s="20">
        <v>5519</v>
      </c>
      <c r="U137" s="20">
        <v>5133</v>
      </c>
      <c r="V137" s="20">
        <f t="shared" si="26"/>
        <v>386</v>
      </c>
      <c r="W137" s="20"/>
      <c r="X137" s="5"/>
      <c r="Y137" s="3">
        <v>2003</v>
      </c>
      <c r="Z137" s="38" t="s">
        <v>49</v>
      </c>
      <c r="AA137" s="35">
        <f>+Tabla5[[#This Row],[Trenes Puntuales]]/Tabla5[[#This Row],[Trenes Programados]]</f>
        <v>0.94420503515536403</v>
      </c>
      <c r="AB137" s="35">
        <f>+Tabla5[[#This Row],[Trenes Puntuales]]/Tabla5[[#This Row],[Trenes Corridos]]</f>
        <v>0.95701149425287357</v>
      </c>
      <c r="AC137" s="35">
        <f>+Tabla5[[#This Row],[Trenes Corridos]]/Tabla5[[#This Row],[Trenes Programados]]</f>
        <v>0.98661828078929459</v>
      </c>
      <c r="AD137" s="20">
        <v>4409</v>
      </c>
      <c r="AE137" s="27">
        <f t="shared" si="27"/>
        <v>59</v>
      </c>
      <c r="AF137" s="20">
        <v>4350</v>
      </c>
      <c r="AG137" s="20">
        <v>4163</v>
      </c>
      <c r="AH137" s="20">
        <f t="shared" si="28"/>
        <v>187</v>
      </c>
      <c r="AI137" s="20"/>
      <c r="AJ137" s="5"/>
      <c r="AK137" s="3">
        <v>2003</v>
      </c>
      <c r="AL137" s="38" t="s">
        <v>49</v>
      </c>
      <c r="AM137" s="35">
        <f>+Tabla6[[#This Row],[Trenes Puntuales]]/Tabla6[[#This Row],[Trenes Programados]]</f>
        <v>0.95680751173708922</v>
      </c>
      <c r="AN137" s="35">
        <f>+Tabla6[[#This Row],[Trenes Puntuales]]/Tabla6[[#This Row],[Trenes Corridos]]</f>
        <v>0.9701682005712472</v>
      </c>
      <c r="AO137" s="35">
        <f>+Tabla6[[#This Row],[Trenes Corridos]]/Tabla6[[#This Row],[Trenes Programados]]</f>
        <v>0.98622848200312985</v>
      </c>
      <c r="AP137" s="20">
        <v>3195</v>
      </c>
      <c r="AQ137" s="27">
        <f t="shared" si="29"/>
        <v>44</v>
      </c>
      <c r="AR137" s="20">
        <v>3151</v>
      </c>
      <c r="AS137" s="20">
        <v>3057</v>
      </c>
      <c r="AT137" s="20">
        <f t="shared" si="30"/>
        <v>94</v>
      </c>
      <c r="AU137" s="20"/>
      <c r="AV137" s="5"/>
      <c r="AW137" s="3">
        <v>2003</v>
      </c>
      <c r="AX137" s="38" t="s">
        <v>49</v>
      </c>
      <c r="AY137" s="35">
        <f>+MIT_Vic_Cap[[#This Row],[Trenes Puntuales]]/MIT_Vic_Cap[[#This Row],[Trenes Programados]]</f>
        <v>0.77151639344262291</v>
      </c>
      <c r="AZ137" s="35">
        <f>+MIT_Vic_Cap[[#This Row],[Trenes Puntuales]]/MIT_Vic_Cap[[#This Row],[Trenes Corridos]]</f>
        <v>0.80277185501066095</v>
      </c>
      <c r="BA137" s="35">
        <f>+MIT_Vic_Cap[[#This Row],[Trenes Corridos]]/MIT_Vic_Cap[[#This Row],[Trenes Programados]]</f>
        <v>0.96106557377049184</v>
      </c>
      <c r="BB137" s="20">
        <v>976</v>
      </c>
      <c r="BC137" s="27">
        <f t="shared" si="31"/>
        <v>38</v>
      </c>
      <c r="BD137" s="20">
        <v>938</v>
      </c>
      <c r="BE137" s="20">
        <v>753</v>
      </c>
      <c r="BF137" s="20">
        <f t="shared" si="32"/>
        <v>185</v>
      </c>
      <c r="BG137" s="20"/>
      <c r="BH137" s="5"/>
      <c r="BI137" s="3">
        <v>2003</v>
      </c>
      <c r="BJ137" s="38" t="s">
        <v>49</v>
      </c>
      <c r="BK137" s="35">
        <f>+Tabla8[[#This Row],[Trenes Puntuales]]/Tabla8[[#This Row],[Trenes Programados]]</f>
        <v>0.83995815899581594</v>
      </c>
      <c r="BL137" s="35">
        <f>+Tabla8[[#This Row],[Trenes Puntuales]]/Tabla8[[#This Row],[Trenes Corridos]]</f>
        <v>0.86158798283261806</v>
      </c>
      <c r="BM137" s="35">
        <f>+Tabla8[[#This Row],[Trenes Corridos]]/Tabla8[[#This Row],[Trenes Programados]]</f>
        <v>0.97489539748953979</v>
      </c>
      <c r="BN137" s="20">
        <v>956</v>
      </c>
      <c r="BO137" s="27">
        <f t="shared" si="33"/>
        <v>24</v>
      </c>
      <c r="BP137" s="20">
        <v>932</v>
      </c>
      <c r="BQ137" s="20">
        <v>803</v>
      </c>
      <c r="BR137" s="20">
        <f t="shared" si="34"/>
        <v>129</v>
      </c>
      <c r="BS137" s="29"/>
    </row>
    <row r="138" spans="1:71" s="3" customFormat="1" ht="12.75">
      <c r="A138" s="3">
        <v>2004</v>
      </c>
      <c r="B138" s="38" t="s">
        <v>38</v>
      </c>
      <c r="C138" s="25">
        <f>+MITRE[[#This Row],[Trenes Puntuales]]/MITRE[[#This Row],[Trenes Programados]]</f>
        <v>0.93748375357421365</v>
      </c>
      <c r="D138" s="25">
        <f>+MITRE[[#This Row],[Trenes Puntuales]]/MITRE[[#This Row],[Trenes Corridos]]</f>
        <v>0.94758276405675246</v>
      </c>
      <c r="E138" s="25">
        <f>+MITRE[[#This Row],[Trenes Corridos]]/MITRE[[#This Row],[Trenes Programados]]</f>
        <v>0.98934234468416948</v>
      </c>
      <c r="F138" s="27">
        <f t="shared" si="22"/>
        <v>15388</v>
      </c>
      <c r="G138" s="27">
        <f t="shared" si="20"/>
        <v>164</v>
      </c>
      <c r="H138" s="27">
        <f t="shared" si="23"/>
        <v>15224</v>
      </c>
      <c r="I138" s="27">
        <f t="shared" si="24"/>
        <v>14426</v>
      </c>
      <c r="J138" s="27">
        <f t="shared" si="21"/>
        <v>798</v>
      </c>
      <c r="K138" s="27"/>
      <c r="L138" s="4"/>
      <c r="M138" s="29">
        <v>2004</v>
      </c>
      <c r="N138" s="38" t="s">
        <v>38</v>
      </c>
      <c r="O138" s="35">
        <f>+Tabla4[[#This Row],[Trenes Puntuales]]/Tabla4[[#This Row],[Trenes Programados]]</f>
        <v>0.9428819444444444</v>
      </c>
      <c r="P138" s="35">
        <f>+Tabla4[[#This Row],[Trenes Puntuales]]/Tabla4[[#This Row],[Trenes Corridos]]</f>
        <v>0.95263988773899311</v>
      </c>
      <c r="Q138" s="35">
        <f>+Tabla4[[#This Row],[Trenes Corridos]]/Tabla4[[#This Row],[Trenes Programados]]</f>
        <v>0.9897569444444444</v>
      </c>
      <c r="R138" s="20">
        <v>5760</v>
      </c>
      <c r="S138" s="27">
        <f t="shared" si="35"/>
        <v>59</v>
      </c>
      <c r="T138" s="20">
        <v>5701</v>
      </c>
      <c r="U138" s="20">
        <v>5431</v>
      </c>
      <c r="V138" s="20">
        <f t="shared" ref="V138:V149" si="36">T138-U138</f>
        <v>270</v>
      </c>
      <c r="W138" s="20"/>
      <c r="X138" s="5"/>
      <c r="Y138" s="29">
        <v>2004</v>
      </c>
      <c r="Z138" s="38" t="s">
        <v>38</v>
      </c>
      <c r="AA138" s="35">
        <f>+Tabla5[[#This Row],[Trenes Puntuales]]/Tabla5[[#This Row],[Trenes Programados]]</f>
        <v>0.96295464750785809</v>
      </c>
      <c r="AB138" s="35">
        <f>+Tabla5[[#This Row],[Trenes Puntuales]]/Tabla5[[#This Row],[Trenes Corridos]]</f>
        <v>0.97036199095022624</v>
      </c>
      <c r="AC138" s="35">
        <f>+Tabla5[[#This Row],[Trenes Corridos]]/Tabla5[[#This Row],[Trenes Programados]]</f>
        <v>0.99236641221374045</v>
      </c>
      <c r="AD138" s="20">
        <v>4454</v>
      </c>
      <c r="AE138" s="27">
        <f t="shared" ref="AE138:AE149" si="37">AD138-AF138</f>
        <v>34</v>
      </c>
      <c r="AF138" s="20">
        <v>4420</v>
      </c>
      <c r="AG138" s="20">
        <v>4289</v>
      </c>
      <c r="AH138" s="20">
        <f t="shared" ref="AH138:AH149" si="38">AF138-AG138</f>
        <v>131</v>
      </c>
      <c r="AI138" s="20"/>
      <c r="AJ138" s="5"/>
      <c r="AK138" s="29">
        <v>2004</v>
      </c>
      <c r="AL138" s="38" t="s">
        <v>38</v>
      </c>
      <c r="AM138" s="35">
        <f>+Tabla6[[#This Row],[Trenes Puntuales]]/Tabla6[[#This Row],[Trenes Programados]]</f>
        <v>0.97915370255133793</v>
      </c>
      <c r="AN138" s="35">
        <f>+Tabla6[[#This Row],[Trenes Puntuales]]/Tabla6[[#This Row],[Trenes Corridos]]</f>
        <v>0.98466833541927412</v>
      </c>
      <c r="AO138" s="35">
        <f>+Tabla6[[#This Row],[Trenes Corridos]]/Tabla6[[#This Row],[Trenes Programados]]</f>
        <v>0.99439950217797135</v>
      </c>
      <c r="AP138" s="20">
        <v>3214</v>
      </c>
      <c r="AQ138" s="27">
        <f t="shared" ref="AQ138:AQ149" si="39">AP138-AR138</f>
        <v>18</v>
      </c>
      <c r="AR138" s="20">
        <v>3196</v>
      </c>
      <c r="AS138" s="20">
        <v>3147</v>
      </c>
      <c r="AT138" s="20">
        <f t="shared" ref="AT138:AT149" si="40">AR138-AS138</f>
        <v>49</v>
      </c>
      <c r="AU138" s="20"/>
      <c r="AV138" s="5"/>
      <c r="AW138" s="29">
        <v>2004</v>
      </c>
      <c r="AX138" s="38" t="s">
        <v>38</v>
      </c>
      <c r="AY138" s="35">
        <f>+MIT_Vic_Cap[[#This Row],[Trenes Puntuales]]/MIT_Vic_Cap[[#This Row],[Trenes Programados]]</f>
        <v>0.71471471471471471</v>
      </c>
      <c r="AZ138" s="35">
        <f>+MIT_Vic_Cap[[#This Row],[Trenes Puntuales]]/MIT_Vic_Cap[[#This Row],[Trenes Corridos]]</f>
        <v>0.74143302180685355</v>
      </c>
      <c r="BA138" s="35">
        <f>+MIT_Vic_Cap[[#This Row],[Trenes Corridos]]/MIT_Vic_Cap[[#This Row],[Trenes Programados]]</f>
        <v>0.963963963963964</v>
      </c>
      <c r="BB138" s="20">
        <v>999</v>
      </c>
      <c r="BC138" s="27">
        <f t="shared" ref="BC138:BC149" si="41">BB138-BD138</f>
        <v>36</v>
      </c>
      <c r="BD138" s="20">
        <v>963</v>
      </c>
      <c r="BE138" s="20">
        <v>714</v>
      </c>
      <c r="BF138" s="20">
        <f t="shared" ref="BF138:BF149" si="42">BD138-BE138</f>
        <v>249</v>
      </c>
      <c r="BG138" s="20"/>
      <c r="BH138" s="5"/>
      <c r="BI138" s="29">
        <v>2004</v>
      </c>
      <c r="BJ138" s="38" t="s">
        <v>38</v>
      </c>
      <c r="BK138" s="35">
        <f>+Tabla8[[#This Row],[Trenes Puntuales]]/Tabla8[[#This Row],[Trenes Programados]]</f>
        <v>0.87929240374609785</v>
      </c>
      <c r="BL138" s="35">
        <f>+Tabla8[[#This Row],[Trenes Puntuales]]/Tabla8[[#This Row],[Trenes Corridos]]</f>
        <v>0.8951271186440678</v>
      </c>
      <c r="BM138" s="35">
        <f>+Tabla8[[#This Row],[Trenes Corridos]]/Tabla8[[#This Row],[Trenes Programados]]</f>
        <v>0.98231009365244537</v>
      </c>
      <c r="BN138" s="20">
        <v>961</v>
      </c>
      <c r="BO138" s="27">
        <f t="shared" ref="BO138:BO149" si="43">BN138-BP138</f>
        <v>17</v>
      </c>
      <c r="BP138" s="20">
        <v>944</v>
      </c>
      <c r="BQ138" s="20">
        <v>845</v>
      </c>
      <c r="BR138" s="20">
        <f t="shared" ref="BR138:BR149" si="44">BP138-BQ138</f>
        <v>99</v>
      </c>
      <c r="BS138" s="29"/>
    </row>
    <row r="139" spans="1:71" s="3" customFormat="1" ht="12.75">
      <c r="A139" s="3">
        <v>2004</v>
      </c>
      <c r="B139" s="38" t="s">
        <v>39</v>
      </c>
      <c r="C139" s="25">
        <f>+MITRE[[#This Row],[Trenes Puntuales]]/MITRE[[#This Row],[Trenes Programados]]</f>
        <v>0.9536290322580645</v>
      </c>
      <c r="D139" s="25">
        <f>+MITRE[[#This Row],[Trenes Puntuales]]/MITRE[[#This Row],[Trenes Corridos]]</f>
        <v>0.96037247076944621</v>
      </c>
      <c r="E139" s="25">
        <f>+MITRE[[#This Row],[Trenes Corridos]]/MITRE[[#This Row],[Trenes Programados]]</f>
        <v>0.99297830923248054</v>
      </c>
      <c r="F139" s="27">
        <f t="shared" si="22"/>
        <v>14384</v>
      </c>
      <c r="G139" s="27">
        <f t="shared" si="20"/>
        <v>101</v>
      </c>
      <c r="H139" s="27">
        <f t="shared" si="23"/>
        <v>14283</v>
      </c>
      <c r="I139" s="27">
        <f t="shared" si="24"/>
        <v>13717</v>
      </c>
      <c r="J139" s="27">
        <f t="shared" si="21"/>
        <v>566</v>
      </c>
      <c r="K139" s="27"/>
      <c r="L139" s="4"/>
      <c r="M139" s="29">
        <v>2004</v>
      </c>
      <c r="N139" s="38" t="s">
        <v>39</v>
      </c>
      <c r="O139" s="35">
        <f>+Tabla4[[#This Row],[Trenes Puntuales]]/Tabla4[[#This Row],[Trenes Programados]]</f>
        <v>0.94839428253202152</v>
      </c>
      <c r="P139" s="35">
        <f>+Tabla4[[#This Row],[Trenes Puntuales]]/Tabla4[[#This Row],[Trenes Corridos]]</f>
        <v>0.95406162464986</v>
      </c>
      <c r="Q139" s="35">
        <f>+Tabla4[[#This Row],[Trenes Corridos]]/Tabla4[[#This Row],[Trenes Programados]]</f>
        <v>0.99405977352886576</v>
      </c>
      <c r="R139" s="20">
        <v>5387</v>
      </c>
      <c r="S139" s="27">
        <f t="shared" si="35"/>
        <v>32</v>
      </c>
      <c r="T139" s="20">
        <v>5355</v>
      </c>
      <c r="U139" s="20">
        <v>5109</v>
      </c>
      <c r="V139" s="20">
        <f t="shared" si="36"/>
        <v>246</v>
      </c>
      <c r="W139" s="20"/>
      <c r="X139" s="5"/>
      <c r="Y139" s="29">
        <v>2004</v>
      </c>
      <c r="Z139" s="38" t="s">
        <v>39</v>
      </c>
      <c r="AA139" s="35">
        <f>+Tabla5[[#This Row],[Trenes Puntuales]]/Tabla5[[#This Row],[Trenes Programados]]</f>
        <v>0.96947849074741643</v>
      </c>
      <c r="AB139" s="35">
        <f>+Tabla5[[#This Row],[Trenes Puntuales]]/Tabla5[[#This Row],[Trenes Corridos]]</f>
        <v>0.97651900266279357</v>
      </c>
      <c r="AC139" s="35">
        <f>+Tabla5[[#This Row],[Trenes Corridos]]/Tabla5[[#This Row],[Trenes Programados]]</f>
        <v>0.99279019466474405</v>
      </c>
      <c r="AD139" s="20">
        <v>4161</v>
      </c>
      <c r="AE139" s="27">
        <f t="shared" si="37"/>
        <v>30</v>
      </c>
      <c r="AF139" s="20">
        <v>4131</v>
      </c>
      <c r="AG139" s="20">
        <v>4034</v>
      </c>
      <c r="AH139" s="20">
        <f t="shared" si="38"/>
        <v>97</v>
      </c>
      <c r="AI139" s="20"/>
      <c r="AJ139" s="5"/>
      <c r="AK139" s="29">
        <v>2004</v>
      </c>
      <c r="AL139" s="38" t="s">
        <v>39</v>
      </c>
      <c r="AM139" s="35">
        <f>+Tabla6[[#This Row],[Trenes Puntuales]]/Tabla6[[#This Row],[Trenes Programados]]</f>
        <v>0.9853479853479854</v>
      </c>
      <c r="AN139" s="35">
        <f>+Tabla6[[#This Row],[Trenes Puntuales]]/Tabla6[[#This Row],[Trenes Corridos]]</f>
        <v>0.98963210702341142</v>
      </c>
      <c r="AO139" s="35">
        <f>+Tabla6[[#This Row],[Trenes Corridos]]/Tabla6[[#This Row],[Trenes Programados]]</f>
        <v>0.99567099567099571</v>
      </c>
      <c r="AP139" s="20">
        <v>3003</v>
      </c>
      <c r="AQ139" s="27">
        <f t="shared" si="39"/>
        <v>13</v>
      </c>
      <c r="AR139" s="20">
        <v>2990</v>
      </c>
      <c r="AS139" s="20">
        <v>2959</v>
      </c>
      <c r="AT139" s="20">
        <f t="shared" si="40"/>
        <v>31</v>
      </c>
      <c r="AU139" s="20"/>
      <c r="AV139" s="5"/>
      <c r="AW139" s="29">
        <v>2004</v>
      </c>
      <c r="AX139" s="38" t="s">
        <v>39</v>
      </c>
      <c r="AY139" s="35">
        <f>+MIT_Vic_Cap[[#This Row],[Trenes Puntuales]]/MIT_Vic_Cap[[#This Row],[Trenes Programados]]</f>
        <v>0.84640171858216973</v>
      </c>
      <c r="AZ139" s="35">
        <f>+MIT_Vic_Cap[[#This Row],[Trenes Puntuales]]/MIT_Vic_Cap[[#This Row],[Trenes Corridos]]</f>
        <v>0.86403508771929827</v>
      </c>
      <c r="BA139" s="35">
        <f>+MIT_Vic_Cap[[#This Row],[Trenes Corridos]]/MIT_Vic_Cap[[#This Row],[Trenes Programados]]</f>
        <v>0.97959183673469385</v>
      </c>
      <c r="BB139" s="20">
        <v>931</v>
      </c>
      <c r="BC139" s="27">
        <f t="shared" si="41"/>
        <v>19</v>
      </c>
      <c r="BD139" s="20">
        <v>912</v>
      </c>
      <c r="BE139" s="20">
        <v>788</v>
      </c>
      <c r="BF139" s="20">
        <f t="shared" si="42"/>
        <v>124</v>
      </c>
      <c r="BG139" s="20"/>
      <c r="BH139" s="5"/>
      <c r="BI139" s="29">
        <v>2004</v>
      </c>
      <c r="BJ139" s="38" t="s">
        <v>39</v>
      </c>
      <c r="BK139" s="35">
        <f>+Tabla8[[#This Row],[Trenes Puntuales]]/Tabla8[[#This Row],[Trenes Programados]]</f>
        <v>0.91685144124168516</v>
      </c>
      <c r="BL139" s="35">
        <f>+Tabla8[[#This Row],[Trenes Puntuales]]/Tabla8[[#This Row],[Trenes Corridos]]</f>
        <v>0.92402234636871505</v>
      </c>
      <c r="BM139" s="35">
        <f>+Tabla8[[#This Row],[Trenes Corridos]]/Tabla8[[#This Row],[Trenes Programados]]</f>
        <v>0.9922394678492239</v>
      </c>
      <c r="BN139" s="20">
        <v>902</v>
      </c>
      <c r="BO139" s="27">
        <f t="shared" si="43"/>
        <v>7</v>
      </c>
      <c r="BP139" s="20">
        <v>895</v>
      </c>
      <c r="BQ139" s="20">
        <v>827</v>
      </c>
      <c r="BR139" s="20">
        <f t="shared" si="44"/>
        <v>68</v>
      </c>
      <c r="BS139" s="29"/>
    </row>
    <row r="140" spans="1:71" s="3" customFormat="1" ht="12.75">
      <c r="A140" s="3">
        <v>2004</v>
      </c>
      <c r="B140" s="38" t="s">
        <v>40</v>
      </c>
      <c r="C140" s="25">
        <f>+MITRE[[#This Row],[Trenes Puntuales]]/MITRE[[#This Row],[Trenes Programados]]</f>
        <v>0.87218332272437937</v>
      </c>
      <c r="D140" s="25">
        <f>+MITRE[[#This Row],[Trenes Puntuales]]/MITRE[[#This Row],[Trenes Corridos]]</f>
        <v>0.89526298595230314</v>
      </c>
      <c r="E140" s="25">
        <f>+MITRE[[#This Row],[Trenes Corridos]]/MITRE[[#This Row],[Trenes Programados]]</f>
        <v>0.97422024188415024</v>
      </c>
      <c r="F140" s="27">
        <f t="shared" ref="F140:F202" si="45">+R140+AD140+AP140+BB140+BN140</f>
        <v>15710</v>
      </c>
      <c r="G140" s="27">
        <f t="shared" ref="G140:G202" si="46">F140-H140</f>
        <v>405</v>
      </c>
      <c r="H140" s="27">
        <f t="shared" ref="H140:H202" si="47">+T140+AF140+AR140+BD140+BP140</f>
        <v>15305</v>
      </c>
      <c r="I140" s="27">
        <f t="shared" ref="I140:I202" si="48">+U140+AG140+AS140+BE140+BQ140</f>
        <v>13702</v>
      </c>
      <c r="J140" s="27">
        <f t="shared" ref="J140:J202" si="49">H140-I140</f>
        <v>1603</v>
      </c>
      <c r="K140" s="27"/>
      <c r="L140" s="4"/>
      <c r="M140" s="29">
        <v>2004</v>
      </c>
      <c r="N140" s="38" t="s">
        <v>40</v>
      </c>
      <c r="O140" s="35">
        <f>+Tabla4[[#This Row],[Trenes Puntuales]]/Tabla4[[#This Row],[Trenes Programados]]</f>
        <v>0.85131935047361296</v>
      </c>
      <c r="P140" s="35">
        <f>+Tabla4[[#This Row],[Trenes Puntuales]]/Tabla4[[#This Row],[Trenes Corridos]]</f>
        <v>0.87728778107024574</v>
      </c>
      <c r="Q140" s="35">
        <f>+Tabla4[[#This Row],[Trenes Corridos]]/Tabla4[[#This Row],[Trenes Programados]]</f>
        <v>0.9703991880920162</v>
      </c>
      <c r="R140" s="20">
        <v>5912</v>
      </c>
      <c r="S140" s="27">
        <f t="shared" si="35"/>
        <v>175</v>
      </c>
      <c r="T140" s="20">
        <v>5737</v>
      </c>
      <c r="U140" s="20">
        <v>5033</v>
      </c>
      <c r="V140" s="20">
        <f t="shared" si="36"/>
        <v>704</v>
      </c>
      <c r="W140" s="20"/>
      <c r="X140" s="5"/>
      <c r="Y140" s="29">
        <v>2004</v>
      </c>
      <c r="Z140" s="38" t="s">
        <v>40</v>
      </c>
      <c r="AA140" s="35">
        <f>+Tabla5[[#This Row],[Trenes Puntuales]]/Tabla5[[#This Row],[Trenes Programados]]</f>
        <v>0.90789184436139814</v>
      </c>
      <c r="AB140" s="35">
        <f>+Tabla5[[#This Row],[Trenes Puntuales]]/Tabla5[[#This Row],[Trenes Corridos]]</f>
        <v>0.92497200447928329</v>
      </c>
      <c r="AC140" s="35">
        <f>+Tabla5[[#This Row],[Trenes Corridos]]/Tabla5[[#This Row],[Trenes Programados]]</f>
        <v>0.98153440316553087</v>
      </c>
      <c r="AD140" s="20">
        <v>4549</v>
      </c>
      <c r="AE140" s="27">
        <f t="shared" si="37"/>
        <v>84</v>
      </c>
      <c r="AF140" s="20">
        <v>4465</v>
      </c>
      <c r="AG140" s="20">
        <v>4130</v>
      </c>
      <c r="AH140" s="20">
        <f t="shared" si="38"/>
        <v>335</v>
      </c>
      <c r="AI140" s="20"/>
      <c r="AJ140" s="5"/>
      <c r="AK140" s="29">
        <v>2004</v>
      </c>
      <c r="AL140" s="38" t="s">
        <v>40</v>
      </c>
      <c r="AM140" s="35">
        <f>+Tabla6[[#This Row],[Trenes Puntuales]]/Tabla6[[#This Row],[Trenes Programados]]</f>
        <v>0.93932861102556209</v>
      </c>
      <c r="AN140" s="35">
        <f>+Tabla6[[#This Row],[Trenes Puntuales]]/Tabla6[[#This Row],[Trenes Corridos]]</f>
        <v>0.95461658841940533</v>
      </c>
      <c r="AO140" s="35">
        <f>+Tabla6[[#This Row],[Trenes Corridos]]/Tabla6[[#This Row],[Trenes Programados]]</f>
        <v>0.98398521712349862</v>
      </c>
      <c r="AP140" s="20">
        <v>3247</v>
      </c>
      <c r="AQ140" s="27">
        <f t="shared" si="39"/>
        <v>52</v>
      </c>
      <c r="AR140" s="20">
        <v>3195</v>
      </c>
      <c r="AS140" s="20">
        <v>3050</v>
      </c>
      <c r="AT140" s="20">
        <f t="shared" si="40"/>
        <v>145</v>
      </c>
      <c r="AU140" s="20"/>
      <c r="AV140" s="5"/>
      <c r="AW140" s="29">
        <v>2004</v>
      </c>
      <c r="AX140" s="38" t="s">
        <v>40</v>
      </c>
      <c r="AY140" s="35">
        <f>+MIT_Vic_Cap[[#This Row],[Trenes Puntuales]]/MIT_Vic_Cap[[#This Row],[Trenes Programados]]</f>
        <v>0.72475247524752473</v>
      </c>
      <c r="AZ140" s="35">
        <f>+MIT_Vic_Cap[[#This Row],[Trenes Puntuales]]/MIT_Vic_Cap[[#This Row],[Trenes Corridos]]</f>
        <v>0.75619834710743805</v>
      </c>
      <c r="BA140" s="35">
        <f>+MIT_Vic_Cap[[#This Row],[Trenes Corridos]]/MIT_Vic_Cap[[#This Row],[Trenes Programados]]</f>
        <v>0.95841584158415838</v>
      </c>
      <c r="BB140" s="20">
        <v>1010</v>
      </c>
      <c r="BC140" s="27">
        <f t="shared" si="41"/>
        <v>42</v>
      </c>
      <c r="BD140" s="20">
        <v>968</v>
      </c>
      <c r="BE140" s="20">
        <v>732</v>
      </c>
      <c r="BF140" s="20">
        <f t="shared" si="42"/>
        <v>236</v>
      </c>
      <c r="BG140" s="20"/>
      <c r="BH140" s="5"/>
      <c r="BI140" s="29">
        <v>2004</v>
      </c>
      <c r="BJ140" s="38" t="s">
        <v>40</v>
      </c>
      <c r="BK140" s="35">
        <f>+Tabla8[[#This Row],[Trenes Puntuales]]/Tabla8[[#This Row],[Trenes Programados]]</f>
        <v>0.76310483870967738</v>
      </c>
      <c r="BL140" s="35">
        <f>+Tabla8[[#This Row],[Trenes Puntuales]]/Tabla8[[#This Row],[Trenes Corridos]]</f>
        <v>0.80531914893617018</v>
      </c>
      <c r="BM140" s="35">
        <f>+Tabla8[[#This Row],[Trenes Corridos]]/Tabla8[[#This Row],[Trenes Programados]]</f>
        <v>0.94758064516129037</v>
      </c>
      <c r="BN140" s="20">
        <v>992</v>
      </c>
      <c r="BO140" s="27">
        <f t="shared" si="43"/>
        <v>52</v>
      </c>
      <c r="BP140" s="20">
        <v>940</v>
      </c>
      <c r="BQ140" s="20">
        <v>757</v>
      </c>
      <c r="BR140" s="20">
        <f t="shared" si="44"/>
        <v>183</v>
      </c>
      <c r="BS140" s="29"/>
    </row>
    <row r="141" spans="1:71" s="3" customFormat="1" ht="12.75">
      <c r="A141" s="3">
        <v>2004</v>
      </c>
      <c r="B141" s="38" t="s">
        <v>41</v>
      </c>
      <c r="C141" s="25">
        <f>+MITRE[[#This Row],[Trenes Puntuales]]/MITRE[[#This Row],[Trenes Programados]]</f>
        <v>0.87399904181780852</v>
      </c>
      <c r="D141" s="25">
        <f>+MITRE[[#This Row],[Trenes Puntuales]]/MITRE[[#This Row],[Trenes Corridos]]</f>
        <v>0.89488437281009114</v>
      </c>
      <c r="E141" s="25">
        <f>+MITRE[[#This Row],[Trenes Corridos]]/MITRE[[#This Row],[Trenes Programados]]</f>
        <v>0.97666141947847507</v>
      </c>
      <c r="F141" s="27">
        <f t="shared" si="45"/>
        <v>14611</v>
      </c>
      <c r="G141" s="27">
        <f t="shared" si="46"/>
        <v>341</v>
      </c>
      <c r="H141" s="27">
        <f t="shared" si="47"/>
        <v>14270</v>
      </c>
      <c r="I141" s="27">
        <f t="shared" si="48"/>
        <v>12770</v>
      </c>
      <c r="J141" s="27">
        <f t="shared" si="49"/>
        <v>1500</v>
      </c>
      <c r="K141" s="27"/>
      <c r="L141" s="4"/>
      <c r="M141" s="29">
        <v>2004</v>
      </c>
      <c r="N141" s="38" t="s">
        <v>41</v>
      </c>
      <c r="O141" s="35">
        <f>+Tabla4[[#This Row],[Trenes Puntuales]]/Tabla4[[#This Row],[Trenes Programados]]</f>
        <v>0.8073815644509732</v>
      </c>
      <c r="P141" s="35">
        <f>+Tabla4[[#This Row],[Trenes Puntuales]]/Tabla4[[#This Row],[Trenes Corridos]]</f>
        <v>0.84444017668523141</v>
      </c>
      <c r="Q141" s="35">
        <f>+Tabla4[[#This Row],[Trenes Corridos]]/Tabla4[[#This Row],[Trenes Programados]]</f>
        <v>0.95611457950789569</v>
      </c>
      <c r="R141" s="20">
        <v>5446</v>
      </c>
      <c r="S141" s="27">
        <f t="shared" si="35"/>
        <v>239</v>
      </c>
      <c r="T141" s="20">
        <v>5207</v>
      </c>
      <c r="U141" s="20">
        <v>4397</v>
      </c>
      <c r="V141" s="20">
        <f t="shared" si="36"/>
        <v>810</v>
      </c>
      <c r="W141" s="20"/>
      <c r="X141" s="5"/>
      <c r="Y141" s="29">
        <v>2004</v>
      </c>
      <c r="Z141" s="38" t="s">
        <v>41</v>
      </c>
      <c r="AA141" s="35">
        <f>+Tabla5[[#This Row],[Trenes Puntuales]]/Tabla5[[#This Row],[Trenes Programados]]</f>
        <v>0.9443786982248521</v>
      </c>
      <c r="AB141" s="35">
        <f>+Tabla5[[#This Row],[Trenes Puntuales]]/Tabla5[[#This Row],[Trenes Corridos]]</f>
        <v>0.9484193011647255</v>
      </c>
      <c r="AC141" s="35">
        <f>+Tabla5[[#This Row],[Trenes Corridos]]/Tabla5[[#This Row],[Trenes Programados]]</f>
        <v>0.99573964497041423</v>
      </c>
      <c r="AD141" s="20">
        <v>4225</v>
      </c>
      <c r="AE141" s="27">
        <f t="shared" si="37"/>
        <v>18</v>
      </c>
      <c r="AF141" s="20">
        <v>4207</v>
      </c>
      <c r="AG141" s="20">
        <v>3990</v>
      </c>
      <c r="AH141" s="20">
        <f t="shared" si="38"/>
        <v>217</v>
      </c>
      <c r="AI141" s="20"/>
      <c r="AJ141" s="5"/>
      <c r="AK141" s="29">
        <v>2004</v>
      </c>
      <c r="AL141" s="38" t="s">
        <v>41</v>
      </c>
      <c r="AM141" s="35">
        <f>+Tabla6[[#This Row],[Trenes Puntuales]]/Tabla6[[#This Row],[Trenes Programados]]</f>
        <v>0.95940240337772009</v>
      </c>
      <c r="AN141" s="35">
        <f>+Tabla6[[#This Row],[Trenes Puntuales]]/Tabla6[[#This Row],[Trenes Corridos]]</f>
        <v>0.96693944353518824</v>
      </c>
      <c r="AO141" s="35">
        <f>+Tabla6[[#This Row],[Trenes Corridos]]/Tabla6[[#This Row],[Trenes Programados]]</f>
        <v>0.99220526144852228</v>
      </c>
      <c r="AP141" s="20">
        <v>3079</v>
      </c>
      <c r="AQ141" s="27">
        <f t="shared" si="39"/>
        <v>24</v>
      </c>
      <c r="AR141" s="20">
        <v>3055</v>
      </c>
      <c r="AS141" s="20">
        <v>2954</v>
      </c>
      <c r="AT141" s="20">
        <f t="shared" si="40"/>
        <v>101</v>
      </c>
      <c r="AU141" s="20"/>
      <c r="AV141" s="5"/>
      <c r="AW141" s="29">
        <v>2004</v>
      </c>
      <c r="AX141" s="38" t="s">
        <v>41</v>
      </c>
      <c r="AY141" s="35">
        <f>+MIT_Vic_Cap[[#This Row],[Trenes Puntuales]]/MIT_Vic_Cap[[#This Row],[Trenes Programados]]</f>
        <v>0.71698113207547165</v>
      </c>
      <c r="AZ141" s="35">
        <f>+MIT_Vic_Cap[[#This Row],[Trenes Puntuales]]/MIT_Vic_Cap[[#This Row],[Trenes Corridos]]</f>
        <v>0.74754098360655741</v>
      </c>
      <c r="BA141" s="35">
        <f>+MIT_Vic_Cap[[#This Row],[Trenes Corridos]]/MIT_Vic_Cap[[#This Row],[Trenes Programados]]</f>
        <v>0.95911949685534592</v>
      </c>
      <c r="BB141" s="20">
        <v>954</v>
      </c>
      <c r="BC141" s="27">
        <f t="shared" si="41"/>
        <v>39</v>
      </c>
      <c r="BD141" s="20">
        <v>915</v>
      </c>
      <c r="BE141" s="20">
        <v>684</v>
      </c>
      <c r="BF141" s="20">
        <f t="shared" si="42"/>
        <v>231</v>
      </c>
      <c r="BG141" s="20"/>
      <c r="BH141" s="5"/>
      <c r="BI141" s="29">
        <v>2004</v>
      </c>
      <c r="BJ141" s="38" t="s">
        <v>41</v>
      </c>
      <c r="BK141" s="35">
        <f>+Tabla8[[#This Row],[Trenes Puntuales]]/Tabla8[[#This Row],[Trenes Programados]]</f>
        <v>0.82138919514884234</v>
      </c>
      <c r="BL141" s="35">
        <f>+Tabla8[[#This Row],[Trenes Puntuales]]/Tabla8[[#This Row],[Trenes Corridos]]</f>
        <v>0.84085778781038378</v>
      </c>
      <c r="BM141" s="35">
        <f>+Tabla8[[#This Row],[Trenes Corridos]]/Tabla8[[#This Row],[Trenes Programados]]</f>
        <v>0.97684674751929434</v>
      </c>
      <c r="BN141" s="20">
        <v>907</v>
      </c>
      <c r="BO141" s="27">
        <f t="shared" si="43"/>
        <v>21</v>
      </c>
      <c r="BP141" s="20">
        <v>886</v>
      </c>
      <c r="BQ141" s="20">
        <v>745</v>
      </c>
      <c r="BR141" s="20">
        <f t="shared" si="44"/>
        <v>141</v>
      </c>
      <c r="BS141" s="29"/>
    </row>
    <row r="142" spans="1:71" s="3" customFormat="1" ht="12.75">
      <c r="A142" s="3">
        <v>2004</v>
      </c>
      <c r="B142" s="38" t="s">
        <v>42</v>
      </c>
      <c r="C142" s="25">
        <f>+MITRE[[#This Row],[Trenes Puntuales]]/MITRE[[#This Row],[Trenes Programados]]</f>
        <v>0.92186876081458802</v>
      </c>
      <c r="D142" s="25">
        <f>+MITRE[[#This Row],[Trenes Puntuales]]/MITRE[[#This Row],[Trenes Corridos]]</f>
        <v>0.93323452132318263</v>
      </c>
      <c r="E142" s="25">
        <f>+MITRE[[#This Row],[Trenes Corridos]]/MITRE[[#This Row],[Trenes Programados]]</f>
        <v>0.98782111007586848</v>
      </c>
      <c r="F142" s="27">
        <f t="shared" si="45"/>
        <v>15026</v>
      </c>
      <c r="G142" s="27">
        <f t="shared" si="46"/>
        <v>183</v>
      </c>
      <c r="H142" s="27">
        <f t="shared" si="47"/>
        <v>14843</v>
      </c>
      <c r="I142" s="27">
        <f t="shared" si="48"/>
        <v>13852</v>
      </c>
      <c r="J142" s="27">
        <f t="shared" si="49"/>
        <v>991</v>
      </c>
      <c r="K142" s="27"/>
      <c r="L142" s="4"/>
      <c r="M142" s="29">
        <v>2004</v>
      </c>
      <c r="N142" s="38" t="s">
        <v>42</v>
      </c>
      <c r="O142" s="35">
        <f>+Tabla4[[#This Row],[Trenes Puntuales]]/Tabla4[[#This Row],[Trenes Programados]]</f>
        <v>0.91807960021417101</v>
      </c>
      <c r="P142" s="35">
        <f>+Tabla4[[#This Row],[Trenes Puntuales]]/Tabla4[[#This Row],[Trenes Corridos]]</f>
        <v>0.93070381762258003</v>
      </c>
      <c r="Q142" s="35">
        <f>+Tabla4[[#This Row],[Trenes Corridos]]/Tabla4[[#This Row],[Trenes Programados]]</f>
        <v>0.98643583794395862</v>
      </c>
      <c r="R142" s="20">
        <v>5603</v>
      </c>
      <c r="S142" s="27">
        <f t="shared" si="35"/>
        <v>76</v>
      </c>
      <c r="T142" s="20">
        <v>5527</v>
      </c>
      <c r="U142" s="20">
        <v>5144</v>
      </c>
      <c r="V142" s="20">
        <f t="shared" si="36"/>
        <v>383</v>
      </c>
      <c r="W142" s="20"/>
      <c r="X142" s="5"/>
      <c r="Y142" s="29">
        <v>2004</v>
      </c>
      <c r="Z142" s="38" t="s">
        <v>42</v>
      </c>
      <c r="AA142" s="35">
        <f>+Tabla5[[#This Row],[Trenes Puntuales]]/Tabla5[[#This Row],[Trenes Programados]]</f>
        <v>0.96220327264346628</v>
      </c>
      <c r="AB142" s="35">
        <f>+Tabla5[[#This Row],[Trenes Puntuales]]/Tabla5[[#This Row],[Trenes Corridos]]</f>
        <v>0.96531791907514453</v>
      </c>
      <c r="AC142" s="35">
        <f>+Tabla5[[#This Row],[Trenes Corridos]]/Tabla5[[#This Row],[Trenes Programados]]</f>
        <v>0.99677345010371055</v>
      </c>
      <c r="AD142" s="20">
        <v>4339</v>
      </c>
      <c r="AE142" s="27">
        <f t="shared" si="37"/>
        <v>14</v>
      </c>
      <c r="AF142" s="20">
        <v>4325</v>
      </c>
      <c r="AG142" s="20">
        <v>4175</v>
      </c>
      <c r="AH142" s="20">
        <f t="shared" si="38"/>
        <v>150</v>
      </c>
      <c r="AI142" s="20"/>
      <c r="AJ142" s="5"/>
      <c r="AK142" s="29">
        <v>2004</v>
      </c>
      <c r="AL142" s="38" t="s">
        <v>42</v>
      </c>
      <c r="AM142" s="35">
        <f>+Tabla6[[#This Row],[Trenes Puntuales]]/Tabla6[[#This Row],[Trenes Programados]]</f>
        <v>0.97727989902177348</v>
      </c>
      <c r="AN142" s="35">
        <f>+Tabla6[[#This Row],[Trenes Puntuales]]/Tabla6[[#This Row],[Trenes Corridos]]</f>
        <v>0.98223913732952739</v>
      </c>
      <c r="AO142" s="35">
        <f>+Tabla6[[#This Row],[Trenes Corridos]]/Tabla6[[#This Row],[Trenes Programados]]</f>
        <v>0.99495108867150517</v>
      </c>
      <c r="AP142" s="20">
        <v>3169</v>
      </c>
      <c r="AQ142" s="27">
        <f t="shared" si="39"/>
        <v>16</v>
      </c>
      <c r="AR142" s="20">
        <v>3153</v>
      </c>
      <c r="AS142" s="20">
        <v>3097</v>
      </c>
      <c r="AT142" s="20">
        <f t="shared" si="40"/>
        <v>56</v>
      </c>
      <c r="AU142" s="20"/>
      <c r="AV142" s="5"/>
      <c r="AW142" s="29">
        <v>2004</v>
      </c>
      <c r="AX142" s="38" t="s">
        <v>42</v>
      </c>
      <c r="AY142" s="35">
        <f>+MIT_Vic_Cap[[#This Row],[Trenes Puntuales]]/MIT_Vic_Cap[[#This Row],[Trenes Programados]]</f>
        <v>0.73387922210849543</v>
      </c>
      <c r="AZ142" s="35">
        <f>+MIT_Vic_Cap[[#This Row],[Trenes Puntuales]]/MIT_Vic_Cap[[#This Row],[Trenes Corridos]]</f>
        <v>0.76766595289079231</v>
      </c>
      <c r="BA142" s="35">
        <f>+MIT_Vic_Cap[[#This Row],[Trenes Corridos]]/MIT_Vic_Cap[[#This Row],[Trenes Programados]]</f>
        <v>0.95598771750255884</v>
      </c>
      <c r="BB142" s="20">
        <v>977</v>
      </c>
      <c r="BC142" s="27">
        <f t="shared" si="41"/>
        <v>43</v>
      </c>
      <c r="BD142" s="20">
        <v>934</v>
      </c>
      <c r="BE142" s="20">
        <v>717</v>
      </c>
      <c r="BF142" s="20">
        <f t="shared" si="42"/>
        <v>217</v>
      </c>
      <c r="BG142" s="20"/>
      <c r="BH142" s="5"/>
      <c r="BI142" s="29">
        <v>2004</v>
      </c>
      <c r="BJ142" s="38" t="s">
        <v>42</v>
      </c>
      <c r="BK142" s="35">
        <f>+Tabla8[[#This Row],[Trenes Puntuales]]/Tabla8[[#This Row],[Trenes Programados]]</f>
        <v>0.76652452025586348</v>
      </c>
      <c r="BL142" s="35">
        <f>+Tabla8[[#This Row],[Trenes Puntuales]]/Tabla8[[#This Row],[Trenes Corridos]]</f>
        <v>0.79535398230088494</v>
      </c>
      <c r="BM142" s="35">
        <f>+Tabla8[[#This Row],[Trenes Corridos]]/Tabla8[[#This Row],[Trenes Programados]]</f>
        <v>0.96375266524520253</v>
      </c>
      <c r="BN142" s="20">
        <v>938</v>
      </c>
      <c r="BO142" s="27">
        <f t="shared" si="43"/>
        <v>34</v>
      </c>
      <c r="BP142" s="20">
        <v>904</v>
      </c>
      <c r="BQ142" s="20">
        <v>719</v>
      </c>
      <c r="BR142" s="20">
        <f t="shared" si="44"/>
        <v>185</v>
      </c>
      <c r="BS142" s="29"/>
    </row>
    <row r="143" spans="1:71" s="3" customFormat="1" ht="12.75">
      <c r="A143" s="3">
        <v>2004</v>
      </c>
      <c r="B143" s="38" t="s">
        <v>43</v>
      </c>
      <c r="C143" s="25">
        <f>+MITRE[[#This Row],[Trenes Puntuales]]/MITRE[[#This Row],[Trenes Programados]]</f>
        <v>0.9251942137690865</v>
      </c>
      <c r="D143" s="25">
        <f>+MITRE[[#This Row],[Trenes Puntuales]]/MITRE[[#This Row],[Trenes Corridos]]</f>
        <v>0.93584880097547762</v>
      </c>
      <c r="E143" s="25">
        <f>+MITRE[[#This Row],[Trenes Corridos]]/MITRE[[#This Row],[Trenes Programados]]</f>
        <v>0.98861505491561752</v>
      </c>
      <c r="F143" s="27">
        <f t="shared" si="45"/>
        <v>14932</v>
      </c>
      <c r="G143" s="27">
        <f t="shared" si="46"/>
        <v>170</v>
      </c>
      <c r="H143" s="27">
        <f t="shared" si="47"/>
        <v>14762</v>
      </c>
      <c r="I143" s="27">
        <f t="shared" si="48"/>
        <v>13815</v>
      </c>
      <c r="J143" s="27">
        <f t="shared" si="49"/>
        <v>947</v>
      </c>
      <c r="K143" s="27"/>
      <c r="L143" s="4"/>
      <c r="M143" s="29">
        <v>2004</v>
      </c>
      <c r="N143" s="38" t="s">
        <v>43</v>
      </c>
      <c r="O143" s="35">
        <f>+Tabla4[[#This Row],[Trenes Puntuales]]/Tabla4[[#This Row],[Trenes Programados]]</f>
        <v>0.91942111845631591</v>
      </c>
      <c r="P143" s="35">
        <f>+Tabla4[[#This Row],[Trenes Puntuales]]/Tabla4[[#This Row],[Trenes Corridos]]</f>
        <v>0.93241529262547562</v>
      </c>
      <c r="Q143" s="35">
        <f>+Tabla4[[#This Row],[Trenes Corridos]]/Tabla4[[#This Row],[Trenes Programados]]</f>
        <v>0.98606396283723419</v>
      </c>
      <c r="R143" s="20">
        <v>5597</v>
      </c>
      <c r="S143" s="27">
        <f t="shared" si="35"/>
        <v>78</v>
      </c>
      <c r="T143" s="20">
        <v>5519</v>
      </c>
      <c r="U143" s="20">
        <v>5146</v>
      </c>
      <c r="V143" s="20">
        <f t="shared" si="36"/>
        <v>373</v>
      </c>
      <c r="W143" s="20"/>
      <c r="X143" s="5"/>
      <c r="Y143" s="29">
        <v>2004</v>
      </c>
      <c r="Z143" s="38" t="s">
        <v>43</v>
      </c>
      <c r="AA143" s="35">
        <f>+Tabla5[[#This Row],[Trenes Puntuales]]/Tabla5[[#This Row],[Trenes Programados]]</f>
        <v>0.95370370370370372</v>
      </c>
      <c r="AB143" s="35">
        <f>+Tabla5[[#This Row],[Trenes Puntuales]]/Tabla5[[#This Row],[Trenes Corridos]]</f>
        <v>0.95724907063197029</v>
      </c>
      <c r="AC143" s="35">
        <f>+Tabla5[[#This Row],[Trenes Corridos]]/Tabla5[[#This Row],[Trenes Programados]]</f>
        <v>0.99629629629629635</v>
      </c>
      <c r="AD143" s="20">
        <v>4320</v>
      </c>
      <c r="AE143" s="27">
        <f t="shared" si="37"/>
        <v>16</v>
      </c>
      <c r="AF143" s="20">
        <v>4304</v>
      </c>
      <c r="AG143" s="20">
        <v>4120</v>
      </c>
      <c r="AH143" s="20">
        <f t="shared" si="38"/>
        <v>184</v>
      </c>
      <c r="AI143" s="20"/>
      <c r="AJ143" s="5"/>
      <c r="AK143" s="29">
        <v>2004</v>
      </c>
      <c r="AL143" s="38" t="s">
        <v>43</v>
      </c>
      <c r="AM143" s="35">
        <f>+Tabla6[[#This Row],[Trenes Puntuales]]/Tabla6[[#This Row],[Trenes Programados]]</f>
        <v>0.9771850899742931</v>
      </c>
      <c r="AN143" s="35">
        <f>+Tabla6[[#This Row],[Trenes Puntuales]]/Tabla6[[#This Row],[Trenes Corridos]]</f>
        <v>0.98096774193548386</v>
      </c>
      <c r="AO143" s="35">
        <f>+Tabla6[[#This Row],[Trenes Corridos]]/Tabla6[[#This Row],[Trenes Programados]]</f>
        <v>0.99614395886889462</v>
      </c>
      <c r="AP143" s="20">
        <v>3112</v>
      </c>
      <c r="AQ143" s="27">
        <f t="shared" si="39"/>
        <v>12</v>
      </c>
      <c r="AR143" s="20">
        <v>3100</v>
      </c>
      <c r="AS143" s="20">
        <v>3041</v>
      </c>
      <c r="AT143" s="20">
        <f t="shared" si="40"/>
        <v>59</v>
      </c>
      <c r="AU143" s="20"/>
      <c r="AV143" s="5"/>
      <c r="AW143" s="29">
        <v>2004</v>
      </c>
      <c r="AX143" s="38" t="s">
        <v>43</v>
      </c>
      <c r="AY143" s="35">
        <f>+MIT_Vic_Cap[[#This Row],[Trenes Puntuales]]/MIT_Vic_Cap[[#This Row],[Trenes Programados]]</f>
        <v>0.7865284974093264</v>
      </c>
      <c r="AZ143" s="35">
        <f>+MIT_Vic_Cap[[#This Row],[Trenes Puntuales]]/MIT_Vic_Cap[[#This Row],[Trenes Corridos]]</f>
        <v>0.82321041214750545</v>
      </c>
      <c r="BA143" s="35">
        <f>+MIT_Vic_Cap[[#This Row],[Trenes Corridos]]/MIT_Vic_Cap[[#This Row],[Trenes Programados]]</f>
        <v>0.95544041450777206</v>
      </c>
      <c r="BB143" s="20">
        <v>965</v>
      </c>
      <c r="BC143" s="27">
        <f t="shared" si="41"/>
        <v>43</v>
      </c>
      <c r="BD143" s="20">
        <v>922</v>
      </c>
      <c r="BE143" s="20">
        <v>759</v>
      </c>
      <c r="BF143" s="20">
        <f t="shared" si="42"/>
        <v>163</v>
      </c>
      <c r="BG143" s="20"/>
      <c r="BH143" s="5"/>
      <c r="BI143" s="29">
        <v>2004</v>
      </c>
      <c r="BJ143" s="38" t="s">
        <v>43</v>
      </c>
      <c r="BK143" s="35">
        <f>+Tabla8[[#This Row],[Trenes Puntuales]]/Tabla8[[#This Row],[Trenes Programados]]</f>
        <v>0.79850746268656714</v>
      </c>
      <c r="BL143" s="35">
        <f>+Tabla8[[#This Row],[Trenes Puntuales]]/Tabla8[[#This Row],[Trenes Corridos]]</f>
        <v>0.81679389312977102</v>
      </c>
      <c r="BM143" s="35">
        <f>+Tabla8[[#This Row],[Trenes Corridos]]/Tabla8[[#This Row],[Trenes Programados]]</f>
        <v>0.97761194029850751</v>
      </c>
      <c r="BN143" s="20">
        <v>938</v>
      </c>
      <c r="BO143" s="27">
        <f t="shared" si="43"/>
        <v>21</v>
      </c>
      <c r="BP143" s="20">
        <v>917</v>
      </c>
      <c r="BQ143" s="20">
        <v>749</v>
      </c>
      <c r="BR143" s="20">
        <f t="shared" si="44"/>
        <v>168</v>
      </c>
      <c r="BS143" s="29"/>
    </row>
    <row r="144" spans="1:71" s="3" customFormat="1" ht="12.75">
      <c r="A144" s="3">
        <v>2004</v>
      </c>
      <c r="B144" s="38" t="s">
        <v>44</v>
      </c>
      <c r="C144" s="25">
        <f>+MITRE[[#This Row],[Trenes Puntuales]]/MITRE[[#This Row],[Trenes Programados]]</f>
        <v>0.85104308832131015</v>
      </c>
      <c r="D144" s="25">
        <f>+MITRE[[#This Row],[Trenes Puntuales]]/MITRE[[#This Row],[Trenes Corridos]]</f>
        <v>0.87691689546641671</v>
      </c>
      <c r="E144" s="25">
        <f>+MITRE[[#This Row],[Trenes Corridos]]/MITRE[[#This Row],[Trenes Programados]]</f>
        <v>0.97049457334113209</v>
      </c>
      <c r="F144" s="27">
        <f t="shared" si="45"/>
        <v>15387</v>
      </c>
      <c r="G144" s="27">
        <f t="shared" si="46"/>
        <v>454</v>
      </c>
      <c r="H144" s="27">
        <f t="shared" si="47"/>
        <v>14933</v>
      </c>
      <c r="I144" s="27">
        <f t="shared" si="48"/>
        <v>13095</v>
      </c>
      <c r="J144" s="27">
        <f t="shared" si="49"/>
        <v>1838</v>
      </c>
      <c r="K144" s="27"/>
      <c r="L144" s="4"/>
      <c r="M144" s="29">
        <v>2004</v>
      </c>
      <c r="N144" s="38" t="s">
        <v>44</v>
      </c>
      <c r="O144" s="35">
        <f>+Tabla4[[#This Row],[Trenes Puntuales]]/Tabla4[[#This Row],[Trenes Programados]]</f>
        <v>0.79492967529084912</v>
      </c>
      <c r="P144" s="35">
        <f>+Tabla4[[#This Row],[Trenes Puntuales]]/Tabla4[[#This Row],[Trenes Corridos]]</f>
        <v>0.82205063745735318</v>
      </c>
      <c r="Q144" s="35">
        <f>+Tabla4[[#This Row],[Trenes Corridos]]/Tabla4[[#This Row],[Trenes Programados]]</f>
        <v>0.96700816113908661</v>
      </c>
      <c r="R144" s="20">
        <v>5759</v>
      </c>
      <c r="S144" s="27">
        <f t="shared" si="35"/>
        <v>190</v>
      </c>
      <c r="T144" s="20">
        <v>5569</v>
      </c>
      <c r="U144" s="20">
        <v>4578</v>
      </c>
      <c r="V144" s="20">
        <f t="shared" si="36"/>
        <v>991</v>
      </c>
      <c r="W144" s="20"/>
      <c r="X144" s="5"/>
      <c r="Y144" s="29">
        <v>2004</v>
      </c>
      <c r="Z144" s="38" t="s">
        <v>44</v>
      </c>
      <c r="AA144" s="35">
        <f>+Tabla5[[#This Row],[Trenes Puntuales]]/Tabla5[[#This Row],[Trenes Programados]]</f>
        <v>0.89043556353839248</v>
      </c>
      <c r="AB144" s="35">
        <f>+Tabla5[[#This Row],[Trenes Puntuales]]/Tabla5[[#This Row],[Trenes Corridos]]</f>
        <v>0.91424619640387272</v>
      </c>
      <c r="AC144" s="35">
        <f>+Tabla5[[#This Row],[Trenes Corridos]]/Tabla5[[#This Row],[Trenes Programados]]</f>
        <v>0.97395599461158511</v>
      </c>
      <c r="AD144" s="20">
        <v>4454</v>
      </c>
      <c r="AE144" s="27">
        <f t="shared" si="37"/>
        <v>116</v>
      </c>
      <c r="AF144" s="20">
        <v>4338</v>
      </c>
      <c r="AG144" s="20">
        <v>3966</v>
      </c>
      <c r="AH144" s="20">
        <f t="shared" si="38"/>
        <v>372</v>
      </c>
      <c r="AI144" s="20"/>
      <c r="AJ144" s="5"/>
      <c r="AK144" s="29">
        <v>2004</v>
      </c>
      <c r="AL144" s="38" t="s">
        <v>44</v>
      </c>
      <c r="AM144" s="35">
        <f>+Tabla6[[#This Row],[Trenes Puntuales]]/Tabla6[[#This Row],[Trenes Programados]]</f>
        <v>0.91537025513378967</v>
      </c>
      <c r="AN144" s="35">
        <f>+Tabla6[[#This Row],[Trenes Puntuales]]/Tabla6[[#This Row],[Trenes Corridos]]</f>
        <v>0.94506906521040801</v>
      </c>
      <c r="AO144" s="35">
        <f>+Tabla6[[#This Row],[Trenes Corridos]]/Tabla6[[#This Row],[Trenes Programados]]</f>
        <v>0.96857498444306156</v>
      </c>
      <c r="AP144" s="20">
        <v>3214</v>
      </c>
      <c r="AQ144" s="27">
        <f t="shared" si="39"/>
        <v>101</v>
      </c>
      <c r="AR144" s="20">
        <v>3113</v>
      </c>
      <c r="AS144" s="20">
        <v>2942</v>
      </c>
      <c r="AT144" s="20">
        <f t="shared" si="40"/>
        <v>171</v>
      </c>
      <c r="AU144" s="20"/>
      <c r="AV144" s="5"/>
      <c r="AW144" s="29">
        <v>2004</v>
      </c>
      <c r="AX144" s="38" t="s">
        <v>44</v>
      </c>
      <c r="AY144" s="35">
        <f>+MIT_Vic_Cap[[#This Row],[Trenes Puntuales]]/MIT_Vic_Cap[[#This Row],[Trenes Programados]]</f>
        <v>0.81281281281281281</v>
      </c>
      <c r="AZ144" s="35">
        <f>+MIT_Vic_Cap[[#This Row],[Trenes Puntuales]]/MIT_Vic_Cap[[#This Row],[Trenes Corridos]]</f>
        <v>0.83797729618163053</v>
      </c>
      <c r="BA144" s="35">
        <f>+MIT_Vic_Cap[[#This Row],[Trenes Corridos]]/MIT_Vic_Cap[[#This Row],[Trenes Programados]]</f>
        <v>0.96996996996996998</v>
      </c>
      <c r="BB144" s="20">
        <v>999</v>
      </c>
      <c r="BC144" s="27">
        <f t="shared" si="41"/>
        <v>30</v>
      </c>
      <c r="BD144" s="20">
        <v>969</v>
      </c>
      <c r="BE144" s="20">
        <v>812</v>
      </c>
      <c r="BF144" s="20">
        <f t="shared" si="42"/>
        <v>157</v>
      </c>
      <c r="BG144" s="20"/>
      <c r="BH144" s="5"/>
      <c r="BI144" s="29">
        <v>2004</v>
      </c>
      <c r="BJ144" s="38" t="s">
        <v>44</v>
      </c>
      <c r="BK144" s="35">
        <f>+Tabla8[[#This Row],[Trenes Puntuales]]/Tabla8[[#This Row],[Trenes Programados]]</f>
        <v>0.82934443288241411</v>
      </c>
      <c r="BL144" s="35">
        <f>+Tabla8[[#This Row],[Trenes Puntuales]]/Tabla8[[#This Row],[Trenes Corridos]]</f>
        <v>0.84427966101694918</v>
      </c>
      <c r="BM144" s="35">
        <f>+Tabla8[[#This Row],[Trenes Corridos]]/Tabla8[[#This Row],[Trenes Programados]]</f>
        <v>0.98231009365244537</v>
      </c>
      <c r="BN144" s="20">
        <v>961</v>
      </c>
      <c r="BO144" s="27">
        <f t="shared" si="43"/>
        <v>17</v>
      </c>
      <c r="BP144" s="20">
        <v>944</v>
      </c>
      <c r="BQ144" s="20">
        <v>797</v>
      </c>
      <c r="BR144" s="20">
        <f t="shared" si="44"/>
        <v>147</v>
      </c>
      <c r="BS144" s="29"/>
    </row>
    <row r="145" spans="1:71" s="3" customFormat="1" ht="12.75">
      <c r="A145" s="3">
        <v>2004</v>
      </c>
      <c r="B145" s="38" t="s">
        <v>45</v>
      </c>
      <c r="C145" s="25">
        <f>+MITRE[[#This Row],[Trenes Puntuales]]/MITRE[[#This Row],[Trenes Programados]]</f>
        <v>0.83583557332983671</v>
      </c>
      <c r="D145" s="25">
        <f>+MITRE[[#This Row],[Trenes Puntuales]]/MITRE[[#This Row],[Trenes Corridos]]</f>
        <v>0.86322702958900399</v>
      </c>
      <c r="E145" s="25">
        <f>+MITRE[[#This Row],[Trenes Corridos]]/MITRE[[#This Row],[Trenes Programados]]</f>
        <v>0.96826853733691731</v>
      </c>
      <c r="F145" s="27">
        <f t="shared" si="45"/>
        <v>15253</v>
      </c>
      <c r="G145" s="27">
        <f t="shared" si="46"/>
        <v>484</v>
      </c>
      <c r="H145" s="27">
        <f t="shared" si="47"/>
        <v>14769</v>
      </c>
      <c r="I145" s="27">
        <f t="shared" si="48"/>
        <v>12749</v>
      </c>
      <c r="J145" s="27">
        <f t="shared" si="49"/>
        <v>2020</v>
      </c>
      <c r="K145" s="27"/>
      <c r="L145" s="4"/>
      <c r="M145" s="29">
        <v>2004</v>
      </c>
      <c r="N145" s="38" t="s">
        <v>45</v>
      </c>
      <c r="O145" s="35">
        <f>+Tabla4[[#This Row],[Trenes Puntuales]]/Tabla4[[#This Row],[Trenes Programados]]</f>
        <v>0.75056967572305</v>
      </c>
      <c r="P145" s="35">
        <f>+Tabla4[[#This Row],[Trenes Puntuales]]/Tabla4[[#This Row],[Trenes Corridos]]</f>
        <v>0.79062038404726731</v>
      </c>
      <c r="Q145" s="35">
        <f>+Tabla4[[#This Row],[Trenes Corridos]]/Tabla4[[#This Row],[Trenes Programados]]</f>
        <v>0.94934268185801929</v>
      </c>
      <c r="R145" s="20">
        <v>5705</v>
      </c>
      <c r="S145" s="27">
        <f t="shared" si="35"/>
        <v>289</v>
      </c>
      <c r="T145" s="20">
        <v>5416</v>
      </c>
      <c r="U145" s="20">
        <v>4282</v>
      </c>
      <c r="V145" s="20">
        <f t="shared" si="36"/>
        <v>1134</v>
      </c>
      <c r="W145" s="20"/>
      <c r="X145" s="5"/>
      <c r="Y145" s="29">
        <v>2004</v>
      </c>
      <c r="Z145" s="38" t="s">
        <v>45</v>
      </c>
      <c r="AA145" s="35">
        <f>+Tabla5[[#This Row],[Trenes Puntuales]]/Tabla5[[#This Row],[Trenes Programados]]</f>
        <v>0.89158539351326827</v>
      </c>
      <c r="AB145" s="35">
        <f>+Tabla5[[#This Row],[Trenes Puntuales]]/Tabla5[[#This Row],[Trenes Corridos]]</f>
        <v>0.91016438990507065</v>
      </c>
      <c r="AC145" s="35">
        <f>+Tabla5[[#This Row],[Trenes Corridos]]/Tabla5[[#This Row],[Trenes Programados]]</f>
        <v>0.97958720798366972</v>
      </c>
      <c r="AD145" s="20">
        <v>4409</v>
      </c>
      <c r="AE145" s="27">
        <f t="shared" si="37"/>
        <v>90</v>
      </c>
      <c r="AF145" s="20">
        <v>4319</v>
      </c>
      <c r="AG145" s="20">
        <v>3931</v>
      </c>
      <c r="AH145" s="20">
        <f t="shared" si="38"/>
        <v>388</v>
      </c>
      <c r="AI145" s="20"/>
      <c r="AJ145" s="5"/>
      <c r="AK145" s="29">
        <v>2004</v>
      </c>
      <c r="AL145" s="38" t="s">
        <v>45</v>
      </c>
      <c r="AM145" s="35">
        <f>+Tabla6[[#This Row],[Trenes Puntuales]]/Tabla6[[#This Row],[Trenes Programados]]</f>
        <v>0.91705790297339596</v>
      </c>
      <c r="AN145" s="35">
        <f>+Tabla6[[#This Row],[Trenes Puntuales]]/Tabla6[[#This Row],[Trenes Corridos]]</f>
        <v>0.93790012804097311</v>
      </c>
      <c r="AO145" s="35">
        <f>+Tabla6[[#This Row],[Trenes Corridos]]/Tabla6[[#This Row],[Trenes Programados]]</f>
        <v>0.97777777777777775</v>
      </c>
      <c r="AP145" s="20">
        <v>3195</v>
      </c>
      <c r="AQ145" s="27">
        <f t="shared" si="39"/>
        <v>71</v>
      </c>
      <c r="AR145" s="20">
        <v>3124</v>
      </c>
      <c r="AS145" s="20">
        <v>2930</v>
      </c>
      <c r="AT145" s="20">
        <f t="shared" si="40"/>
        <v>194</v>
      </c>
      <c r="AU145" s="20"/>
      <c r="AV145" s="5"/>
      <c r="AW145" s="29">
        <v>2004</v>
      </c>
      <c r="AX145" s="38" t="s">
        <v>45</v>
      </c>
      <c r="AY145" s="35">
        <f>+MIT_Vic_Cap[[#This Row],[Trenes Puntuales]]/MIT_Vic_Cap[[#This Row],[Trenes Programados]]</f>
        <v>0.86032388663967607</v>
      </c>
      <c r="AZ145" s="35">
        <f>+MIT_Vic_Cap[[#This Row],[Trenes Puntuales]]/MIT_Vic_Cap[[#This Row],[Trenes Corridos]]</f>
        <v>0.87991718426501031</v>
      </c>
      <c r="BA145" s="35">
        <f>+MIT_Vic_Cap[[#This Row],[Trenes Corridos]]/MIT_Vic_Cap[[#This Row],[Trenes Programados]]</f>
        <v>0.97773279352226716</v>
      </c>
      <c r="BB145" s="20">
        <v>988</v>
      </c>
      <c r="BC145" s="27">
        <f t="shared" si="41"/>
        <v>22</v>
      </c>
      <c r="BD145" s="20">
        <v>966</v>
      </c>
      <c r="BE145" s="20">
        <v>850</v>
      </c>
      <c r="BF145" s="20">
        <f t="shared" si="42"/>
        <v>116</v>
      </c>
      <c r="BG145" s="20"/>
      <c r="BH145" s="5"/>
      <c r="BI145" s="29">
        <v>2004</v>
      </c>
      <c r="BJ145" s="38" t="s">
        <v>45</v>
      </c>
      <c r="BK145" s="35">
        <f>+Tabla8[[#This Row],[Trenes Puntuales]]/Tabla8[[#This Row],[Trenes Programados]]</f>
        <v>0.79079497907949792</v>
      </c>
      <c r="BL145" s="35">
        <f>+Tabla8[[#This Row],[Trenes Puntuales]]/Tabla8[[#This Row],[Trenes Corridos]]</f>
        <v>0.80084745762711862</v>
      </c>
      <c r="BM145" s="35">
        <f>+Tabla8[[#This Row],[Trenes Corridos]]/Tabla8[[#This Row],[Trenes Programados]]</f>
        <v>0.9874476987447699</v>
      </c>
      <c r="BN145" s="20">
        <v>956</v>
      </c>
      <c r="BO145" s="27">
        <f t="shared" si="43"/>
        <v>12</v>
      </c>
      <c r="BP145" s="20">
        <v>944</v>
      </c>
      <c r="BQ145" s="20">
        <v>756</v>
      </c>
      <c r="BR145" s="20">
        <f t="shared" si="44"/>
        <v>188</v>
      </c>
      <c r="BS145" s="29"/>
    </row>
    <row r="146" spans="1:71" s="3" customFormat="1" ht="12.75">
      <c r="A146" s="3">
        <v>2004</v>
      </c>
      <c r="B146" s="38" t="s">
        <v>46</v>
      </c>
      <c r="C146" s="25">
        <f>+MITRE[[#This Row],[Trenes Puntuales]]/MITRE[[#This Row],[Trenes Programados]]</f>
        <v>0.9027539860324153</v>
      </c>
      <c r="D146" s="25">
        <f>+MITRE[[#This Row],[Trenes Puntuales]]/MITRE[[#This Row],[Trenes Corridos]]</f>
        <v>0.91597031887158231</v>
      </c>
      <c r="E146" s="25">
        <f>+MITRE[[#This Row],[Trenes Corridos]]/MITRE[[#This Row],[Trenes Programados]]</f>
        <v>0.98557122150480958</v>
      </c>
      <c r="F146" s="27">
        <f t="shared" si="45"/>
        <v>15178</v>
      </c>
      <c r="G146" s="27">
        <f t="shared" si="46"/>
        <v>219</v>
      </c>
      <c r="H146" s="27">
        <f t="shared" si="47"/>
        <v>14959</v>
      </c>
      <c r="I146" s="27">
        <f t="shared" si="48"/>
        <v>13702</v>
      </c>
      <c r="J146" s="27">
        <f t="shared" si="49"/>
        <v>1257</v>
      </c>
      <c r="K146" s="27"/>
      <c r="L146" s="4"/>
      <c r="M146" s="29">
        <v>2004</v>
      </c>
      <c r="N146" s="38" t="s">
        <v>46</v>
      </c>
      <c r="O146" s="35">
        <f>+Tabla4[[#This Row],[Trenes Puntuales]]/Tabla4[[#This Row],[Trenes Programados]]</f>
        <v>0.84242742217558586</v>
      </c>
      <c r="P146" s="35">
        <f>+Tabla4[[#This Row],[Trenes Puntuales]]/Tabla4[[#This Row],[Trenes Corridos]]</f>
        <v>0.8629523468290935</v>
      </c>
      <c r="Q146" s="35">
        <f>+Tabla4[[#This Row],[Trenes Corridos]]/Tabla4[[#This Row],[Trenes Programados]]</f>
        <v>0.97621545995103187</v>
      </c>
      <c r="R146" s="20">
        <v>5718</v>
      </c>
      <c r="S146" s="27">
        <f t="shared" si="35"/>
        <v>136</v>
      </c>
      <c r="T146" s="20">
        <v>5582</v>
      </c>
      <c r="U146" s="20">
        <v>4817</v>
      </c>
      <c r="V146" s="20">
        <f t="shared" si="36"/>
        <v>765</v>
      </c>
      <c r="W146" s="20"/>
      <c r="X146" s="5"/>
      <c r="Y146" s="29">
        <v>2004</v>
      </c>
      <c r="Z146" s="38" t="s">
        <v>46</v>
      </c>
      <c r="AA146" s="35">
        <f>+Tabla5[[#This Row],[Trenes Puntuales]]/Tabla5[[#This Row],[Trenes Programados]]</f>
        <v>0.94920273348519357</v>
      </c>
      <c r="AB146" s="35">
        <f>+Tabla5[[#This Row],[Trenes Puntuales]]/Tabla5[[#This Row],[Trenes Corridos]]</f>
        <v>0.95573394495412844</v>
      </c>
      <c r="AC146" s="35">
        <f>+Tabla5[[#This Row],[Trenes Corridos]]/Tabla5[[#This Row],[Trenes Programados]]</f>
        <v>0.99316628701594534</v>
      </c>
      <c r="AD146" s="20">
        <v>4390</v>
      </c>
      <c r="AE146" s="27">
        <f t="shared" si="37"/>
        <v>30</v>
      </c>
      <c r="AF146" s="20">
        <v>4360</v>
      </c>
      <c r="AG146" s="20">
        <v>4167</v>
      </c>
      <c r="AH146" s="20">
        <f t="shared" si="38"/>
        <v>193</v>
      </c>
      <c r="AI146" s="20"/>
      <c r="AJ146" s="5"/>
      <c r="AK146" s="29">
        <v>2004</v>
      </c>
      <c r="AL146" s="38" t="s">
        <v>46</v>
      </c>
      <c r="AM146" s="35">
        <f>+Tabla6[[#This Row],[Trenes Puntuales]]/Tabla6[[#This Row],[Trenes Programados]]</f>
        <v>0.97323135755258128</v>
      </c>
      <c r="AN146" s="35">
        <f>+Tabla6[[#This Row],[Trenes Puntuales]]/Tabla6[[#This Row],[Trenes Corridos]]</f>
        <v>0.98010269576379971</v>
      </c>
      <c r="AO146" s="35">
        <f>+Tabla6[[#This Row],[Trenes Corridos]]/Tabla6[[#This Row],[Trenes Programados]]</f>
        <v>0.99298916507329504</v>
      </c>
      <c r="AP146" s="20">
        <v>3138</v>
      </c>
      <c r="AQ146" s="27">
        <f t="shared" si="39"/>
        <v>22</v>
      </c>
      <c r="AR146" s="20">
        <v>3116</v>
      </c>
      <c r="AS146" s="20">
        <v>3054</v>
      </c>
      <c r="AT146" s="20">
        <f t="shared" si="40"/>
        <v>62</v>
      </c>
      <c r="AU146" s="20"/>
      <c r="AV146" s="5"/>
      <c r="AW146" s="29">
        <v>2004</v>
      </c>
      <c r="AX146" s="38" t="s">
        <v>46</v>
      </c>
      <c r="AY146" s="35">
        <f>+MIT_Vic_Cap[[#This Row],[Trenes Puntuales]]/MIT_Vic_Cap[[#This Row],[Trenes Programados]]</f>
        <v>0.88934426229508201</v>
      </c>
      <c r="AZ146" s="35">
        <f>+MIT_Vic_Cap[[#This Row],[Trenes Puntuales]]/MIT_Vic_Cap[[#This Row],[Trenes Corridos]]</f>
        <v>0.9051094890510949</v>
      </c>
      <c r="BA146" s="35">
        <f>+MIT_Vic_Cap[[#This Row],[Trenes Corridos]]/MIT_Vic_Cap[[#This Row],[Trenes Programados]]</f>
        <v>0.98258196721311475</v>
      </c>
      <c r="BB146" s="20">
        <v>976</v>
      </c>
      <c r="BC146" s="27">
        <f t="shared" si="41"/>
        <v>17</v>
      </c>
      <c r="BD146" s="20">
        <v>959</v>
      </c>
      <c r="BE146" s="20">
        <v>868</v>
      </c>
      <c r="BF146" s="20">
        <f t="shared" si="42"/>
        <v>91</v>
      </c>
      <c r="BG146" s="20"/>
      <c r="BH146" s="5"/>
      <c r="BI146" s="29">
        <v>2004</v>
      </c>
      <c r="BJ146" s="38" t="s">
        <v>46</v>
      </c>
      <c r="BK146" s="35">
        <f>+Tabla8[[#This Row],[Trenes Puntuales]]/Tabla8[[#This Row],[Trenes Programados]]</f>
        <v>0.83263598326359833</v>
      </c>
      <c r="BL146" s="35">
        <f>+Tabla8[[#This Row],[Trenes Puntuales]]/Tabla8[[#This Row],[Trenes Corridos]]</f>
        <v>0.84501061571125269</v>
      </c>
      <c r="BM146" s="35">
        <f>+Tabla8[[#This Row],[Trenes Corridos]]/Tabla8[[#This Row],[Trenes Programados]]</f>
        <v>0.9853556485355649</v>
      </c>
      <c r="BN146" s="20">
        <v>956</v>
      </c>
      <c r="BO146" s="27">
        <f t="shared" si="43"/>
        <v>14</v>
      </c>
      <c r="BP146" s="20">
        <v>942</v>
      </c>
      <c r="BQ146" s="20">
        <v>796</v>
      </c>
      <c r="BR146" s="20">
        <f t="shared" si="44"/>
        <v>146</v>
      </c>
      <c r="BS146" s="29"/>
    </row>
    <row r="147" spans="1:71" s="3" customFormat="1" ht="12.75">
      <c r="A147" s="3">
        <v>2004</v>
      </c>
      <c r="B147" s="38" t="s">
        <v>47</v>
      </c>
      <c r="C147" s="25">
        <f>+MITRE[[#This Row],[Trenes Puntuales]]/MITRE[[#This Row],[Trenes Programados]]</f>
        <v>0.9051253371932364</v>
      </c>
      <c r="D147" s="25">
        <f>+MITRE[[#This Row],[Trenes Puntuales]]/MITRE[[#This Row],[Trenes Corridos]]</f>
        <v>0.91481579997340068</v>
      </c>
      <c r="E147" s="25">
        <f>+MITRE[[#This Row],[Trenes Corridos]]/MITRE[[#This Row],[Trenes Programados]]</f>
        <v>0.98940719784196329</v>
      </c>
      <c r="F147" s="27">
        <f t="shared" si="45"/>
        <v>15199</v>
      </c>
      <c r="G147" s="27">
        <f t="shared" si="46"/>
        <v>161</v>
      </c>
      <c r="H147" s="27">
        <f t="shared" si="47"/>
        <v>15038</v>
      </c>
      <c r="I147" s="27">
        <f t="shared" si="48"/>
        <v>13757</v>
      </c>
      <c r="J147" s="27">
        <f t="shared" si="49"/>
        <v>1281</v>
      </c>
      <c r="K147" s="27"/>
      <c r="L147" s="4"/>
      <c r="M147" s="29">
        <v>2004</v>
      </c>
      <c r="N147" s="38" t="s">
        <v>47</v>
      </c>
      <c r="O147" s="35">
        <f>+Tabla4[[#This Row],[Trenes Puntuales]]/Tabla4[[#This Row],[Trenes Programados]]</f>
        <v>0.8209269662921348</v>
      </c>
      <c r="P147" s="35">
        <f>+Tabla4[[#This Row],[Trenes Puntuales]]/Tabla4[[#This Row],[Trenes Corridos]]</f>
        <v>0.83470189218136381</v>
      </c>
      <c r="Q147" s="35">
        <f>+Tabla4[[#This Row],[Trenes Corridos]]/Tabla4[[#This Row],[Trenes Programados]]</f>
        <v>0.983497191011236</v>
      </c>
      <c r="R147" s="20">
        <v>5696</v>
      </c>
      <c r="S147" s="27">
        <f t="shared" si="35"/>
        <v>94</v>
      </c>
      <c r="T147" s="20">
        <v>5602</v>
      </c>
      <c r="U147" s="20">
        <v>4676</v>
      </c>
      <c r="V147" s="20">
        <f t="shared" si="36"/>
        <v>926</v>
      </c>
      <c r="W147" s="20"/>
      <c r="X147" s="5"/>
      <c r="Y147" s="29">
        <v>2004</v>
      </c>
      <c r="Z147" s="38" t="s">
        <v>47</v>
      </c>
      <c r="AA147" s="35">
        <f>+Tabla5[[#This Row],[Trenes Puntuales]]/Tabla5[[#This Row],[Trenes Programados]]</f>
        <v>0.96441605839416056</v>
      </c>
      <c r="AB147" s="35">
        <f>+Tabla5[[#This Row],[Trenes Puntuales]]/Tabla5[[#This Row],[Trenes Corridos]]</f>
        <v>0.96706312900274471</v>
      </c>
      <c r="AC147" s="35">
        <f>+Tabla5[[#This Row],[Trenes Corridos]]/Tabla5[[#This Row],[Trenes Programados]]</f>
        <v>0.99726277372262773</v>
      </c>
      <c r="AD147" s="20">
        <v>4384</v>
      </c>
      <c r="AE147" s="27">
        <f t="shared" si="37"/>
        <v>12</v>
      </c>
      <c r="AF147" s="20">
        <v>4372</v>
      </c>
      <c r="AG147" s="20">
        <v>4228</v>
      </c>
      <c r="AH147" s="20">
        <f t="shared" si="38"/>
        <v>144</v>
      </c>
      <c r="AI147" s="20"/>
      <c r="AJ147" s="5"/>
      <c r="AK147" s="29">
        <v>2004</v>
      </c>
      <c r="AL147" s="38" t="s">
        <v>47</v>
      </c>
      <c r="AM147" s="35">
        <f>+Tabla6[[#This Row],[Trenes Puntuales]]/Tabla6[[#This Row],[Trenes Programados]]</f>
        <v>0.98212045169385198</v>
      </c>
      <c r="AN147" s="35">
        <f>+Tabla6[[#This Row],[Trenes Puntuales]]/Tabla6[[#This Row],[Trenes Corridos]]</f>
        <v>0.98676331547431451</v>
      </c>
      <c r="AO147" s="35">
        <f>+Tabla6[[#This Row],[Trenes Corridos]]/Tabla6[[#This Row],[Trenes Programados]]</f>
        <v>0.99529485570890841</v>
      </c>
      <c r="AP147" s="20">
        <v>3188</v>
      </c>
      <c r="AQ147" s="27">
        <f t="shared" si="39"/>
        <v>15</v>
      </c>
      <c r="AR147" s="20">
        <v>3173</v>
      </c>
      <c r="AS147" s="20">
        <v>3131</v>
      </c>
      <c r="AT147" s="20">
        <f t="shared" si="40"/>
        <v>42</v>
      </c>
      <c r="AU147" s="20"/>
      <c r="AV147" s="5"/>
      <c r="AW147" s="29">
        <v>2004</v>
      </c>
      <c r="AX147" s="38" t="s">
        <v>47</v>
      </c>
      <c r="AY147" s="35">
        <f>+MIT_Vic_Cap[[#This Row],[Trenes Puntuales]]/MIT_Vic_Cap[[#This Row],[Trenes Programados]]</f>
        <v>0.88461538461538458</v>
      </c>
      <c r="AZ147" s="35">
        <f>+MIT_Vic_Cap[[#This Row],[Trenes Puntuales]]/MIT_Vic_Cap[[#This Row],[Trenes Corridos]]</f>
        <v>0.90569948186528493</v>
      </c>
      <c r="BA147" s="35">
        <f>+MIT_Vic_Cap[[#This Row],[Trenes Corridos]]/MIT_Vic_Cap[[#This Row],[Trenes Programados]]</f>
        <v>0.97672064777327938</v>
      </c>
      <c r="BB147" s="20">
        <v>988</v>
      </c>
      <c r="BC147" s="27">
        <f t="shared" si="41"/>
        <v>23</v>
      </c>
      <c r="BD147" s="20">
        <v>965</v>
      </c>
      <c r="BE147" s="20">
        <v>874</v>
      </c>
      <c r="BF147" s="20">
        <f t="shared" si="42"/>
        <v>91</v>
      </c>
      <c r="BG147" s="20"/>
      <c r="BH147" s="5"/>
      <c r="BI147" s="29">
        <v>2004</v>
      </c>
      <c r="BJ147" s="38" t="s">
        <v>47</v>
      </c>
      <c r="BK147" s="35">
        <f>+Tabla8[[#This Row],[Trenes Puntuales]]/Tabla8[[#This Row],[Trenes Programados]]</f>
        <v>0.89925768822905616</v>
      </c>
      <c r="BL147" s="35">
        <f>+Tabla8[[#This Row],[Trenes Puntuales]]/Tabla8[[#This Row],[Trenes Corridos]]</f>
        <v>0.91576673866090708</v>
      </c>
      <c r="BM147" s="35">
        <f>+Tabla8[[#This Row],[Trenes Corridos]]/Tabla8[[#This Row],[Trenes Programados]]</f>
        <v>0.98197242841993637</v>
      </c>
      <c r="BN147" s="20">
        <v>943</v>
      </c>
      <c r="BO147" s="27">
        <f t="shared" si="43"/>
        <v>17</v>
      </c>
      <c r="BP147" s="20">
        <v>926</v>
      </c>
      <c r="BQ147" s="20">
        <v>848</v>
      </c>
      <c r="BR147" s="20">
        <f t="shared" si="44"/>
        <v>78</v>
      </c>
      <c r="BS147" s="29"/>
    </row>
    <row r="148" spans="1:71" s="3" customFormat="1" ht="12.75">
      <c r="A148" s="3">
        <v>2004</v>
      </c>
      <c r="B148" s="38" t="s">
        <v>48</v>
      </c>
      <c r="C148" s="25">
        <f>+MITRE[[#This Row],[Trenes Puntuales]]/MITRE[[#This Row],[Trenes Programados]]</f>
        <v>0.86709193739313428</v>
      </c>
      <c r="D148" s="25">
        <f>+MITRE[[#This Row],[Trenes Puntuales]]/MITRE[[#This Row],[Trenes Corridos]]</f>
        <v>0.88907619689817941</v>
      </c>
      <c r="E148" s="25">
        <f>+MITRE[[#This Row],[Trenes Corridos]]/MITRE[[#This Row],[Trenes Programados]]</f>
        <v>0.97527291858476917</v>
      </c>
      <c r="F148" s="27">
        <f t="shared" si="45"/>
        <v>15206</v>
      </c>
      <c r="G148" s="27">
        <f t="shared" si="46"/>
        <v>376</v>
      </c>
      <c r="H148" s="27">
        <f t="shared" si="47"/>
        <v>14830</v>
      </c>
      <c r="I148" s="27">
        <f t="shared" si="48"/>
        <v>13185</v>
      </c>
      <c r="J148" s="27">
        <f t="shared" si="49"/>
        <v>1645</v>
      </c>
      <c r="K148" s="27"/>
      <c r="L148" s="4"/>
      <c r="M148" s="29">
        <v>2004</v>
      </c>
      <c r="N148" s="38" t="s">
        <v>48</v>
      </c>
      <c r="O148" s="35">
        <f>+Tabla4[[#This Row],[Trenes Puntuales]]/Tabla4[[#This Row],[Trenes Programados]]</f>
        <v>0.79812043160459445</v>
      </c>
      <c r="P148" s="35">
        <f>+Tabla4[[#This Row],[Trenes Puntuales]]/Tabla4[[#This Row],[Trenes Corridos]]</f>
        <v>0.81776034236804562</v>
      </c>
      <c r="Q148" s="35">
        <f>+Tabla4[[#This Row],[Trenes Corridos]]/Tabla4[[#This Row],[Trenes Programados]]</f>
        <v>0.97598329272537421</v>
      </c>
      <c r="R148" s="20">
        <v>5746</v>
      </c>
      <c r="S148" s="27">
        <f t="shared" si="35"/>
        <v>138</v>
      </c>
      <c r="T148" s="20">
        <v>5608</v>
      </c>
      <c r="U148" s="20">
        <v>4586</v>
      </c>
      <c r="V148" s="20">
        <f t="shared" si="36"/>
        <v>1022</v>
      </c>
      <c r="W148" s="20"/>
      <c r="X148" s="5"/>
      <c r="Y148" s="29">
        <v>2004</v>
      </c>
      <c r="Z148" s="38" t="s">
        <v>48</v>
      </c>
      <c r="AA148" s="35">
        <f>+Tabla5[[#This Row],[Trenes Puntuales]]/Tabla5[[#This Row],[Trenes Programados]]</f>
        <v>0.91776765375854219</v>
      </c>
      <c r="AB148" s="35">
        <f>+Tabla5[[#This Row],[Trenes Puntuales]]/Tabla5[[#This Row],[Trenes Corridos]]</f>
        <v>0.94245614035087721</v>
      </c>
      <c r="AC148" s="35">
        <f>+Tabla5[[#This Row],[Trenes Corridos]]/Tabla5[[#This Row],[Trenes Programados]]</f>
        <v>0.9738041002277904</v>
      </c>
      <c r="AD148" s="20">
        <v>4390</v>
      </c>
      <c r="AE148" s="27">
        <f t="shared" si="37"/>
        <v>115</v>
      </c>
      <c r="AF148" s="20">
        <v>4275</v>
      </c>
      <c r="AG148" s="20">
        <v>4029</v>
      </c>
      <c r="AH148" s="20">
        <f t="shared" si="38"/>
        <v>246</v>
      </c>
      <c r="AI148" s="20"/>
      <c r="AJ148" s="5"/>
      <c r="AK148" s="29">
        <v>2004</v>
      </c>
      <c r="AL148" s="38" t="s">
        <v>48</v>
      </c>
      <c r="AM148" s="35">
        <f>+Tabla6[[#This Row],[Trenes Puntuales]]/Tabla6[[#This Row],[Trenes Programados]]</f>
        <v>0.95283620140216696</v>
      </c>
      <c r="AN148" s="35">
        <f>+Tabla6[[#This Row],[Trenes Puntuales]]/Tabla6[[#This Row],[Trenes Corridos]]</f>
        <v>0.9720416124837451</v>
      </c>
      <c r="AO148" s="35">
        <f>+Tabla6[[#This Row],[Trenes Corridos]]/Tabla6[[#This Row],[Trenes Programados]]</f>
        <v>0.98024219247928612</v>
      </c>
      <c r="AP148" s="20">
        <v>3138</v>
      </c>
      <c r="AQ148" s="27">
        <f t="shared" si="39"/>
        <v>62</v>
      </c>
      <c r="AR148" s="20">
        <v>3076</v>
      </c>
      <c r="AS148" s="20">
        <v>2990</v>
      </c>
      <c r="AT148" s="20">
        <f t="shared" si="40"/>
        <v>86</v>
      </c>
      <c r="AU148" s="20"/>
      <c r="AV148" s="5"/>
      <c r="AW148" s="29">
        <v>2004</v>
      </c>
      <c r="AX148" s="38" t="s">
        <v>48</v>
      </c>
      <c r="AY148" s="35">
        <f>+MIT_Vic_Cap[[#This Row],[Trenes Puntuales]]/MIT_Vic_Cap[[#This Row],[Trenes Programados]]</f>
        <v>0.86577868852459017</v>
      </c>
      <c r="AZ148" s="35">
        <f>+MIT_Vic_Cap[[#This Row],[Trenes Puntuales]]/MIT_Vic_Cap[[#This Row],[Trenes Corridos]]</f>
        <v>0.88760504201680668</v>
      </c>
      <c r="BA148" s="35">
        <f>+MIT_Vic_Cap[[#This Row],[Trenes Corridos]]/MIT_Vic_Cap[[#This Row],[Trenes Programados]]</f>
        <v>0.97540983606557374</v>
      </c>
      <c r="BB148" s="20">
        <v>976</v>
      </c>
      <c r="BC148" s="27">
        <f t="shared" si="41"/>
        <v>24</v>
      </c>
      <c r="BD148" s="20">
        <v>952</v>
      </c>
      <c r="BE148" s="20">
        <v>845</v>
      </c>
      <c r="BF148" s="20">
        <f t="shared" si="42"/>
        <v>107</v>
      </c>
      <c r="BG148" s="20"/>
      <c r="BH148" s="5"/>
      <c r="BI148" s="29">
        <v>2004</v>
      </c>
      <c r="BJ148" s="38" t="s">
        <v>48</v>
      </c>
      <c r="BK148" s="35">
        <f>+Tabla8[[#This Row],[Trenes Puntuales]]/Tabla8[[#This Row],[Trenes Programados]]</f>
        <v>0.76882845188284521</v>
      </c>
      <c r="BL148" s="35">
        <f>+Tabla8[[#This Row],[Trenes Puntuales]]/Tabla8[[#This Row],[Trenes Corridos]]</f>
        <v>0.79978237214363435</v>
      </c>
      <c r="BM148" s="35">
        <f>+Tabla8[[#This Row],[Trenes Corridos]]/Tabla8[[#This Row],[Trenes Programados]]</f>
        <v>0.96129707112970708</v>
      </c>
      <c r="BN148" s="20">
        <v>956</v>
      </c>
      <c r="BO148" s="27">
        <f t="shared" si="43"/>
        <v>37</v>
      </c>
      <c r="BP148" s="20">
        <v>919</v>
      </c>
      <c r="BQ148" s="20">
        <v>735</v>
      </c>
      <c r="BR148" s="20">
        <f t="shared" si="44"/>
        <v>184</v>
      </c>
      <c r="BS148" s="29"/>
    </row>
    <row r="149" spans="1:71" s="3" customFormat="1" ht="12.75">
      <c r="A149" s="3">
        <v>2004</v>
      </c>
      <c r="B149" s="38" t="s">
        <v>49</v>
      </c>
      <c r="C149" s="25">
        <f>+MITRE[[#This Row],[Trenes Puntuales]]/MITRE[[#This Row],[Trenes Programados]]</f>
        <v>0.88499704278110014</v>
      </c>
      <c r="D149" s="25">
        <f>+MITRE[[#This Row],[Trenes Puntuales]]/MITRE[[#This Row],[Trenes Corridos]]</f>
        <v>0.91134871760167824</v>
      </c>
      <c r="E149" s="25">
        <f>+MITRE[[#This Row],[Trenes Corridos]]/MITRE[[#This Row],[Trenes Programados]]</f>
        <v>0.97108497075639089</v>
      </c>
      <c r="F149" s="27">
        <f t="shared" si="45"/>
        <v>15217</v>
      </c>
      <c r="G149" s="27">
        <f t="shared" si="46"/>
        <v>440</v>
      </c>
      <c r="H149" s="27">
        <f t="shared" si="47"/>
        <v>14777</v>
      </c>
      <c r="I149" s="27">
        <f t="shared" si="48"/>
        <v>13467</v>
      </c>
      <c r="J149" s="27">
        <f t="shared" si="49"/>
        <v>1310</v>
      </c>
      <c r="K149" s="27"/>
      <c r="L149" s="4"/>
      <c r="M149" s="29">
        <v>2004</v>
      </c>
      <c r="N149" s="38" t="s">
        <v>49</v>
      </c>
      <c r="O149" s="35">
        <f>+Tabla4[[#This Row],[Trenes Puntuales]]/Tabla4[[#This Row],[Trenes Programados]]</f>
        <v>0.86468705547652913</v>
      </c>
      <c r="P149" s="35">
        <f>+Tabla4[[#This Row],[Trenes Puntuales]]/Tabla4[[#This Row],[Trenes Corridos]]</f>
        <v>0.8987248198114951</v>
      </c>
      <c r="Q149" s="35">
        <f>+Tabla4[[#This Row],[Trenes Corridos]]/Tabla4[[#This Row],[Trenes Programados]]</f>
        <v>0.96212660028449504</v>
      </c>
      <c r="R149" s="20">
        <v>5624</v>
      </c>
      <c r="S149" s="27">
        <f t="shared" si="35"/>
        <v>213</v>
      </c>
      <c r="T149" s="20">
        <v>5411</v>
      </c>
      <c r="U149" s="20">
        <v>4863</v>
      </c>
      <c r="V149" s="20">
        <f t="shared" si="36"/>
        <v>548</v>
      </c>
      <c r="W149" s="20"/>
      <c r="X149" s="5"/>
      <c r="Y149" s="29">
        <v>2004</v>
      </c>
      <c r="Z149" s="38" t="s">
        <v>49</v>
      </c>
      <c r="AA149" s="35">
        <f>+Tabla5[[#This Row],[Trenes Puntuales]]/Tabla5[[#This Row],[Trenes Programados]]</f>
        <v>0.93617501127649982</v>
      </c>
      <c r="AB149" s="35">
        <f>+Tabla5[[#This Row],[Trenes Puntuales]]/Tabla5[[#This Row],[Trenes Corridos]]</f>
        <v>0.94923393551337754</v>
      </c>
      <c r="AC149" s="35">
        <f>+Tabla5[[#This Row],[Trenes Corridos]]/Tabla5[[#This Row],[Trenes Programados]]</f>
        <v>0.98624267027514656</v>
      </c>
      <c r="AD149" s="20">
        <v>4434</v>
      </c>
      <c r="AE149" s="27">
        <f t="shared" si="37"/>
        <v>61</v>
      </c>
      <c r="AF149" s="20">
        <v>4373</v>
      </c>
      <c r="AG149" s="20">
        <v>4151</v>
      </c>
      <c r="AH149" s="20">
        <f t="shared" si="38"/>
        <v>222</v>
      </c>
      <c r="AI149" s="20"/>
      <c r="AJ149" s="5"/>
      <c r="AK149" s="29">
        <v>2004</v>
      </c>
      <c r="AL149" s="38" t="s">
        <v>49</v>
      </c>
      <c r="AM149" s="35">
        <f>+Tabla6[[#This Row],[Trenes Puntuales]]/Tabla6[[#This Row],[Trenes Programados]]</f>
        <v>0.9500312304809494</v>
      </c>
      <c r="AN149" s="35">
        <f>+Tabla6[[#This Row],[Trenes Puntuales]]/Tabla6[[#This Row],[Trenes Corridos]]</f>
        <v>0.96971628944851773</v>
      </c>
      <c r="AO149" s="35">
        <f>+Tabla6[[#This Row],[Trenes Corridos]]/Tabla6[[#This Row],[Trenes Programados]]</f>
        <v>0.97970018738288567</v>
      </c>
      <c r="AP149" s="20">
        <v>3202</v>
      </c>
      <c r="AQ149" s="27">
        <f t="shared" si="39"/>
        <v>65</v>
      </c>
      <c r="AR149" s="20">
        <v>3137</v>
      </c>
      <c r="AS149" s="20">
        <v>3042</v>
      </c>
      <c r="AT149" s="20">
        <f t="shared" si="40"/>
        <v>95</v>
      </c>
      <c r="AU149" s="20"/>
      <c r="AV149" s="5"/>
      <c r="AW149" s="29">
        <v>2004</v>
      </c>
      <c r="AX149" s="38" t="s">
        <v>49</v>
      </c>
      <c r="AY149" s="35">
        <f>+MIT_Vic_Cap[[#This Row],[Trenes Puntuales]]/MIT_Vic_Cap[[#This Row],[Trenes Programados]]</f>
        <v>0.72368421052631582</v>
      </c>
      <c r="AZ149" s="35">
        <f>+MIT_Vic_Cap[[#This Row],[Trenes Puntuales]]/MIT_Vic_Cap[[#This Row],[Trenes Corridos]]</f>
        <v>0.77380952380952384</v>
      </c>
      <c r="BA149" s="35">
        <f>+MIT_Vic_Cap[[#This Row],[Trenes Corridos]]/MIT_Vic_Cap[[#This Row],[Trenes Programados]]</f>
        <v>0.93522267206477738</v>
      </c>
      <c r="BB149" s="20">
        <v>988</v>
      </c>
      <c r="BC149" s="27">
        <f t="shared" si="41"/>
        <v>64</v>
      </c>
      <c r="BD149" s="20">
        <v>924</v>
      </c>
      <c r="BE149" s="20">
        <v>715</v>
      </c>
      <c r="BF149" s="20">
        <f t="shared" si="42"/>
        <v>209</v>
      </c>
      <c r="BG149" s="20"/>
      <c r="BH149" s="5"/>
      <c r="BI149" s="29">
        <v>2004</v>
      </c>
      <c r="BJ149" s="38" t="s">
        <v>49</v>
      </c>
      <c r="BK149" s="35">
        <f>+Tabla8[[#This Row],[Trenes Puntuales]]/Tabla8[[#This Row],[Trenes Programados]]</f>
        <v>0.71826625386996901</v>
      </c>
      <c r="BL149" s="35">
        <f>+Tabla8[[#This Row],[Trenes Puntuales]]/Tabla8[[#This Row],[Trenes Corridos]]</f>
        <v>0.74678111587982832</v>
      </c>
      <c r="BM149" s="35">
        <f>+Tabla8[[#This Row],[Trenes Corridos]]/Tabla8[[#This Row],[Trenes Programados]]</f>
        <v>0.96181630546955621</v>
      </c>
      <c r="BN149" s="20">
        <v>969</v>
      </c>
      <c r="BO149" s="27">
        <f t="shared" si="43"/>
        <v>37</v>
      </c>
      <c r="BP149" s="20">
        <v>932</v>
      </c>
      <c r="BQ149" s="20">
        <v>696</v>
      </c>
      <c r="BR149" s="20">
        <f t="shared" si="44"/>
        <v>236</v>
      </c>
      <c r="BS149" s="29"/>
    </row>
    <row r="150" spans="1:71" s="3" customFormat="1" ht="12.75">
      <c r="A150" s="3">
        <v>2005</v>
      </c>
      <c r="B150" s="38" t="s">
        <v>38</v>
      </c>
      <c r="C150" s="25">
        <f>+MITRE[[#This Row],[Trenes Puntuales]]/MITRE[[#This Row],[Trenes Programados]]</f>
        <v>0.89181286549707606</v>
      </c>
      <c r="D150" s="25">
        <f>+MITRE[[#This Row],[Trenes Puntuales]]/MITRE[[#This Row],[Trenes Corridos]]</f>
        <v>0.91404440811878496</v>
      </c>
      <c r="E150" s="25">
        <f>+MITRE[[#This Row],[Trenes Corridos]]/MITRE[[#This Row],[Trenes Programados]]</f>
        <v>0.97567783094098881</v>
      </c>
      <c r="F150" s="27">
        <f t="shared" si="45"/>
        <v>15048</v>
      </c>
      <c r="G150" s="27">
        <f t="shared" si="46"/>
        <v>366</v>
      </c>
      <c r="H150" s="27">
        <f t="shared" si="47"/>
        <v>14682</v>
      </c>
      <c r="I150" s="27">
        <f t="shared" si="48"/>
        <v>13420</v>
      </c>
      <c r="J150" s="27">
        <f t="shared" si="49"/>
        <v>1262</v>
      </c>
      <c r="K150" s="27"/>
      <c r="L150" s="4"/>
      <c r="M150" s="29">
        <v>2005</v>
      </c>
      <c r="N150" s="38" t="s">
        <v>38</v>
      </c>
      <c r="O150" s="35">
        <f>+Tabla4[[#This Row],[Trenes Puntuales]]/Tabla4[[#This Row],[Trenes Programados]]</f>
        <v>0.87854545454545452</v>
      </c>
      <c r="P150" s="35">
        <f>+Tabla4[[#This Row],[Trenes Puntuales]]/Tabla4[[#This Row],[Trenes Corridos]]</f>
        <v>0.89349112426035504</v>
      </c>
      <c r="Q150" s="35">
        <f>+Tabla4[[#This Row],[Trenes Corridos]]/Tabla4[[#This Row],[Trenes Programados]]</f>
        <v>0.9832727272727273</v>
      </c>
      <c r="R150" s="20">
        <v>5500</v>
      </c>
      <c r="S150" s="27">
        <f t="shared" ref="S150:S161" si="50">R150-T150</f>
        <v>92</v>
      </c>
      <c r="T150" s="20">
        <v>5408</v>
      </c>
      <c r="U150" s="20">
        <v>4832</v>
      </c>
      <c r="V150" s="20">
        <f t="shared" ref="V150:V161" si="51">T150-U150</f>
        <v>576</v>
      </c>
      <c r="W150" s="20"/>
      <c r="X150" s="5"/>
      <c r="Y150" s="29">
        <v>2005</v>
      </c>
      <c r="Z150" s="38" t="s">
        <v>38</v>
      </c>
      <c r="AA150" s="35">
        <f>+Tabla5[[#This Row],[Trenes Puntuales]]/Tabla5[[#This Row],[Trenes Programados]]</f>
        <v>0.93195735994556583</v>
      </c>
      <c r="AB150" s="35">
        <f>+Tabla5[[#This Row],[Trenes Puntuales]]/Tabla5[[#This Row],[Trenes Corridos]]</f>
        <v>0.95181839240213106</v>
      </c>
      <c r="AC150" s="35">
        <f>+Tabla5[[#This Row],[Trenes Corridos]]/Tabla5[[#This Row],[Trenes Programados]]</f>
        <v>0.97913359038330683</v>
      </c>
      <c r="AD150" s="20">
        <v>4409</v>
      </c>
      <c r="AE150" s="27">
        <f t="shared" ref="AE150:AE161" si="52">AD150-AF150</f>
        <v>92</v>
      </c>
      <c r="AF150" s="20">
        <v>4317</v>
      </c>
      <c r="AG150" s="20">
        <v>4109</v>
      </c>
      <c r="AH150" s="20">
        <f t="shared" ref="AH150:AH161" si="53">AF150-AG150</f>
        <v>208</v>
      </c>
      <c r="AI150" s="20"/>
      <c r="AJ150" s="5"/>
      <c r="AK150" s="29">
        <v>2005</v>
      </c>
      <c r="AL150" s="38" t="s">
        <v>38</v>
      </c>
      <c r="AM150" s="35">
        <f>+Tabla6[[#This Row],[Trenes Puntuales]]/Tabla6[[#This Row],[Trenes Programados]]</f>
        <v>0.95492957746478868</v>
      </c>
      <c r="AN150" s="35">
        <f>+Tabla6[[#This Row],[Trenes Puntuales]]/Tabla6[[#This Row],[Trenes Corridos]]</f>
        <v>0.97134670487106012</v>
      </c>
      <c r="AO150" s="35">
        <f>+Tabla6[[#This Row],[Trenes Corridos]]/Tabla6[[#This Row],[Trenes Programados]]</f>
        <v>0.9830985915492958</v>
      </c>
      <c r="AP150" s="20">
        <v>3195</v>
      </c>
      <c r="AQ150" s="27">
        <f t="shared" ref="AQ150:AQ161" si="54">AP150-AR150</f>
        <v>54</v>
      </c>
      <c r="AR150" s="20">
        <v>3141</v>
      </c>
      <c r="AS150" s="20">
        <v>3051</v>
      </c>
      <c r="AT150" s="20">
        <f t="shared" ref="AT150:AT161" si="55">AR150-AS150</f>
        <v>90</v>
      </c>
      <c r="AU150" s="20"/>
      <c r="AV150" s="5"/>
      <c r="AW150" s="29">
        <v>2005</v>
      </c>
      <c r="AX150" s="38" t="s">
        <v>38</v>
      </c>
      <c r="AY150" s="35">
        <f>+MIT_Vic_Cap[[#This Row],[Trenes Puntuales]]/MIT_Vic_Cap[[#This Row],[Trenes Programados]]</f>
        <v>0.77429149797570851</v>
      </c>
      <c r="AZ150" s="35">
        <f>+MIT_Vic_Cap[[#This Row],[Trenes Puntuales]]/MIT_Vic_Cap[[#This Row],[Trenes Corridos]]</f>
        <v>0.81730769230769229</v>
      </c>
      <c r="BA150" s="35">
        <f>+MIT_Vic_Cap[[#This Row],[Trenes Corridos]]/MIT_Vic_Cap[[#This Row],[Trenes Programados]]</f>
        <v>0.94736842105263153</v>
      </c>
      <c r="BB150" s="20">
        <v>988</v>
      </c>
      <c r="BC150" s="27">
        <f t="shared" ref="BC150:BC161" si="56">BB150-BD150</f>
        <v>52</v>
      </c>
      <c r="BD150" s="20">
        <v>936</v>
      </c>
      <c r="BE150" s="20">
        <v>765</v>
      </c>
      <c r="BF150" s="20">
        <f t="shared" ref="BF150:BF161" si="57">BD150-BE150</f>
        <v>171</v>
      </c>
      <c r="BG150" s="20"/>
      <c r="BH150" s="5"/>
      <c r="BI150" s="29">
        <v>2005</v>
      </c>
      <c r="BJ150" s="38" t="s">
        <v>38</v>
      </c>
      <c r="BK150" s="35">
        <f>+Tabla8[[#This Row],[Trenes Puntuales]]/Tabla8[[#This Row],[Trenes Programados]]</f>
        <v>0.69351464435146448</v>
      </c>
      <c r="BL150" s="35">
        <f>+Tabla8[[#This Row],[Trenes Puntuales]]/Tabla8[[#This Row],[Trenes Corridos]]</f>
        <v>0.75340909090909092</v>
      </c>
      <c r="BM150" s="35">
        <f>+Tabla8[[#This Row],[Trenes Corridos]]/Tabla8[[#This Row],[Trenes Programados]]</f>
        <v>0.92050209205020916</v>
      </c>
      <c r="BN150" s="20">
        <v>956</v>
      </c>
      <c r="BO150" s="27">
        <f t="shared" ref="BO150:BO161" si="58">BN150-BP150</f>
        <v>76</v>
      </c>
      <c r="BP150" s="20">
        <v>880</v>
      </c>
      <c r="BQ150" s="20">
        <v>663</v>
      </c>
      <c r="BR150" s="20">
        <f t="shared" ref="BR150:BR161" si="59">BP150-BQ150</f>
        <v>217</v>
      </c>
      <c r="BS150" s="29"/>
    </row>
    <row r="151" spans="1:71" s="3" customFormat="1" ht="12.75">
      <c r="A151" s="3">
        <v>2005</v>
      </c>
      <c r="B151" s="38" t="s">
        <v>39</v>
      </c>
      <c r="C151" s="25">
        <f>+MITRE[[#This Row],[Trenes Puntuales]]/MITRE[[#This Row],[Trenes Programados]]</f>
        <v>0.86634448932487018</v>
      </c>
      <c r="D151" s="25">
        <f>+MITRE[[#This Row],[Trenes Puntuales]]/MITRE[[#This Row],[Trenes Corridos]]</f>
        <v>0.89049525504151839</v>
      </c>
      <c r="E151" s="25">
        <f>+MITRE[[#This Row],[Trenes Corridos]]/MITRE[[#This Row],[Trenes Programados]]</f>
        <v>0.97287939988459315</v>
      </c>
      <c r="F151" s="27">
        <f t="shared" si="45"/>
        <v>13864</v>
      </c>
      <c r="G151" s="27">
        <f t="shared" si="46"/>
        <v>376</v>
      </c>
      <c r="H151" s="27">
        <f t="shared" si="47"/>
        <v>13488</v>
      </c>
      <c r="I151" s="27">
        <f t="shared" si="48"/>
        <v>12011</v>
      </c>
      <c r="J151" s="27">
        <f t="shared" si="49"/>
        <v>1477</v>
      </c>
      <c r="K151" s="27"/>
      <c r="L151" s="4"/>
      <c r="M151" s="29">
        <v>2005</v>
      </c>
      <c r="N151" s="38" t="s">
        <v>39</v>
      </c>
      <c r="O151" s="35">
        <f>+Tabla4[[#This Row],[Trenes Puntuales]]/Tabla4[[#This Row],[Trenes Programados]]</f>
        <v>0.78917322834645665</v>
      </c>
      <c r="P151" s="35">
        <f>+Tabla4[[#This Row],[Trenes Puntuales]]/Tabla4[[#This Row],[Trenes Corridos]]</f>
        <v>0.82404933196300101</v>
      </c>
      <c r="Q151" s="35">
        <f>+Tabla4[[#This Row],[Trenes Corridos]]/Tabla4[[#This Row],[Trenes Programados]]</f>
        <v>0.95767716535433067</v>
      </c>
      <c r="R151" s="20">
        <v>5080</v>
      </c>
      <c r="S151" s="27">
        <f t="shared" si="50"/>
        <v>215</v>
      </c>
      <c r="T151" s="20">
        <v>4865</v>
      </c>
      <c r="U151" s="20">
        <v>4009</v>
      </c>
      <c r="V151" s="20">
        <f t="shared" si="51"/>
        <v>856</v>
      </c>
      <c r="W151" s="20"/>
      <c r="X151" s="5"/>
      <c r="Y151" s="29">
        <v>2005</v>
      </c>
      <c r="Z151" s="38" t="s">
        <v>39</v>
      </c>
      <c r="AA151" s="35">
        <f>+Tabla5[[#This Row],[Trenes Puntuales]]/Tabla5[[#This Row],[Trenes Programados]]</f>
        <v>0.94130648330058941</v>
      </c>
      <c r="AB151" s="35">
        <f>+Tabla5[[#This Row],[Trenes Puntuales]]/Tabla5[[#This Row],[Trenes Corridos]]</f>
        <v>0.9537198308036825</v>
      </c>
      <c r="AC151" s="35">
        <f>+Tabla5[[#This Row],[Trenes Corridos]]/Tabla5[[#This Row],[Trenes Programados]]</f>
        <v>0.98698428290766205</v>
      </c>
      <c r="AD151" s="20">
        <v>4072</v>
      </c>
      <c r="AE151" s="27">
        <f t="shared" si="52"/>
        <v>53</v>
      </c>
      <c r="AF151" s="20">
        <v>4019</v>
      </c>
      <c r="AG151" s="20">
        <v>3833</v>
      </c>
      <c r="AH151" s="20">
        <f t="shared" si="53"/>
        <v>186</v>
      </c>
      <c r="AI151" s="20"/>
      <c r="AJ151" s="5"/>
      <c r="AK151" s="29">
        <v>2005</v>
      </c>
      <c r="AL151" s="38" t="s">
        <v>39</v>
      </c>
      <c r="AM151" s="35">
        <f>+Tabla6[[#This Row],[Trenes Puntuales]]/Tabla6[[#This Row],[Trenes Programados]]</f>
        <v>0.94897260273972606</v>
      </c>
      <c r="AN151" s="35">
        <f>+Tabla6[[#This Row],[Trenes Puntuales]]/Tabla6[[#This Row],[Trenes Corridos]]</f>
        <v>0.96820405310971347</v>
      </c>
      <c r="AO151" s="35">
        <f>+Tabla6[[#This Row],[Trenes Corridos]]/Tabla6[[#This Row],[Trenes Programados]]</f>
        <v>0.98013698630136992</v>
      </c>
      <c r="AP151" s="20">
        <v>2920</v>
      </c>
      <c r="AQ151" s="27">
        <f t="shared" si="54"/>
        <v>58</v>
      </c>
      <c r="AR151" s="20">
        <v>2862</v>
      </c>
      <c r="AS151" s="20">
        <v>2771</v>
      </c>
      <c r="AT151" s="20">
        <f t="shared" si="55"/>
        <v>91</v>
      </c>
      <c r="AU151" s="20"/>
      <c r="AV151" s="5"/>
      <c r="AW151" s="29">
        <v>2005</v>
      </c>
      <c r="AX151" s="38" t="s">
        <v>39</v>
      </c>
      <c r="AY151" s="35">
        <f>+MIT_Vic_Cap[[#This Row],[Trenes Puntuales]]/MIT_Vic_Cap[[#This Row],[Trenes Programados]]</f>
        <v>0.77312775330396477</v>
      </c>
      <c r="AZ151" s="35">
        <f>+MIT_Vic_Cap[[#This Row],[Trenes Puntuales]]/MIT_Vic_Cap[[#This Row],[Trenes Corridos]]</f>
        <v>0.79591836734693877</v>
      </c>
      <c r="BA151" s="35">
        <f>+MIT_Vic_Cap[[#This Row],[Trenes Corridos]]/MIT_Vic_Cap[[#This Row],[Trenes Programados]]</f>
        <v>0.97136563876651982</v>
      </c>
      <c r="BB151" s="20">
        <v>908</v>
      </c>
      <c r="BC151" s="27">
        <f t="shared" si="56"/>
        <v>26</v>
      </c>
      <c r="BD151" s="20">
        <v>882</v>
      </c>
      <c r="BE151" s="20">
        <v>702</v>
      </c>
      <c r="BF151" s="20">
        <f t="shared" si="57"/>
        <v>180</v>
      </c>
      <c r="BG151" s="20"/>
      <c r="BH151" s="5"/>
      <c r="BI151" s="29">
        <v>2005</v>
      </c>
      <c r="BJ151" s="38" t="s">
        <v>39</v>
      </c>
      <c r="BK151" s="35">
        <f>+Tabla8[[#This Row],[Trenes Puntuales]]/Tabla8[[#This Row],[Trenes Programados]]</f>
        <v>0.78733031674208143</v>
      </c>
      <c r="BL151" s="35">
        <f>+Tabla8[[#This Row],[Trenes Puntuales]]/Tabla8[[#This Row],[Trenes Corridos]]</f>
        <v>0.80930232558139537</v>
      </c>
      <c r="BM151" s="35">
        <f>+Tabla8[[#This Row],[Trenes Corridos]]/Tabla8[[#This Row],[Trenes Programados]]</f>
        <v>0.97285067873303166</v>
      </c>
      <c r="BN151" s="20">
        <v>884</v>
      </c>
      <c r="BO151" s="27">
        <f t="shared" si="58"/>
        <v>24</v>
      </c>
      <c r="BP151" s="20">
        <v>860</v>
      </c>
      <c r="BQ151" s="20">
        <v>696</v>
      </c>
      <c r="BR151" s="20">
        <f t="shared" si="59"/>
        <v>164</v>
      </c>
      <c r="BS151" s="29"/>
    </row>
    <row r="152" spans="1:71" s="3" customFormat="1" ht="12.75">
      <c r="A152" s="3">
        <v>2005</v>
      </c>
      <c r="B152" s="38" t="s">
        <v>40</v>
      </c>
      <c r="C152" s="25">
        <f>+MITRE[[#This Row],[Trenes Puntuales]]/MITRE[[#This Row],[Trenes Programados]]</f>
        <v>0.8482604992465439</v>
      </c>
      <c r="D152" s="25">
        <f>+MITRE[[#This Row],[Trenes Puntuales]]/MITRE[[#This Row],[Trenes Corridos]]</f>
        <v>0.87450185748058085</v>
      </c>
      <c r="E152" s="25">
        <f>+MITRE[[#This Row],[Trenes Corridos]]/MITRE[[#This Row],[Trenes Programados]]</f>
        <v>0.96999279302889341</v>
      </c>
      <c r="F152" s="27">
        <f t="shared" si="45"/>
        <v>15263</v>
      </c>
      <c r="G152" s="27">
        <f t="shared" si="46"/>
        <v>458</v>
      </c>
      <c r="H152" s="27">
        <f t="shared" si="47"/>
        <v>14805</v>
      </c>
      <c r="I152" s="27">
        <f t="shared" si="48"/>
        <v>12947</v>
      </c>
      <c r="J152" s="27">
        <f t="shared" si="49"/>
        <v>1858</v>
      </c>
      <c r="K152" s="27"/>
      <c r="L152" s="4"/>
      <c r="M152" s="29">
        <v>2005</v>
      </c>
      <c r="N152" s="38" t="s">
        <v>40</v>
      </c>
      <c r="O152" s="35">
        <f>+Tabla4[[#This Row],[Trenes Puntuales]]/Tabla4[[#This Row],[Trenes Programados]]</f>
        <v>0.85670840787119862</v>
      </c>
      <c r="P152" s="35">
        <f>+Tabla4[[#This Row],[Trenes Puntuales]]/Tabla4[[#This Row],[Trenes Corridos]]</f>
        <v>0.87871559633027518</v>
      </c>
      <c r="Q152" s="35">
        <f>+Tabla4[[#This Row],[Trenes Corridos]]/Tabla4[[#This Row],[Trenes Programados]]</f>
        <v>0.97495527728085862</v>
      </c>
      <c r="R152" s="20">
        <v>5590</v>
      </c>
      <c r="S152" s="27">
        <f t="shared" si="50"/>
        <v>140</v>
      </c>
      <c r="T152" s="20">
        <v>5450</v>
      </c>
      <c r="U152" s="20">
        <v>4789</v>
      </c>
      <c r="V152" s="20">
        <f t="shared" si="51"/>
        <v>661</v>
      </c>
      <c r="W152" s="20"/>
      <c r="X152" s="5"/>
      <c r="Y152" s="29">
        <v>2005</v>
      </c>
      <c r="Z152" s="38" t="s">
        <v>40</v>
      </c>
      <c r="AA152" s="35">
        <f>+Tabla5[[#This Row],[Trenes Puntuales]]/Tabla5[[#This Row],[Trenes Programados]]</f>
        <v>0.86514847064076805</v>
      </c>
      <c r="AB152" s="35">
        <f>+Tabla5[[#This Row],[Trenes Puntuales]]/Tabla5[[#This Row],[Trenes Corridos]]</f>
        <v>0.89019067309901223</v>
      </c>
      <c r="AC152" s="35">
        <f>+Tabla5[[#This Row],[Trenes Corridos]]/Tabla5[[#This Row],[Trenes Programados]]</f>
        <v>0.97186872069658403</v>
      </c>
      <c r="AD152" s="20">
        <v>4479</v>
      </c>
      <c r="AE152" s="27">
        <f t="shared" si="52"/>
        <v>126</v>
      </c>
      <c r="AF152" s="20">
        <v>4353</v>
      </c>
      <c r="AG152" s="20">
        <v>3875</v>
      </c>
      <c r="AH152" s="20">
        <f t="shared" si="53"/>
        <v>478</v>
      </c>
      <c r="AI152" s="20"/>
      <c r="AJ152" s="5"/>
      <c r="AK152" s="29">
        <v>2005</v>
      </c>
      <c r="AL152" s="38" t="s">
        <v>40</v>
      </c>
      <c r="AM152" s="35">
        <f>+Tabla6[[#This Row],[Trenes Puntuales]]/Tabla6[[#This Row],[Trenes Programados]]</f>
        <v>0.88512884197454211</v>
      </c>
      <c r="AN152" s="35">
        <f>+Tabla6[[#This Row],[Trenes Puntuales]]/Tabla6[[#This Row],[Trenes Corridos]]</f>
        <v>0.91348926626081384</v>
      </c>
      <c r="AO152" s="35">
        <f>+Tabla6[[#This Row],[Trenes Corridos]]/Tabla6[[#This Row],[Trenes Programados]]</f>
        <v>0.96895374107420051</v>
      </c>
      <c r="AP152" s="20">
        <v>3221</v>
      </c>
      <c r="AQ152" s="27">
        <f t="shared" si="54"/>
        <v>100</v>
      </c>
      <c r="AR152" s="20">
        <v>3121</v>
      </c>
      <c r="AS152" s="20">
        <v>2851</v>
      </c>
      <c r="AT152" s="20">
        <f t="shared" si="55"/>
        <v>270</v>
      </c>
      <c r="AU152" s="20"/>
      <c r="AV152" s="5"/>
      <c r="AW152" s="29">
        <v>2005</v>
      </c>
      <c r="AX152" s="38" t="s">
        <v>40</v>
      </c>
      <c r="AY152" s="35">
        <f>+MIT_Vic_Cap[[#This Row],[Trenes Puntuales]]/MIT_Vic_Cap[[#This Row],[Trenes Programados]]</f>
        <v>0.7357357357357357</v>
      </c>
      <c r="AZ152" s="35">
        <f>+MIT_Vic_Cap[[#This Row],[Trenes Puntuales]]/MIT_Vic_Cap[[#This Row],[Trenes Corridos]]</f>
        <v>0.77695560253699791</v>
      </c>
      <c r="BA152" s="35">
        <f>+MIT_Vic_Cap[[#This Row],[Trenes Corridos]]/MIT_Vic_Cap[[#This Row],[Trenes Programados]]</f>
        <v>0.94694694694694692</v>
      </c>
      <c r="BB152" s="20">
        <v>999</v>
      </c>
      <c r="BC152" s="27">
        <f t="shared" si="56"/>
        <v>53</v>
      </c>
      <c r="BD152" s="20">
        <v>946</v>
      </c>
      <c r="BE152" s="20">
        <v>735</v>
      </c>
      <c r="BF152" s="20">
        <f t="shared" si="57"/>
        <v>211</v>
      </c>
      <c r="BG152" s="20"/>
      <c r="BH152" s="5"/>
      <c r="BI152" s="29">
        <v>2005</v>
      </c>
      <c r="BJ152" s="38" t="s">
        <v>40</v>
      </c>
      <c r="BK152" s="35">
        <f>+Tabla8[[#This Row],[Trenes Puntuales]]/Tabla8[[#This Row],[Trenes Programados]]</f>
        <v>0.71560574948665301</v>
      </c>
      <c r="BL152" s="35">
        <f>+Tabla8[[#This Row],[Trenes Puntuales]]/Tabla8[[#This Row],[Trenes Corridos]]</f>
        <v>0.74545454545454548</v>
      </c>
      <c r="BM152" s="35">
        <f>+Tabla8[[#This Row],[Trenes Corridos]]/Tabla8[[#This Row],[Trenes Programados]]</f>
        <v>0.95995893223819306</v>
      </c>
      <c r="BN152" s="20">
        <v>974</v>
      </c>
      <c r="BO152" s="27">
        <f t="shared" si="58"/>
        <v>39</v>
      </c>
      <c r="BP152" s="20">
        <v>935</v>
      </c>
      <c r="BQ152" s="20">
        <v>697</v>
      </c>
      <c r="BR152" s="20">
        <f t="shared" si="59"/>
        <v>238</v>
      </c>
      <c r="BS152" s="29"/>
    </row>
    <row r="153" spans="1:71" s="3" customFormat="1" ht="12.75">
      <c r="A153" s="3">
        <v>2005</v>
      </c>
      <c r="B153" s="38" t="s">
        <v>41</v>
      </c>
      <c r="C153" s="25">
        <f>+MITRE[[#This Row],[Trenes Puntuales]]/MITRE[[#This Row],[Trenes Programados]]</f>
        <v>0.84176570458404076</v>
      </c>
      <c r="D153" s="25">
        <f>+MITRE[[#This Row],[Trenes Puntuales]]/MITRE[[#This Row],[Trenes Corridos]]</f>
        <v>0.86256089074460685</v>
      </c>
      <c r="E153" s="25">
        <f>+MITRE[[#This Row],[Trenes Corridos]]/MITRE[[#This Row],[Trenes Programados]]</f>
        <v>0.97589134125636667</v>
      </c>
      <c r="F153" s="27">
        <f t="shared" si="45"/>
        <v>14725</v>
      </c>
      <c r="G153" s="27">
        <f t="shared" si="46"/>
        <v>355</v>
      </c>
      <c r="H153" s="27">
        <f t="shared" si="47"/>
        <v>14370</v>
      </c>
      <c r="I153" s="27">
        <f t="shared" si="48"/>
        <v>12395</v>
      </c>
      <c r="J153" s="27">
        <f t="shared" si="49"/>
        <v>1975</v>
      </c>
      <c r="K153" s="27"/>
      <c r="L153" s="4"/>
      <c r="M153" s="29">
        <v>2005</v>
      </c>
      <c r="N153" s="38" t="s">
        <v>41</v>
      </c>
      <c r="O153" s="35">
        <f>+Tabla4[[#This Row],[Trenes Puntuales]]/Tabla4[[#This Row],[Trenes Programados]]</f>
        <v>0.80946196660482372</v>
      </c>
      <c r="P153" s="35">
        <f>+Tabla4[[#This Row],[Trenes Puntuales]]/Tabla4[[#This Row],[Trenes Corridos]]</f>
        <v>0.8296254040692147</v>
      </c>
      <c r="Q153" s="35">
        <f>+Tabla4[[#This Row],[Trenes Corridos]]/Tabla4[[#This Row],[Trenes Programados]]</f>
        <v>0.97569573283859001</v>
      </c>
      <c r="R153" s="20">
        <v>5390</v>
      </c>
      <c r="S153" s="27">
        <f t="shared" si="50"/>
        <v>131</v>
      </c>
      <c r="T153" s="20">
        <v>5259</v>
      </c>
      <c r="U153" s="20">
        <v>4363</v>
      </c>
      <c r="V153" s="20">
        <f t="shared" si="51"/>
        <v>896</v>
      </c>
      <c r="W153" s="20"/>
      <c r="X153" s="5"/>
      <c r="Y153" s="29">
        <v>2005</v>
      </c>
      <c r="Z153" s="38" t="s">
        <v>41</v>
      </c>
      <c r="AA153" s="35">
        <f>+Tabla5[[#This Row],[Trenes Puntuales]]/Tabla5[[#This Row],[Trenes Programados]]</f>
        <v>0.88287037037037042</v>
      </c>
      <c r="AB153" s="35">
        <f>+Tabla5[[#This Row],[Trenes Puntuales]]/Tabla5[[#This Row],[Trenes Corridos]]</f>
        <v>0.90016521123436388</v>
      </c>
      <c r="AC153" s="35">
        <f>+Tabla5[[#This Row],[Trenes Corridos]]/Tabla5[[#This Row],[Trenes Programados]]</f>
        <v>0.98078703703703707</v>
      </c>
      <c r="AD153" s="20">
        <v>4320</v>
      </c>
      <c r="AE153" s="27">
        <f t="shared" si="52"/>
        <v>83</v>
      </c>
      <c r="AF153" s="20">
        <v>4237</v>
      </c>
      <c r="AG153" s="20">
        <v>3814</v>
      </c>
      <c r="AH153" s="20">
        <f t="shared" si="53"/>
        <v>423</v>
      </c>
      <c r="AI153" s="20"/>
      <c r="AJ153" s="5"/>
      <c r="AK153" s="29">
        <v>2005</v>
      </c>
      <c r="AL153" s="38" t="s">
        <v>41</v>
      </c>
      <c r="AM153" s="35">
        <f>+Tabla6[[#This Row],[Trenes Puntuales]]/Tabla6[[#This Row],[Trenes Programados]]</f>
        <v>0.9209511568123393</v>
      </c>
      <c r="AN153" s="35">
        <f>+Tabla6[[#This Row],[Trenes Puntuales]]/Tabla6[[#This Row],[Trenes Corridos]]</f>
        <v>0.94245314041433736</v>
      </c>
      <c r="AO153" s="35">
        <f>+Tabla6[[#This Row],[Trenes Corridos]]/Tabla6[[#This Row],[Trenes Programados]]</f>
        <v>0.9771850899742931</v>
      </c>
      <c r="AP153" s="20">
        <v>3112</v>
      </c>
      <c r="AQ153" s="27">
        <f t="shared" si="54"/>
        <v>71</v>
      </c>
      <c r="AR153" s="20">
        <v>3041</v>
      </c>
      <c r="AS153" s="20">
        <v>2866</v>
      </c>
      <c r="AT153" s="20">
        <f t="shared" si="55"/>
        <v>175</v>
      </c>
      <c r="AU153" s="20"/>
      <c r="AV153" s="5"/>
      <c r="AW153" s="29">
        <v>2005</v>
      </c>
      <c r="AX153" s="38" t="s">
        <v>41</v>
      </c>
      <c r="AY153" s="35">
        <f>+MIT_Vic_Cap[[#This Row],[Trenes Puntuales]]/MIT_Vic_Cap[[#This Row],[Trenes Programados]]</f>
        <v>0.78341968911917104</v>
      </c>
      <c r="AZ153" s="35">
        <f>+MIT_Vic_Cap[[#This Row],[Trenes Puntuales]]/MIT_Vic_Cap[[#This Row],[Trenes Corridos]]</f>
        <v>0.81203007518796988</v>
      </c>
      <c r="BA153" s="35">
        <f>+MIT_Vic_Cap[[#This Row],[Trenes Corridos]]/MIT_Vic_Cap[[#This Row],[Trenes Programados]]</f>
        <v>0.96476683937823837</v>
      </c>
      <c r="BB153" s="20">
        <v>965</v>
      </c>
      <c r="BC153" s="27">
        <f t="shared" si="56"/>
        <v>34</v>
      </c>
      <c r="BD153" s="20">
        <v>931</v>
      </c>
      <c r="BE153" s="20">
        <v>756</v>
      </c>
      <c r="BF153" s="20">
        <f t="shared" si="57"/>
        <v>175</v>
      </c>
      <c r="BG153" s="20"/>
      <c r="BH153" s="5"/>
      <c r="BI153" s="29">
        <v>2005</v>
      </c>
      <c r="BJ153" s="38" t="s">
        <v>41</v>
      </c>
      <c r="BK153" s="35">
        <f>+Tabla8[[#This Row],[Trenes Puntuales]]/Tabla8[[#This Row],[Trenes Programados]]</f>
        <v>0.6353944562899787</v>
      </c>
      <c r="BL153" s="35">
        <f>+Tabla8[[#This Row],[Trenes Puntuales]]/Tabla8[[#This Row],[Trenes Corridos]]</f>
        <v>0.6607538802660754</v>
      </c>
      <c r="BM153" s="35">
        <f>+Tabla8[[#This Row],[Trenes Corridos]]/Tabla8[[#This Row],[Trenes Programados]]</f>
        <v>0.96162046908315568</v>
      </c>
      <c r="BN153" s="20">
        <v>938</v>
      </c>
      <c r="BO153" s="27">
        <f t="shared" si="58"/>
        <v>36</v>
      </c>
      <c r="BP153" s="20">
        <v>902</v>
      </c>
      <c r="BQ153" s="20">
        <v>596</v>
      </c>
      <c r="BR153" s="20">
        <f t="shared" si="59"/>
        <v>306</v>
      </c>
      <c r="BS153" s="29"/>
    </row>
    <row r="154" spans="1:71" s="3" customFormat="1" ht="12.75">
      <c r="A154" s="3">
        <v>2005</v>
      </c>
      <c r="B154" s="38" t="s">
        <v>42</v>
      </c>
      <c r="C154" s="25">
        <f>+MITRE[[#This Row],[Trenes Puntuales]]/MITRE[[#This Row],[Trenes Programados]]</f>
        <v>0.85180754917597024</v>
      </c>
      <c r="D154" s="25">
        <f>+MITRE[[#This Row],[Trenes Puntuales]]/MITRE[[#This Row],[Trenes Corridos]]</f>
        <v>0.87417308872672717</v>
      </c>
      <c r="E154" s="25">
        <f>+MITRE[[#This Row],[Trenes Corridos]]/MITRE[[#This Row],[Trenes Programados]]</f>
        <v>0.97441520467836262</v>
      </c>
      <c r="F154" s="27">
        <f t="shared" si="45"/>
        <v>15048</v>
      </c>
      <c r="G154" s="27">
        <f t="shared" si="46"/>
        <v>385</v>
      </c>
      <c r="H154" s="27">
        <f t="shared" si="47"/>
        <v>14663</v>
      </c>
      <c r="I154" s="27">
        <f t="shared" si="48"/>
        <v>12818</v>
      </c>
      <c r="J154" s="27">
        <f t="shared" si="49"/>
        <v>1845</v>
      </c>
      <c r="K154" s="27"/>
      <c r="L154" s="4"/>
      <c r="M154" s="29">
        <v>2005</v>
      </c>
      <c r="N154" s="38" t="s">
        <v>42</v>
      </c>
      <c r="O154" s="35">
        <f>+Tabla4[[#This Row],[Trenes Puntuales]]/Tabla4[[#This Row],[Trenes Programados]]</f>
        <v>0.83818181818181814</v>
      </c>
      <c r="P154" s="35">
        <f>+Tabla4[[#This Row],[Trenes Puntuales]]/Tabla4[[#This Row],[Trenes Corridos]]</f>
        <v>0.86216570039274354</v>
      </c>
      <c r="Q154" s="35">
        <f>+Tabla4[[#This Row],[Trenes Corridos]]/Tabla4[[#This Row],[Trenes Programados]]</f>
        <v>0.97218181818181815</v>
      </c>
      <c r="R154" s="20">
        <v>5500</v>
      </c>
      <c r="S154" s="27">
        <f t="shared" si="50"/>
        <v>153</v>
      </c>
      <c r="T154" s="20">
        <v>5347</v>
      </c>
      <c r="U154" s="20">
        <v>4610</v>
      </c>
      <c r="V154" s="20">
        <f t="shared" si="51"/>
        <v>737</v>
      </c>
      <c r="W154" s="20"/>
      <c r="X154" s="5"/>
      <c r="Y154" s="29">
        <v>2005</v>
      </c>
      <c r="Z154" s="38" t="s">
        <v>42</v>
      </c>
      <c r="AA154" s="35">
        <f>+Tabla5[[#This Row],[Trenes Puntuales]]/Tabla5[[#This Row],[Trenes Programados]]</f>
        <v>0.90201859832161491</v>
      </c>
      <c r="AB154" s="35">
        <f>+Tabla5[[#This Row],[Trenes Puntuales]]/Tabla5[[#This Row],[Trenes Corridos]]</f>
        <v>0.91027695124742503</v>
      </c>
      <c r="AC154" s="35">
        <f>+Tabla5[[#This Row],[Trenes Corridos]]/Tabla5[[#This Row],[Trenes Programados]]</f>
        <v>0.99092764799274213</v>
      </c>
      <c r="AD154" s="20">
        <v>4409</v>
      </c>
      <c r="AE154" s="27">
        <f t="shared" si="52"/>
        <v>40</v>
      </c>
      <c r="AF154" s="20">
        <v>4369</v>
      </c>
      <c r="AG154" s="20">
        <v>3977</v>
      </c>
      <c r="AH154" s="20">
        <f t="shared" si="53"/>
        <v>392</v>
      </c>
      <c r="AI154" s="20"/>
      <c r="AJ154" s="5"/>
      <c r="AK154" s="29">
        <v>2005</v>
      </c>
      <c r="AL154" s="38" t="s">
        <v>42</v>
      </c>
      <c r="AM154" s="35">
        <f>+Tabla6[[#This Row],[Trenes Puntuales]]/Tabla6[[#This Row],[Trenes Programados]]</f>
        <v>0.94491392801251961</v>
      </c>
      <c r="AN154" s="35">
        <f>+Tabla6[[#This Row],[Trenes Puntuales]]/Tabla6[[#This Row],[Trenes Corridos]]</f>
        <v>0.96177126473399177</v>
      </c>
      <c r="AO154" s="35">
        <f>+Tabla6[[#This Row],[Trenes Corridos]]/Tabla6[[#This Row],[Trenes Programados]]</f>
        <v>0.98247261345852899</v>
      </c>
      <c r="AP154" s="20">
        <v>3195</v>
      </c>
      <c r="AQ154" s="27">
        <f t="shared" si="54"/>
        <v>56</v>
      </c>
      <c r="AR154" s="20">
        <v>3139</v>
      </c>
      <c r="AS154" s="20">
        <v>3019</v>
      </c>
      <c r="AT154" s="20">
        <f t="shared" si="55"/>
        <v>120</v>
      </c>
      <c r="AU154" s="20"/>
      <c r="AV154" s="5"/>
      <c r="AW154" s="29">
        <v>2005</v>
      </c>
      <c r="AX154" s="38" t="s">
        <v>42</v>
      </c>
      <c r="AY154" s="35">
        <f>+MIT_Vic_Cap[[#This Row],[Trenes Puntuales]]/MIT_Vic_Cap[[#This Row],[Trenes Programados]]</f>
        <v>0.66295546558704455</v>
      </c>
      <c r="AZ154" s="35">
        <f>+MIT_Vic_Cap[[#This Row],[Trenes Puntuales]]/MIT_Vic_Cap[[#This Row],[Trenes Corridos]]</f>
        <v>0.70810810810810809</v>
      </c>
      <c r="BA154" s="35">
        <f>+MIT_Vic_Cap[[#This Row],[Trenes Corridos]]/MIT_Vic_Cap[[#This Row],[Trenes Programados]]</f>
        <v>0.93623481781376516</v>
      </c>
      <c r="BB154" s="20">
        <v>988</v>
      </c>
      <c r="BC154" s="27">
        <f t="shared" si="56"/>
        <v>63</v>
      </c>
      <c r="BD154" s="20">
        <v>925</v>
      </c>
      <c r="BE154" s="20">
        <v>655</v>
      </c>
      <c r="BF154" s="20">
        <f t="shared" si="57"/>
        <v>270</v>
      </c>
      <c r="BG154" s="20"/>
      <c r="BH154" s="5"/>
      <c r="BI154" s="29">
        <v>2005</v>
      </c>
      <c r="BJ154" s="38" t="s">
        <v>42</v>
      </c>
      <c r="BK154" s="35">
        <f>+Tabla8[[#This Row],[Trenes Puntuales]]/Tabla8[[#This Row],[Trenes Programados]]</f>
        <v>0.58263598326359833</v>
      </c>
      <c r="BL154" s="35">
        <f>+Tabla8[[#This Row],[Trenes Puntuales]]/Tabla8[[#This Row],[Trenes Corridos]]</f>
        <v>0.63080407701019248</v>
      </c>
      <c r="BM154" s="35">
        <f>+Tabla8[[#This Row],[Trenes Corridos]]/Tabla8[[#This Row],[Trenes Programados]]</f>
        <v>0.92364016736401677</v>
      </c>
      <c r="BN154" s="20">
        <v>956</v>
      </c>
      <c r="BO154" s="27">
        <f t="shared" si="58"/>
        <v>73</v>
      </c>
      <c r="BP154" s="20">
        <v>883</v>
      </c>
      <c r="BQ154" s="20">
        <v>557</v>
      </c>
      <c r="BR154" s="20">
        <f t="shared" si="59"/>
        <v>326</v>
      </c>
      <c r="BS154" s="29"/>
    </row>
    <row r="155" spans="1:71" s="3" customFormat="1" ht="12.75">
      <c r="A155" s="3">
        <v>2005</v>
      </c>
      <c r="B155" s="38" t="s">
        <v>43</v>
      </c>
      <c r="C155" s="25">
        <f>+MITRE[[#This Row],[Trenes Puntuales]]/MITRE[[#This Row],[Trenes Programados]]</f>
        <v>0.81259757008077105</v>
      </c>
      <c r="D155" s="25">
        <f>+MITRE[[#This Row],[Trenes Puntuales]]/MITRE[[#This Row],[Trenes Corridos]]</f>
        <v>0.83318254575822948</v>
      </c>
      <c r="E155" s="25">
        <f>+MITRE[[#This Row],[Trenes Corridos]]/MITRE[[#This Row],[Trenes Programados]]</f>
        <v>0.9752935586777981</v>
      </c>
      <c r="F155" s="27">
        <f t="shared" si="45"/>
        <v>14733</v>
      </c>
      <c r="G155" s="27">
        <f t="shared" si="46"/>
        <v>364</v>
      </c>
      <c r="H155" s="27">
        <f t="shared" si="47"/>
        <v>14369</v>
      </c>
      <c r="I155" s="27">
        <f t="shared" si="48"/>
        <v>11972</v>
      </c>
      <c r="J155" s="27">
        <f t="shared" si="49"/>
        <v>2397</v>
      </c>
      <c r="K155" s="27"/>
      <c r="L155" s="4"/>
      <c r="M155" s="29">
        <v>2005</v>
      </c>
      <c r="N155" s="38" t="s">
        <v>43</v>
      </c>
      <c r="O155" s="35">
        <f>+Tabla4[[#This Row],[Trenes Puntuales]]/Tabla4[[#This Row],[Trenes Programados]]</f>
        <v>0.75009276437847872</v>
      </c>
      <c r="P155" s="35">
        <f>+Tabla4[[#This Row],[Trenes Puntuales]]/Tabla4[[#This Row],[Trenes Corridos]]</f>
        <v>0.77735050951740048</v>
      </c>
      <c r="Q155" s="35">
        <f>+Tabla4[[#This Row],[Trenes Corridos]]/Tabla4[[#This Row],[Trenes Programados]]</f>
        <v>0.96493506493506498</v>
      </c>
      <c r="R155" s="20">
        <v>5390</v>
      </c>
      <c r="S155" s="27">
        <f t="shared" si="50"/>
        <v>189</v>
      </c>
      <c r="T155" s="20">
        <v>5201</v>
      </c>
      <c r="U155" s="20">
        <v>4043</v>
      </c>
      <c r="V155" s="20">
        <f t="shared" si="51"/>
        <v>1158</v>
      </c>
      <c r="W155" s="20"/>
      <c r="X155" s="5"/>
      <c r="Y155" s="29">
        <v>2005</v>
      </c>
      <c r="Z155" s="38" t="s">
        <v>43</v>
      </c>
      <c r="AA155" s="35">
        <f>+Tabla5[[#This Row],[Trenes Puntuales]]/Tabla5[[#This Row],[Trenes Programados]]</f>
        <v>0.90064695009242146</v>
      </c>
      <c r="AB155" s="35">
        <f>+Tabla5[[#This Row],[Trenes Puntuales]]/Tabla5[[#This Row],[Trenes Corridos]]</f>
        <v>0.91288056206088997</v>
      </c>
      <c r="AC155" s="35">
        <f>+Tabla5[[#This Row],[Trenes Corridos]]/Tabla5[[#This Row],[Trenes Programados]]</f>
        <v>0.9865988909426987</v>
      </c>
      <c r="AD155" s="20">
        <v>4328</v>
      </c>
      <c r="AE155" s="27">
        <f t="shared" si="52"/>
        <v>58</v>
      </c>
      <c r="AF155" s="20">
        <v>4270</v>
      </c>
      <c r="AG155" s="20">
        <v>3898</v>
      </c>
      <c r="AH155" s="20">
        <f t="shared" si="53"/>
        <v>372</v>
      </c>
      <c r="AI155" s="20"/>
      <c r="AJ155" s="5"/>
      <c r="AK155" s="29">
        <v>2005</v>
      </c>
      <c r="AL155" s="38" t="s">
        <v>43</v>
      </c>
      <c r="AM155" s="35">
        <f>+Tabla6[[#This Row],[Trenes Puntuales]]/Tabla6[[#This Row],[Trenes Programados]]</f>
        <v>0.95179948586118257</v>
      </c>
      <c r="AN155" s="35">
        <f>+Tabla6[[#This Row],[Trenes Puntuales]]/Tabla6[[#This Row],[Trenes Corridos]]</f>
        <v>0.95826593335490129</v>
      </c>
      <c r="AO155" s="35">
        <f>+Tabla6[[#This Row],[Trenes Corridos]]/Tabla6[[#This Row],[Trenes Programados]]</f>
        <v>0.9932519280205655</v>
      </c>
      <c r="AP155" s="20">
        <v>3112</v>
      </c>
      <c r="AQ155" s="27">
        <f t="shared" si="54"/>
        <v>21</v>
      </c>
      <c r="AR155" s="20">
        <v>3091</v>
      </c>
      <c r="AS155" s="20">
        <v>2962</v>
      </c>
      <c r="AT155" s="20">
        <f t="shared" si="55"/>
        <v>129</v>
      </c>
      <c r="AU155" s="20"/>
      <c r="AV155" s="5"/>
      <c r="AW155" s="29">
        <v>2005</v>
      </c>
      <c r="AX155" s="38" t="s">
        <v>43</v>
      </c>
      <c r="AY155" s="35">
        <f>+MIT_Vic_Cap[[#This Row],[Trenes Puntuales]]/MIT_Vic_Cap[[#This Row],[Trenes Programados]]</f>
        <v>0.53367875647668395</v>
      </c>
      <c r="AZ155" s="35">
        <f>+MIT_Vic_Cap[[#This Row],[Trenes Puntuales]]/MIT_Vic_Cap[[#This Row],[Trenes Corridos]]</f>
        <v>0.56843267108167772</v>
      </c>
      <c r="BA155" s="35">
        <f>+MIT_Vic_Cap[[#This Row],[Trenes Corridos]]/MIT_Vic_Cap[[#This Row],[Trenes Programados]]</f>
        <v>0.93886010362694305</v>
      </c>
      <c r="BB155" s="20">
        <v>965</v>
      </c>
      <c r="BC155" s="27">
        <f t="shared" si="56"/>
        <v>59</v>
      </c>
      <c r="BD155" s="20">
        <v>906</v>
      </c>
      <c r="BE155" s="20">
        <v>515</v>
      </c>
      <c r="BF155" s="20">
        <f t="shared" si="57"/>
        <v>391</v>
      </c>
      <c r="BG155" s="20"/>
      <c r="BH155" s="5"/>
      <c r="BI155" s="29">
        <v>2005</v>
      </c>
      <c r="BJ155" s="38" t="s">
        <v>43</v>
      </c>
      <c r="BK155" s="35">
        <f>+Tabla8[[#This Row],[Trenes Puntuales]]/Tabla8[[#This Row],[Trenes Programados]]</f>
        <v>0.59061833688699361</v>
      </c>
      <c r="BL155" s="35">
        <f>+Tabla8[[#This Row],[Trenes Puntuales]]/Tabla8[[#This Row],[Trenes Corridos]]</f>
        <v>0.6148723640399556</v>
      </c>
      <c r="BM155" s="35">
        <f>+Tabla8[[#This Row],[Trenes Corridos]]/Tabla8[[#This Row],[Trenes Programados]]</f>
        <v>0.96055437100213215</v>
      </c>
      <c r="BN155" s="20">
        <v>938</v>
      </c>
      <c r="BO155" s="27">
        <f t="shared" si="58"/>
        <v>37</v>
      </c>
      <c r="BP155" s="20">
        <v>901</v>
      </c>
      <c r="BQ155" s="20">
        <v>554</v>
      </c>
      <c r="BR155" s="20">
        <f t="shared" si="59"/>
        <v>347</v>
      </c>
      <c r="BS155" s="29"/>
    </row>
    <row r="156" spans="1:71" s="3" customFormat="1" ht="12.75">
      <c r="A156" s="3">
        <v>2005</v>
      </c>
      <c r="B156" s="38" t="s">
        <v>44</v>
      </c>
      <c r="C156" s="25">
        <f>+MITRE[[#This Row],[Trenes Puntuales]]/MITRE[[#This Row],[Trenes Programados]]</f>
        <v>0.8296502753998275</v>
      </c>
      <c r="D156" s="25">
        <f>+MITRE[[#This Row],[Trenes Puntuales]]/MITRE[[#This Row],[Trenes Corridos]]</f>
        <v>0.8525059665871122</v>
      </c>
      <c r="E156" s="25">
        <f>+MITRE[[#This Row],[Trenes Corridos]]/MITRE[[#This Row],[Trenes Programados]]</f>
        <v>0.97318999270024553</v>
      </c>
      <c r="F156" s="27">
        <f t="shared" si="45"/>
        <v>15069</v>
      </c>
      <c r="G156" s="27">
        <f t="shared" si="46"/>
        <v>404</v>
      </c>
      <c r="H156" s="27">
        <f t="shared" si="47"/>
        <v>14665</v>
      </c>
      <c r="I156" s="27">
        <f t="shared" si="48"/>
        <v>12502</v>
      </c>
      <c r="J156" s="27">
        <f t="shared" si="49"/>
        <v>2163</v>
      </c>
      <c r="K156" s="27"/>
      <c r="L156" s="4"/>
      <c r="M156" s="29">
        <v>2005</v>
      </c>
      <c r="N156" s="38" t="s">
        <v>44</v>
      </c>
      <c r="O156" s="35">
        <f>+Tabla4[[#This Row],[Trenes Puntuales]]/Tabla4[[#This Row],[Trenes Programados]]</f>
        <v>0.78509090909090906</v>
      </c>
      <c r="P156" s="35">
        <f>+Tabla4[[#This Row],[Trenes Puntuales]]/Tabla4[[#This Row],[Trenes Corridos]]</f>
        <v>0.80275144078825056</v>
      </c>
      <c r="Q156" s="35">
        <f>+Tabla4[[#This Row],[Trenes Corridos]]/Tabla4[[#This Row],[Trenes Programados]]</f>
        <v>0.97799999999999998</v>
      </c>
      <c r="R156" s="20">
        <v>5500</v>
      </c>
      <c r="S156" s="27">
        <f t="shared" si="50"/>
        <v>121</v>
      </c>
      <c r="T156" s="20">
        <v>5379</v>
      </c>
      <c r="U156" s="20">
        <v>4318</v>
      </c>
      <c r="V156" s="20">
        <f t="shared" si="51"/>
        <v>1061</v>
      </c>
      <c r="W156" s="20"/>
      <c r="X156" s="5"/>
      <c r="Y156" s="29">
        <v>2005</v>
      </c>
      <c r="Z156" s="38" t="s">
        <v>44</v>
      </c>
      <c r="AA156" s="35">
        <f>+Tabla5[[#This Row],[Trenes Puntuales]]/Tabla5[[#This Row],[Trenes Programados]]</f>
        <v>0.92099322799097061</v>
      </c>
      <c r="AB156" s="35">
        <f>+Tabla5[[#This Row],[Trenes Puntuales]]/Tabla5[[#This Row],[Trenes Corridos]]</f>
        <v>0.93556523733088737</v>
      </c>
      <c r="AC156" s="35">
        <f>+Tabla5[[#This Row],[Trenes Corridos]]/Tabla5[[#This Row],[Trenes Programados]]</f>
        <v>0.9844243792325057</v>
      </c>
      <c r="AD156" s="20">
        <v>4430</v>
      </c>
      <c r="AE156" s="27">
        <f t="shared" si="52"/>
        <v>69</v>
      </c>
      <c r="AF156" s="20">
        <v>4361</v>
      </c>
      <c r="AG156" s="20">
        <v>4080</v>
      </c>
      <c r="AH156" s="20">
        <f t="shared" si="53"/>
        <v>281</v>
      </c>
      <c r="AI156" s="20"/>
      <c r="AJ156" s="5"/>
      <c r="AK156" s="29">
        <v>2005</v>
      </c>
      <c r="AL156" s="38" t="s">
        <v>44</v>
      </c>
      <c r="AM156" s="35">
        <f>+Tabla6[[#This Row],[Trenes Puntuales]]/Tabla6[[#This Row],[Trenes Programados]]</f>
        <v>0.94460093896713615</v>
      </c>
      <c r="AN156" s="35">
        <f>+Tabla6[[#This Row],[Trenes Puntuales]]/Tabla6[[#This Row],[Trenes Corridos]]</f>
        <v>0.96360153256704983</v>
      </c>
      <c r="AO156" s="35">
        <f>+Tabla6[[#This Row],[Trenes Corridos]]/Tabla6[[#This Row],[Trenes Programados]]</f>
        <v>0.9802816901408451</v>
      </c>
      <c r="AP156" s="20">
        <v>3195</v>
      </c>
      <c r="AQ156" s="27">
        <f t="shared" si="54"/>
        <v>63</v>
      </c>
      <c r="AR156" s="20">
        <v>3132</v>
      </c>
      <c r="AS156" s="20">
        <v>3018</v>
      </c>
      <c r="AT156" s="20">
        <f t="shared" si="55"/>
        <v>114</v>
      </c>
      <c r="AU156" s="20"/>
      <c r="AV156" s="5"/>
      <c r="AW156" s="29">
        <v>2005</v>
      </c>
      <c r="AX156" s="38" t="s">
        <v>44</v>
      </c>
      <c r="AY156" s="35">
        <f>+MIT_Vic_Cap[[#This Row],[Trenes Puntuales]]/MIT_Vic_Cap[[#This Row],[Trenes Programados]]</f>
        <v>0.43016194331983804</v>
      </c>
      <c r="AZ156" s="35">
        <f>+MIT_Vic_Cap[[#This Row],[Trenes Puntuales]]/MIT_Vic_Cap[[#This Row],[Trenes Corridos]]</f>
        <v>0.48350398179749715</v>
      </c>
      <c r="BA156" s="35">
        <f>+MIT_Vic_Cap[[#This Row],[Trenes Corridos]]/MIT_Vic_Cap[[#This Row],[Trenes Programados]]</f>
        <v>0.88967611336032393</v>
      </c>
      <c r="BB156" s="20">
        <v>988</v>
      </c>
      <c r="BC156" s="27">
        <f t="shared" si="56"/>
        <v>109</v>
      </c>
      <c r="BD156" s="20">
        <v>879</v>
      </c>
      <c r="BE156" s="20">
        <v>425</v>
      </c>
      <c r="BF156" s="20">
        <f t="shared" si="57"/>
        <v>454</v>
      </c>
      <c r="BG156" s="20"/>
      <c r="BH156" s="5"/>
      <c r="BI156" s="29">
        <v>2005</v>
      </c>
      <c r="BJ156" s="38" t="s">
        <v>44</v>
      </c>
      <c r="BK156" s="35">
        <f>+Tabla8[[#This Row],[Trenes Puntuales]]/Tabla8[[#This Row],[Trenes Programados]]</f>
        <v>0.69142259414225937</v>
      </c>
      <c r="BL156" s="35">
        <f>+Tabla8[[#This Row],[Trenes Puntuales]]/Tabla8[[#This Row],[Trenes Corridos]]</f>
        <v>0.72319474835886211</v>
      </c>
      <c r="BM156" s="35">
        <f>+Tabla8[[#This Row],[Trenes Corridos]]/Tabla8[[#This Row],[Trenes Programados]]</f>
        <v>0.95606694560669458</v>
      </c>
      <c r="BN156" s="20">
        <v>956</v>
      </c>
      <c r="BO156" s="27">
        <f t="shared" si="58"/>
        <v>42</v>
      </c>
      <c r="BP156" s="20">
        <v>914</v>
      </c>
      <c r="BQ156" s="20">
        <v>661</v>
      </c>
      <c r="BR156" s="20">
        <f t="shared" si="59"/>
        <v>253</v>
      </c>
      <c r="BS156" s="29"/>
    </row>
    <row r="157" spans="1:71" s="3" customFormat="1" ht="12.75">
      <c r="A157" s="3">
        <v>2005</v>
      </c>
      <c r="B157" s="38" t="s">
        <v>45</v>
      </c>
      <c r="C157" s="25">
        <f>+MITRE[[#This Row],[Trenes Puntuales]]/MITRE[[#This Row],[Trenes Programados]]</f>
        <v>0.82296368989205104</v>
      </c>
      <c r="D157" s="25">
        <f>+MITRE[[#This Row],[Trenes Puntuales]]/MITRE[[#This Row],[Trenes Corridos]]</f>
        <v>0.86596447748864103</v>
      </c>
      <c r="E157" s="25">
        <f>+MITRE[[#This Row],[Trenes Corridos]]/MITRE[[#This Row],[Trenes Programados]]</f>
        <v>0.9503434739941119</v>
      </c>
      <c r="F157" s="27">
        <f t="shared" si="45"/>
        <v>15285</v>
      </c>
      <c r="G157" s="27">
        <f t="shared" si="46"/>
        <v>759</v>
      </c>
      <c r="H157" s="27">
        <f t="shared" si="47"/>
        <v>14526</v>
      </c>
      <c r="I157" s="27">
        <f t="shared" si="48"/>
        <v>12579</v>
      </c>
      <c r="J157" s="27">
        <f t="shared" si="49"/>
        <v>1947</v>
      </c>
      <c r="K157" s="27"/>
      <c r="L157" s="4"/>
      <c r="M157" s="29">
        <v>2005</v>
      </c>
      <c r="N157" s="38" t="s">
        <v>45</v>
      </c>
      <c r="O157" s="35">
        <f>+Tabla4[[#This Row],[Trenes Puntuales]]/Tabla4[[#This Row],[Trenes Programados]]</f>
        <v>0.78121645796064398</v>
      </c>
      <c r="P157" s="35">
        <f>+Tabla4[[#This Row],[Trenes Puntuales]]/Tabla4[[#This Row],[Trenes Corridos]]</f>
        <v>0.81947832613998872</v>
      </c>
      <c r="Q157" s="35">
        <f>+Tabla4[[#This Row],[Trenes Corridos]]/Tabla4[[#This Row],[Trenes Programados]]</f>
        <v>0.95330948121645798</v>
      </c>
      <c r="R157" s="20">
        <v>5590</v>
      </c>
      <c r="S157" s="27">
        <f t="shared" si="50"/>
        <v>261</v>
      </c>
      <c r="T157" s="20">
        <v>5329</v>
      </c>
      <c r="U157" s="20">
        <v>4367</v>
      </c>
      <c r="V157" s="20">
        <f t="shared" si="51"/>
        <v>962</v>
      </c>
      <c r="W157" s="20"/>
      <c r="X157" s="5"/>
      <c r="Y157" s="29">
        <v>2005</v>
      </c>
      <c r="Z157" s="38" t="s">
        <v>45</v>
      </c>
      <c r="AA157" s="35">
        <f>+Tabla5[[#This Row],[Trenes Puntuales]]/Tabla5[[#This Row],[Trenes Programados]]</f>
        <v>0.90202177293934682</v>
      </c>
      <c r="AB157" s="35">
        <f>+Tabla5[[#This Row],[Trenes Puntuales]]/Tabla5[[#This Row],[Trenes Corridos]]</f>
        <v>0.93786093786093783</v>
      </c>
      <c r="AC157" s="35">
        <f>+Tabla5[[#This Row],[Trenes Corridos]]/Tabla5[[#This Row],[Trenes Programados]]</f>
        <v>0.96178626971784043</v>
      </c>
      <c r="AD157" s="20">
        <v>4501</v>
      </c>
      <c r="AE157" s="27">
        <f t="shared" si="52"/>
        <v>172</v>
      </c>
      <c r="AF157" s="20">
        <v>4329</v>
      </c>
      <c r="AG157" s="20">
        <v>4060</v>
      </c>
      <c r="AH157" s="20">
        <f t="shared" si="53"/>
        <v>269</v>
      </c>
      <c r="AI157" s="20"/>
      <c r="AJ157" s="5"/>
      <c r="AK157" s="29">
        <v>2005</v>
      </c>
      <c r="AL157" s="38" t="s">
        <v>45</v>
      </c>
      <c r="AM157" s="35">
        <f>+Tabla6[[#This Row],[Trenes Puntuales]]/Tabla6[[#This Row],[Trenes Programados]]</f>
        <v>0.92114250232846939</v>
      </c>
      <c r="AN157" s="35">
        <f>+Tabla6[[#This Row],[Trenes Puntuales]]/Tabla6[[#This Row],[Trenes Corridos]]</f>
        <v>0.96707953063885266</v>
      </c>
      <c r="AO157" s="35">
        <f>+Tabla6[[#This Row],[Trenes Corridos]]/Tabla6[[#This Row],[Trenes Programados]]</f>
        <v>0.95249922384352681</v>
      </c>
      <c r="AP157" s="20">
        <v>3221</v>
      </c>
      <c r="AQ157" s="27">
        <f t="shared" si="54"/>
        <v>153</v>
      </c>
      <c r="AR157" s="20">
        <v>3068</v>
      </c>
      <c r="AS157" s="20">
        <v>2967</v>
      </c>
      <c r="AT157" s="20">
        <f t="shared" si="55"/>
        <v>101</v>
      </c>
      <c r="AU157" s="20"/>
      <c r="AV157" s="5"/>
      <c r="AW157" s="29">
        <v>2005</v>
      </c>
      <c r="AX157" s="38" t="s">
        <v>45</v>
      </c>
      <c r="AY157" s="35">
        <f>+MIT_Vic_Cap[[#This Row],[Trenes Puntuales]]/MIT_Vic_Cap[[#This Row],[Trenes Programados]]</f>
        <v>0.4974974974974975</v>
      </c>
      <c r="AZ157" s="35">
        <f>+MIT_Vic_Cap[[#This Row],[Trenes Puntuales]]/MIT_Vic_Cap[[#This Row],[Trenes Corridos]]</f>
        <v>0.55530726256983243</v>
      </c>
      <c r="BA157" s="35">
        <f>+MIT_Vic_Cap[[#This Row],[Trenes Corridos]]/MIT_Vic_Cap[[#This Row],[Trenes Programados]]</f>
        <v>0.89589589589589591</v>
      </c>
      <c r="BB157" s="20">
        <v>999</v>
      </c>
      <c r="BC157" s="27">
        <f t="shared" si="56"/>
        <v>104</v>
      </c>
      <c r="BD157" s="20">
        <v>895</v>
      </c>
      <c r="BE157" s="20">
        <v>497</v>
      </c>
      <c r="BF157" s="20">
        <f t="shared" si="57"/>
        <v>398</v>
      </c>
      <c r="BG157" s="20"/>
      <c r="BH157" s="5"/>
      <c r="BI157" s="29">
        <v>2005</v>
      </c>
      <c r="BJ157" s="38" t="s">
        <v>45</v>
      </c>
      <c r="BK157" s="35">
        <f>+Tabla8[[#This Row],[Trenes Puntuales]]/Tabla8[[#This Row],[Trenes Programados]]</f>
        <v>0.70636550308008217</v>
      </c>
      <c r="BL157" s="35">
        <f>+Tabla8[[#This Row],[Trenes Puntuales]]/Tabla8[[#This Row],[Trenes Corridos]]</f>
        <v>0.76022099447513813</v>
      </c>
      <c r="BM157" s="35">
        <f>+Tabla8[[#This Row],[Trenes Corridos]]/Tabla8[[#This Row],[Trenes Programados]]</f>
        <v>0.92915811088295686</v>
      </c>
      <c r="BN157" s="20">
        <v>974</v>
      </c>
      <c r="BO157" s="27">
        <f t="shared" si="58"/>
        <v>69</v>
      </c>
      <c r="BP157" s="20">
        <v>905</v>
      </c>
      <c r="BQ157" s="20">
        <v>688</v>
      </c>
      <c r="BR157" s="20">
        <f t="shared" si="59"/>
        <v>217</v>
      </c>
      <c r="BS157" s="29"/>
    </row>
    <row r="158" spans="1:71" s="3" customFormat="1" ht="12.75">
      <c r="A158" s="3">
        <v>2005</v>
      </c>
      <c r="B158" s="38" t="s">
        <v>46</v>
      </c>
      <c r="C158" s="25">
        <f>+MITRE[[#This Row],[Trenes Puntuales]]/MITRE[[#This Row],[Trenes Programados]]</f>
        <v>0.65338858441384839</v>
      </c>
      <c r="D158" s="25">
        <f>+MITRE[[#This Row],[Trenes Puntuales]]/MITRE[[#This Row],[Trenes Corridos]]</f>
        <v>0.68743407636593767</v>
      </c>
      <c r="E158" s="25">
        <f>+MITRE[[#This Row],[Trenes Corridos]]/MITRE[[#This Row],[Trenes Programados]]</f>
        <v>0.95047453548990779</v>
      </c>
      <c r="F158" s="27">
        <f t="shared" si="45"/>
        <v>14962</v>
      </c>
      <c r="G158" s="27">
        <f t="shared" si="46"/>
        <v>741</v>
      </c>
      <c r="H158" s="27">
        <f t="shared" si="47"/>
        <v>14221</v>
      </c>
      <c r="I158" s="27">
        <f t="shared" si="48"/>
        <v>9776</v>
      </c>
      <c r="J158" s="27">
        <f t="shared" si="49"/>
        <v>4445</v>
      </c>
      <c r="K158" s="27"/>
      <c r="L158" s="4"/>
      <c r="M158" s="29">
        <v>2005</v>
      </c>
      <c r="N158" s="38" t="s">
        <v>46</v>
      </c>
      <c r="O158" s="35">
        <f>+Tabla4[[#This Row],[Trenes Puntuales]]/Tabla4[[#This Row],[Trenes Programados]]</f>
        <v>0.35383211678832116</v>
      </c>
      <c r="P158" s="35">
        <f>+Tabla4[[#This Row],[Trenes Puntuales]]/Tabla4[[#This Row],[Trenes Corridos]]</f>
        <v>0.38049450549450547</v>
      </c>
      <c r="Q158" s="35">
        <f>+Tabla4[[#This Row],[Trenes Corridos]]/Tabla4[[#This Row],[Trenes Programados]]</f>
        <v>0.92992700729927003</v>
      </c>
      <c r="R158" s="20">
        <v>5480</v>
      </c>
      <c r="S158" s="27">
        <f t="shared" si="50"/>
        <v>384</v>
      </c>
      <c r="T158" s="20">
        <v>5096</v>
      </c>
      <c r="U158" s="20">
        <v>1939</v>
      </c>
      <c r="V158" s="20">
        <f t="shared" si="51"/>
        <v>3157</v>
      </c>
      <c r="W158" s="20"/>
      <c r="X158" s="5"/>
      <c r="Y158" s="29">
        <v>2005</v>
      </c>
      <c r="Z158" s="38" t="s">
        <v>46</v>
      </c>
      <c r="AA158" s="35">
        <f>+Tabla5[[#This Row],[Trenes Puntuales]]/Tabla5[[#This Row],[Trenes Programados]]</f>
        <v>0.86604714415231188</v>
      </c>
      <c r="AB158" s="35">
        <f>+Tabla5[[#This Row],[Trenes Puntuales]]/Tabla5[[#This Row],[Trenes Corridos]]</f>
        <v>0.8890181479758027</v>
      </c>
      <c r="AC158" s="35">
        <f>+Tabla5[[#This Row],[Trenes Corridos]]/Tabla5[[#This Row],[Trenes Programados]]</f>
        <v>0.97416137805983682</v>
      </c>
      <c r="AD158" s="20">
        <v>4412</v>
      </c>
      <c r="AE158" s="27">
        <f t="shared" si="52"/>
        <v>114</v>
      </c>
      <c r="AF158" s="20">
        <v>4298</v>
      </c>
      <c r="AG158" s="20">
        <v>3821</v>
      </c>
      <c r="AH158" s="20">
        <f t="shared" si="53"/>
        <v>477</v>
      </c>
      <c r="AI158" s="20"/>
      <c r="AJ158" s="5"/>
      <c r="AK158" s="29">
        <v>2005</v>
      </c>
      <c r="AL158" s="38" t="s">
        <v>46</v>
      </c>
      <c r="AM158" s="35">
        <f>+Tabla6[[#This Row],[Trenes Puntuales]]/Tabla6[[#This Row],[Trenes Programados]]</f>
        <v>0.89101338432122368</v>
      </c>
      <c r="AN158" s="35">
        <f>+Tabla6[[#This Row],[Trenes Puntuales]]/Tabla6[[#This Row],[Trenes Corridos]]</f>
        <v>0.92216358839050128</v>
      </c>
      <c r="AO158" s="35">
        <f>+Tabla6[[#This Row],[Trenes Corridos]]/Tabla6[[#This Row],[Trenes Programados]]</f>
        <v>0.96622052262587632</v>
      </c>
      <c r="AP158" s="20">
        <v>3138</v>
      </c>
      <c r="AQ158" s="27">
        <f t="shared" si="54"/>
        <v>106</v>
      </c>
      <c r="AR158" s="20">
        <v>3032</v>
      </c>
      <c r="AS158" s="20">
        <v>2796</v>
      </c>
      <c r="AT158" s="20">
        <f t="shared" si="55"/>
        <v>236</v>
      </c>
      <c r="AU158" s="20"/>
      <c r="AV158" s="5"/>
      <c r="AW158" s="29">
        <v>2005</v>
      </c>
      <c r="AX158" s="38" t="s">
        <v>46</v>
      </c>
      <c r="AY158" s="35">
        <f>+MIT_Vic_Cap[[#This Row],[Trenes Puntuales]]/MIT_Vic_Cap[[#This Row],[Trenes Programados]]</f>
        <v>0.55635245901639341</v>
      </c>
      <c r="AZ158" s="35">
        <f>+MIT_Vic_Cap[[#This Row],[Trenes Puntuales]]/MIT_Vic_Cap[[#This Row],[Trenes Corridos]]</f>
        <v>0.59150326797385622</v>
      </c>
      <c r="BA158" s="35">
        <f>+MIT_Vic_Cap[[#This Row],[Trenes Corridos]]/MIT_Vic_Cap[[#This Row],[Trenes Programados]]</f>
        <v>0.94057377049180324</v>
      </c>
      <c r="BB158" s="20">
        <v>976</v>
      </c>
      <c r="BC158" s="27">
        <f t="shared" si="56"/>
        <v>58</v>
      </c>
      <c r="BD158" s="20">
        <v>918</v>
      </c>
      <c r="BE158" s="20">
        <v>543</v>
      </c>
      <c r="BF158" s="20">
        <f t="shared" si="57"/>
        <v>375</v>
      </c>
      <c r="BG158" s="20"/>
      <c r="BH158" s="5"/>
      <c r="BI158" s="29">
        <v>2005</v>
      </c>
      <c r="BJ158" s="38" t="s">
        <v>46</v>
      </c>
      <c r="BK158" s="35">
        <f>+Tabla8[[#This Row],[Trenes Puntuales]]/Tabla8[[#This Row],[Trenes Programados]]</f>
        <v>0.70815899581589958</v>
      </c>
      <c r="BL158" s="35">
        <f>+Tabla8[[#This Row],[Trenes Puntuales]]/Tabla8[[#This Row],[Trenes Corridos]]</f>
        <v>0.77194982896237174</v>
      </c>
      <c r="BM158" s="35">
        <f>+Tabla8[[#This Row],[Trenes Corridos]]/Tabla8[[#This Row],[Trenes Programados]]</f>
        <v>0.91736401673640167</v>
      </c>
      <c r="BN158" s="20">
        <v>956</v>
      </c>
      <c r="BO158" s="27">
        <f t="shared" si="58"/>
        <v>79</v>
      </c>
      <c r="BP158" s="20">
        <v>877</v>
      </c>
      <c r="BQ158" s="20">
        <v>677</v>
      </c>
      <c r="BR158" s="20">
        <f t="shared" si="59"/>
        <v>200</v>
      </c>
      <c r="BS158" s="29"/>
    </row>
    <row r="159" spans="1:71" s="3" customFormat="1" ht="12.75">
      <c r="A159" s="3">
        <v>2005</v>
      </c>
      <c r="B159" s="38" t="s">
        <v>47</v>
      </c>
      <c r="C159" s="25">
        <f>+MITRE[[#This Row],[Trenes Puntuales]]/MITRE[[#This Row],[Trenes Programados]]</f>
        <v>0.76634641046170271</v>
      </c>
      <c r="D159" s="25">
        <f>+MITRE[[#This Row],[Trenes Puntuales]]/MITRE[[#This Row],[Trenes Corridos]]</f>
        <v>0.80209497206703906</v>
      </c>
      <c r="E159" s="25">
        <f>+MITRE[[#This Row],[Trenes Corridos]]/MITRE[[#This Row],[Trenes Programados]]</f>
        <v>0.9554310114758473</v>
      </c>
      <c r="F159" s="27">
        <f t="shared" si="45"/>
        <v>14988</v>
      </c>
      <c r="G159" s="27">
        <f t="shared" si="46"/>
        <v>668</v>
      </c>
      <c r="H159" s="27">
        <f t="shared" si="47"/>
        <v>14320</v>
      </c>
      <c r="I159" s="27">
        <f t="shared" si="48"/>
        <v>11486</v>
      </c>
      <c r="J159" s="27">
        <f t="shared" si="49"/>
        <v>2834</v>
      </c>
      <c r="K159" s="27"/>
      <c r="L159" s="4"/>
      <c r="M159" s="29">
        <v>2005</v>
      </c>
      <c r="N159" s="38" t="s">
        <v>47</v>
      </c>
      <c r="O159" s="35">
        <f>+Tabla4[[#This Row],[Trenes Puntuales]]/Tabla4[[#This Row],[Trenes Programados]]</f>
        <v>0.61611721611721615</v>
      </c>
      <c r="P159" s="35">
        <f>+Tabla4[[#This Row],[Trenes Puntuales]]/Tabla4[[#This Row],[Trenes Corridos]]</f>
        <v>0.64992272024729525</v>
      </c>
      <c r="Q159" s="35">
        <f>+Tabla4[[#This Row],[Trenes Corridos]]/Tabla4[[#This Row],[Trenes Programados]]</f>
        <v>0.94798534798534795</v>
      </c>
      <c r="R159" s="20">
        <v>5460</v>
      </c>
      <c r="S159" s="27">
        <f t="shared" si="50"/>
        <v>284</v>
      </c>
      <c r="T159" s="20">
        <v>5176</v>
      </c>
      <c r="U159" s="20">
        <v>3364</v>
      </c>
      <c r="V159" s="20">
        <f t="shared" si="51"/>
        <v>1812</v>
      </c>
      <c r="W159" s="20"/>
      <c r="X159" s="5"/>
      <c r="Y159" s="29">
        <v>2005</v>
      </c>
      <c r="Z159" s="38" t="s">
        <v>47</v>
      </c>
      <c r="AA159" s="35">
        <f>+Tabla5[[#This Row],[Trenes Puntuales]]/Tabla5[[#This Row],[Trenes Programados]]</f>
        <v>0.88387389430709906</v>
      </c>
      <c r="AB159" s="35">
        <f>+Tabla5[[#This Row],[Trenes Puntuales]]/Tabla5[[#This Row],[Trenes Corridos]]</f>
        <v>0.90817991144255417</v>
      </c>
      <c r="AC159" s="35">
        <f>+Tabla5[[#This Row],[Trenes Corridos]]/Tabla5[[#This Row],[Trenes Programados]]</f>
        <v>0.97323656157858929</v>
      </c>
      <c r="AD159" s="20">
        <v>4409</v>
      </c>
      <c r="AE159" s="27">
        <f t="shared" si="52"/>
        <v>118</v>
      </c>
      <c r="AF159" s="20">
        <v>4291</v>
      </c>
      <c r="AG159" s="20">
        <v>3897</v>
      </c>
      <c r="AH159" s="20">
        <f t="shared" si="53"/>
        <v>394</v>
      </c>
      <c r="AI159" s="20"/>
      <c r="AJ159" s="5"/>
      <c r="AK159" s="29">
        <v>2005</v>
      </c>
      <c r="AL159" s="38" t="s">
        <v>47</v>
      </c>
      <c r="AM159" s="35">
        <f>+Tabla6[[#This Row],[Trenes Puntuales]]/Tabla6[[#This Row],[Trenes Programados]]</f>
        <v>0.92220828105395236</v>
      </c>
      <c r="AN159" s="35">
        <f>+Tabla6[[#This Row],[Trenes Puntuales]]/Tabla6[[#This Row],[Trenes Corridos]]</f>
        <v>0.94594594594594594</v>
      </c>
      <c r="AO159" s="35">
        <f>+Tabla6[[#This Row],[Trenes Corridos]]/Tabla6[[#This Row],[Trenes Programados]]</f>
        <v>0.97490589711417819</v>
      </c>
      <c r="AP159" s="20">
        <v>3188</v>
      </c>
      <c r="AQ159" s="27">
        <f t="shared" si="54"/>
        <v>80</v>
      </c>
      <c r="AR159" s="20">
        <v>3108</v>
      </c>
      <c r="AS159" s="20">
        <v>2940</v>
      </c>
      <c r="AT159" s="20">
        <f t="shared" si="55"/>
        <v>168</v>
      </c>
      <c r="AU159" s="20"/>
      <c r="AV159" s="5"/>
      <c r="AW159" s="29">
        <v>2005</v>
      </c>
      <c r="AX159" s="38" t="s">
        <v>47</v>
      </c>
      <c r="AY159" s="35">
        <f>+MIT_Vic_Cap[[#This Row],[Trenes Puntuales]]/MIT_Vic_Cap[[#This Row],[Trenes Programados]]</f>
        <v>0.57894736842105265</v>
      </c>
      <c r="AZ159" s="35">
        <f>+MIT_Vic_Cap[[#This Row],[Trenes Puntuales]]/MIT_Vic_Cap[[#This Row],[Trenes Corridos]]</f>
        <v>0.64269662921348314</v>
      </c>
      <c r="BA159" s="35">
        <f>+MIT_Vic_Cap[[#This Row],[Trenes Corridos]]/MIT_Vic_Cap[[#This Row],[Trenes Programados]]</f>
        <v>0.90080971659919029</v>
      </c>
      <c r="BB159" s="20">
        <v>988</v>
      </c>
      <c r="BC159" s="27">
        <f t="shared" si="56"/>
        <v>98</v>
      </c>
      <c r="BD159" s="20">
        <v>890</v>
      </c>
      <c r="BE159" s="20">
        <v>572</v>
      </c>
      <c r="BF159" s="20">
        <f t="shared" si="57"/>
        <v>318</v>
      </c>
      <c r="BG159" s="20"/>
      <c r="BH159" s="5"/>
      <c r="BI159" s="29">
        <v>2005</v>
      </c>
      <c r="BJ159" s="38" t="s">
        <v>47</v>
      </c>
      <c r="BK159" s="35">
        <f>+Tabla8[[#This Row],[Trenes Puntuales]]/Tabla8[[#This Row],[Trenes Programados]]</f>
        <v>0.75609756097560976</v>
      </c>
      <c r="BL159" s="35">
        <f>+Tabla8[[#This Row],[Trenes Puntuales]]/Tabla8[[#This Row],[Trenes Corridos]]</f>
        <v>0.83391812865497073</v>
      </c>
      <c r="BM159" s="35">
        <f>+Tabla8[[#This Row],[Trenes Corridos]]/Tabla8[[#This Row],[Trenes Programados]]</f>
        <v>0.90668080593849421</v>
      </c>
      <c r="BN159" s="20">
        <v>943</v>
      </c>
      <c r="BO159" s="27">
        <f t="shared" si="58"/>
        <v>88</v>
      </c>
      <c r="BP159" s="20">
        <v>855</v>
      </c>
      <c r="BQ159" s="20">
        <v>713</v>
      </c>
      <c r="BR159" s="20">
        <f t="shared" si="59"/>
        <v>142</v>
      </c>
      <c r="BS159" s="29"/>
    </row>
    <row r="160" spans="1:71" s="3" customFormat="1" ht="12.75">
      <c r="A160" s="3">
        <v>2005</v>
      </c>
      <c r="B160" s="38" t="s">
        <v>48</v>
      </c>
      <c r="C160" s="25">
        <f>+MITRE[[#This Row],[Trenes Puntuales]]/MITRE[[#This Row],[Trenes Programados]]</f>
        <v>0.83636242148870776</v>
      </c>
      <c r="D160" s="25">
        <f>+MITRE[[#This Row],[Trenes Puntuales]]/MITRE[[#This Row],[Trenes Corridos]]</f>
        <v>0.86485179299385062</v>
      </c>
      <c r="E160" s="25">
        <f>+MITRE[[#This Row],[Trenes Corridos]]/MITRE[[#This Row],[Trenes Programados]]</f>
        <v>0.96705866631030335</v>
      </c>
      <c r="F160" s="27">
        <f t="shared" si="45"/>
        <v>14966</v>
      </c>
      <c r="G160" s="27">
        <f t="shared" si="46"/>
        <v>493</v>
      </c>
      <c r="H160" s="27">
        <f t="shared" si="47"/>
        <v>14473</v>
      </c>
      <c r="I160" s="27">
        <f t="shared" si="48"/>
        <v>12517</v>
      </c>
      <c r="J160" s="27">
        <f t="shared" si="49"/>
        <v>1956</v>
      </c>
      <c r="K160" s="27"/>
      <c r="L160" s="4"/>
      <c r="M160" s="29">
        <v>2005</v>
      </c>
      <c r="N160" s="38" t="s">
        <v>48</v>
      </c>
      <c r="O160" s="35">
        <f>+Tabla4[[#This Row],[Trenes Puntuales]]/Tabla4[[#This Row],[Trenes Programados]]</f>
        <v>0.7728102189781022</v>
      </c>
      <c r="P160" s="35">
        <f>+Tabla4[[#This Row],[Trenes Puntuales]]/Tabla4[[#This Row],[Trenes Corridos]]</f>
        <v>0.79381443298969068</v>
      </c>
      <c r="Q160" s="35">
        <f>+Tabla4[[#This Row],[Trenes Corridos]]/Tabla4[[#This Row],[Trenes Programados]]</f>
        <v>0.97354014598540151</v>
      </c>
      <c r="R160" s="20">
        <v>5480</v>
      </c>
      <c r="S160" s="27">
        <f t="shared" si="50"/>
        <v>145</v>
      </c>
      <c r="T160" s="20">
        <v>5335</v>
      </c>
      <c r="U160" s="20">
        <v>4235</v>
      </c>
      <c r="V160" s="20">
        <f t="shared" si="51"/>
        <v>1100</v>
      </c>
      <c r="W160" s="20"/>
      <c r="X160" s="5"/>
      <c r="Y160" s="29">
        <v>2005</v>
      </c>
      <c r="Z160" s="38" t="s">
        <v>48</v>
      </c>
      <c r="AA160" s="35">
        <f>+Tabla5[[#This Row],[Trenes Puntuales]]/Tabla5[[#This Row],[Trenes Programados]]</f>
        <v>0.89447463768115942</v>
      </c>
      <c r="AB160" s="35">
        <f>+Tabla5[[#This Row],[Trenes Puntuales]]/Tabla5[[#This Row],[Trenes Corridos]]</f>
        <v>0.91498725967106787</v>
      </c>
      <c r="AC160" s="35">
        <f>+Tabla5[[#This Row],[Trenes Corridos]]/Tabla5[[#This Row],[Trenes Programados]]</f>
        <v>0.97758152173913049</v>
      </c>
      <c r="AD160" s="20">
        <v>4416</v>
      </c>
      <c r="AE160" s="27">
        <f t="shared" si="52"/>
        <v>99</v>
      </c>
      <c r="AF160" s="20">
        <v>4317</v>
      </c>
      <c r="AG160" s="20">
        <v>3950</v>
      </c>
      <c r="AH160" s="20">
        <f t="shared" si="53"/>
        <v>367</v>
      </c>
      <c r="AI160" s="20"/>
      <c r="AJ160" s="5"/>
      <c r="AK160" s="29">
        <v>2005</v>
      </c>
      <c r="AL160" s="38" t="s">
        <v>48</v>
      </c>
      <c r="AM160" s="35">
        <f>+Tabla6[[#This Row],[Trenes Puntuales]]/Tabla6[[#This Row],[Trenes Programados]]</f>
        <v>0.92574888463989802</v>
      </c>
      <c r="AN160" s="35">
        <f>+Tabla6[[#This Row],[Trenes Puntuales]]/Tabla6[[#This Row],[Trenes Corridos]]</f>
        <v>0.94318181818181823</v>
      </c>
      <c r="AO160" s="35">
        <f>+Tabla6[[#This Row],[Trenes Corridos]]/Tabla6[[#This Row],[Trenes Programados]]</f>
        <v>0.98151688973868711</v>
      </c>
      <c r="AP160" s="20">
        <v>3138</v>
      </c>
      <c r="AQ160" s="27">
        <f t="shared" si="54"/>
        <v>58</v>
      </c>
      <c r="AR160" s="20">
        <v>3080</v>
      </c>
      <c r="AS160" s="20">
        <v>2905</v>
      </c>
      <c r="AT160" s="20">
        <f t="shared" si="55"/>
        <v>175</v>
      </c>
      <c r="AU160" s="20"/>
      <c r="AV160" s="5"/>
      <c r="AW160" s="29">
        <v>2005</v>
      </c>
      <c r="AX160" s="38" t="s">
        <v>48</v>
      </c>
      <c r="AY160" s="35">
        <f>+MIT_Vic_Cap[[#This Row],[Trenes Puntuales]]/MIT_Vic_Cap[[#This Row],[Trenes Programados]]</f>
        <v>0.66598360655737709</v>
      </c>
      <c r="AZ160" s="35">
        <f>+MIT_Vic_Cap[[#This Row],[Trenes Puntuales]]/MIT_Vic_Cap[[#This Row],[Trenes Corridos]]</f>
        <v>0.717439293598234</v>
      </c>
      <c r="BA160" s="35">
        <f>+MIT_Vic_Cap[[#This Row],[Trenes Corridos]]/MIT_Vic_Cap[[#This Row],[Trenes Programados]]</f>
        <v>0.92827868852459017</v>
      </c>
      <c r="BB160" s="20">
        <v>976</v>
      </c>
      <c r="BC160" s="27">
        <f t="shared" si="56"/>
        <v>70</v>
      </c>
      <c r="BD160" s="20">
        <v>906</v>
      </c>
      <c r="BE160" s="20">
        <v>650</v>
      </c>
      <c r="BF160" s="20">
        <f t="shared" si="57"/>
        <v>256</v>
      </c>
      <c r="BG160" s="20"/>
      <c r="BH160" s="5"/>
      <c r="BI160" s="29">
        <v>2005</v>
      </c>
      <c r="BJ160" s="38" t="s">
        <v>48</v>
      </c>
      <c r="BK160" s="35">
        <f>+Tabla8[[#This Row],[Trenes Puntuales]]/Tabla8[[#This Row],[Trenes Programados]]</f>
        <v>0.81276150627615062</v>
      </c>
      <c r="BL160" s="35">
        <f>+Tabla8[[#This Row],[Trenes Puntuales]]/Tabla8[[#This Row],[Trenes Corridos]]</f>
        <v>0.93053892215568867</v>
      </c>
      <c r="BM160" s="35">
        <f>+Tabla8[[#This Row],[Trenes Corridos]]/Tabla8[[#This Row],[Trenes Programados]]</f>
        <v>0.87343096234309625</v>
      </c>
      <c r="BN160" s="20">
        <v>956</v>
      </c>
      <c r="BO160" s="27">
        <f t="shared" si="58"/>
        <v>121</v>
      </c>
      <c r="BP160" s="20">
        <v>835</v>
      </c>
      <c r="BQ160" s="20">
        <v>777</v>
      </c>
      <c r="BR160" s="20">
        <f t="shared" si="59"/>
        <v>58</v>
      </c>
      <c r="BS160" s="29"/>
    </row>
    <row r="161" spans="1:71" s="3" customFormat="1" ht="12.75">
      <c r="A161" s="3">
        <v>2005</v>
      </c>
      <c r="B161" s="38" t="s">
        <v>49</v>
      </c>
      <c r="C161" s="25">
        <f>+MITRE[[#This Row],[Trenes Puntuales]]/MITRE[[#This Row],[Trenes Programados]]</f>
        <v>0.89075243357011313</v>
      </c>
      <c r="D161" s="25">
        <f>+MITRE[[#This Row],[Trenes Puntuales]]/MITRE[[#This Row],[Trenes Corridos]]</f>
        <v>0.91377100060724648</v>
      </c>
      <c r="E161" s="25">
        <f>+MITRE[[#This Row],[Trenes Corridos]]/MITRE[[#This Row],[Trenes Programados]]</f>
        <v>0.97480926072086294</v>
      </c>
      <c r="F161" s="27">
        <f t="shared" si="45"/>
        <v>15204</v>
      </c>
      <c r="G161" s="27">
        <f t="shared" si="46"/>
        <v>383</v>
      </c>
      <c r="H161" s="27">
        <f t="shared" si="47"/>
        <v>14821</v>
      </c>
      <c r="I161" s="27">
        <f t="shared" si="48"/>
        <v>13543</v>
      </c>
      <c r="J161" s="27">
        <f t="shared" si="49"/>
        <v>1278</v>
      </c>
      <c r="K161" s="27"/>
      <c r="L161" s="4"/>
      <c r="M161" s="29">
        <v>2005</v>
      </c>
      <c r="N161" s="38" t="s">
        <v>49</v>
      </c>
      <c r="O161" s="35">
        <f>+Tabla4[[#This Row],[Trenes Puntuales]]/Tabla4[[#This Row],[Trenes Programados]]</f>
        <v>0.85207207207207203</v>
      </c>
      <c r="P161" s="35">
        <f>+Tabla4[[#This Row],[Trenes Puntuales]]/Tabla4[[#This Row],[Trenes Corridos]]</f>
        <v>0.86722904823033198</v>
      </c>
      <c r="Q161" s="35">
        <f>+Tabla4[[#This Row],[Trenes Corridos]]/Tabla4[[#This Row],[Trenes Programados]]</f>
        <v>0.98252252252252248</v>
      </c>
      <c r="R161" s="20">
        <v>5550</v>
      </c>
      <c r="S161" s="27">
        <f t="shared" si="50"/>
        <v>97</v>
      </c>
      <c r="T161" s="20">
        <v>5453</v>
      </c>
      <c r="U161" s="20">
        <v>4729</v>
      </c>
      <c r="V161" s="20">
        <f t="shared" si="51"/>
        <v>724</v>
      </c>
      <c r="W161" s="20"/>
      <c r="X161" s="5"/>
      <c r="Y161" s="29">
        <v>2005</v>
      </c>
      <c r="Z161" s="38" t="s">
        <v>49</v>
      </c>
      <c r="AA161" s="35">
        <f>+Tabla5[[#This Row],[Trenes Puntuales]]/Tabla5[[#This Row],[Trenes Programados]]</f>
        <v>0.94129464285714282</v>
      </c>
      <c r="AB161" s="35">
        <f>+Tabla5[[#This Row],[Trenes Puntuales]]/Tabla5[[#This Row],[Trenes Corridos]]</f>
        <v>0.95797364834166288</v>
      </c>
      <c r="AC161" s="35">
        <f>+Tabla5[[#This Row],[Trenes Corridos]]/Tabla5[[#This Row],[Trenes Programados]]</f>
        <v>0.98258928571428572</v>
      </c>
      <c r="AD161" s="20">
        <v>4480</v>
      </c>
      <c r="AE161" s="27">
        <f t="shared" si="52"/>
        <v>78</v>
      </c>
      <c r="AF161" s="20">
        <v>4402</v>
      </c>
      <c r="AG161" s="20">
        <v>4217</v>
      </c>
      <c r="AH161" s="20">
        <f t="shared" si="53"/>
        <v>185</v>
      </c>
      <c r="AI161" s="20"/>
      <c r="AJ161" s="5"/>
      <c r="AK161" s="29">
        <v>2005</v>
      </c>
      <c r="AL161" s="38" t="s">
        <v>49</v>
      </c>
      <c r="AM161" s="35">
        <f>+Tabla6[[#This Row],[Trenes Puntuales]]/Tabla6[[#This Row],[Trenes Programados]]</f>
        <v>0.95955196017423772</v>
      </c>
      <c r="AN161" s="35">
        <f>+Tabla6[[#This Row],[Trenes Puntuales]]/Tabla6[[#This Row],[Trenes Corridos]]</f>
        <v>0.97103274559193953</v>
      </c>
      <c r="AO161" s="35">
        <f>+Tabla6[[#This Row],[Trenes Corridos]]/Tabla6[[#This Row],[Trenes Programados]]</f>
        <v>0.98817672682016178</v>
      </c>
      <c r="AP161" s="20">
        <v>3214</v>
      </c>
      <c r="AQ161" s="27">
        <f t="shared" si="54"/>
        <v>38</v>
      </c>
      <c r="AR161" s="20">
        <v>3176</v>
      </c>
      <c r="AS161" s="20">
        <v>3084</v>
      </c>
      <c r="AT161" s="20">
        <f t="shared" si="55"/>
        <v>92</v>
      </c>
      <c r="AU161" s="20"/>
      <c r="AV161" s="5"/>
      <c r="AW161" s="29">
        <v>2005</v>
      </c>
      <c r="AX161" s="38" t="s">
        <v>49</v>
      </c>
      <c r="AY161" s="35">
        <f>+MIT_Vic_Cap[[#This Row],[Trenes Puntuales]]/MIT_Vic_Cap[[#This Row],[Trenes Programados]]</f>
        <v>0.72072072072072069</v>
      </c>
      <c r="AZ161" s="35">
        <f>+MIT_Vic_Cap[[#This Row],[Trenes Puntuales]]/MIT_Vic_Cap[[#This Row],[Trenes Corridos]]</f>
        <v>0.76433121019108285</v>
      </c>
      <c r="BA161" s="35">
        <f>+MIT_Vic_Cap[[#This Row],[Trenes Corridos]]/MIT_Vic_Cap[[#This Row],[Trenes Programados]]</f>
        <v>0.9429429429429429</v>
      </c>
      <c r="BB161" s="20">
        <v>999</v>
      </c>
      <c r="BC161" s="27">
        <f t="shared" si="56"/>
        <v>57</v>
      </c>
      <c r="BD161" s="20">
        <v>942</v>
      </c>
      <c r="BE161" s="20">
        <v>720</v>
      </c>
      <c r="BF161" s="20">
        <f t="shared" si="57"/>
        <v>222</v>
      </c>
      <c r="BG161" s="20"/>
      <c r="BH161" s="5"/>
      <c r="BI161" s="29">
        <v>2005</v>
      </c>
      <c r="BJ161" s="38" t="s">
        <v>49</v>
      </c>
      <c r="BK161" s="35">
        <f>+Tabla8[[#This Row],[Trenes Puntuales]]/Tabla8[[#This Row],[Trenes Programados]]</f>
        <v>0.82518210197710717</v>
      </c>
      <c r="BL161" s="35">
        <f>+Tabla8[[#This Row],[Trenes Puntuales]]/Tabla8[[#This Row],[Trenes Corridos]]</f>
        <v>0.93514150943396224</v>
      </c>
      <c r="BM161" s="35">
        <f>+Tabla8[[#This Row],[Trenes Corridos]]/Tabla8[[#This Row],[Trenes Programados]]</f>
        <v>0.88241415192507799</v>
      </c>
      <c r="BN161" s="20">
        <v>961</v>
      </c>
      <c r="BO161" s="27">
        <f t="shared" si="58"/>
        <v>113</v>
      </c>
      <c r="BP161" s="20">
        <v>848</v>
      </c>
      <c r="BQ161" s="20">
        <v>793</v>
      </c>
      <c r="BR161" s="20">
        <f t="shared" si="59"/>
        <v>55</v>
      </c>
      <c r="BS161" s="29"/>
    </row>
    <row r="162" spans="1:71" s="3" customFormat="1" ht="12.75">
      <c r="A162" s="3">
        <v>2006</v>
      </c>
      <c r="B162" s="38" t="s">
        <v>38</v>
      </c>
      <c r="C162" s="25">
        <f>+MITRE[[#This Row],[Trenes Puntuales]]/MITRE[[#This Row],[Trenes Programados]]</f>
        <v>0.89430309372751648</v>
      </c>
      <c r="D162" s="25">
        <f>+MITRE[[#This Row],[Trenes Puntuales]]/MITRE[[#This Row],[Trenes Corridos]]</f>
        <v>0.9288722826086957</v>
      </c>
      <c r="E162" s="25">
        <f>+MITRE[[#This Row],[Trenes Corridos]]/MITRE[[#This Row],[Trenes Programados]]</f>
        <v>0.96278370069984953</v>
      </c>
      <c r="F162" s="27">
        <f t="shared" si="45"/>
        <v>15289</v>
      </c>
      <c r="G162" s="27">
        <f t="shared" si="46"/>
        <v>569</v>
      </c>
      <c r="H162" s="27">
        <f t="shared" si="47"/>
        <v>14720</v>
      </c>
      <c r="I162" s="27">
        <f t="shared" si="48"/>
        <v>13673</v>
      </c>
      <c r="J162" s="27">
        <f t="shared" si="49"/>
        <v>1047</v>
      </c>
      <c r="K162" s="27"/>
      <c r="L162" s="4"/>
      <c r="M162" s="29">
        <v>2006</v>
      </c>
      <c r="N162" s="38" t="s">
        <v>38</v>
      </c>
      <c r="O162" s="35">
        <f>+Tabla4[[#This Row],[Trenes Puntuales]]/Tabla4[[#This Row],[Trenes Programados]]</f>
        <v>0.89516994633273705</v>
      </c>
      <c r="P162" s="35">
        <f>+Tabla4[[#This Row],[Trenes Puntuales]]/Tabla4[[#This Row],[Trenes Corridos]]</f>
        <v>0.92649509350120351</v>
      </c>
      <c r="Q162" s="35">
        <f>+Tabla4[[#This Row],[Trenes Corridos]]/Tabla4[[#This Row],[Trenes Programados]]</f>
        <v>0.96618962432915922</v>
      </c>
      <c r="R162" s="20">
        <v>5590</v>
      </c>
      <c r="S162" s="27">
        <f t="shared" ref="S162:S173" si="60">R162-T162</f>
        <v>189</v>
      </c>
      <c r="T162" s="20">
        <v>5401</v>
      </c>
      <c r="U162" s="20">
        <v>5004</v>
      </c>
      <c r="V162" s="20">
        <f t="shared" ref="V162:V173" si="61">T162-U162</f>
        <v>397</v>
      </c>
      <c r="W162" s="20"/>
      <c r="X162" s="5"/>
      <c r="Y162" s="29">
        <v>2006</v>
      </c>
      <c r="Z162" s="38" t="s">
        <v>38</v>
      </c>
      <c r="AA162" s="35">
        <f>+Tabla5[[#This Row],[Trenes Puntuales]]/Tabla5[[#This Row],[Trenes Programados]]</f>
        <v>0.92341842397336293</v>
      </c>
      <c r="AB162" s="35">
        <f>+Tabla5[[#This Row],[Trenes Puntuales]]/Tabla5[[#This Row],[Trenes Corridos]]</f>
        <v>0.9407507914970602</v>
      </c>
      <c r="AC162" s="35">
        <f>+Tabla5[[#This Row],[Trenes Corridos]]/Tabla5[[#This Row],[Trenes Programados]]</f>
        <v>0.98157602663706989</v>
      </c>
      <c r="AD162" s="20">
        <v>4505</v>
      </c>
      <c r="AE162" s="27">
        <f t="shared" ref="AE162:AE173" si="62">AD162-AF162</f>
        <v>83</v>
      </c>
      <c r="AF162" s="20">
        <v>4422</v>
      </c>
      <c r="AG162" s="20">
        <v>4160</v>
      </c>
      <c r="AH162" s="20">
        <f t="shared" ref="AH162:AH173" si="63">AF162-AG162</f>
        <v>262</v>
      </c>
      <c r="AI162" s="20"/>
      <c r="AJ162" s="5"/>
      <c r="AK162" s="29">
        <v>2006</v>
      </c>
      <c r="AL162" s="38" t="s">
        <v>38</v>
      </c>
      <c r="AM162" s="35">
        <f>+Tabla6[[#This Row],[Trenes Puntuales]]/Tabla6[[#This Row],[Trenes Programados]]</f>
        <v>0.93573424402359517</v>
      </c>
      <c r="AN162" s="35">
        <f>+Tabla6[[#This Row],[Trenes Puntuales]]/Tabla6[[#This Row],[Trenes Corridos]]</f>
        <v>0.96571611662928547</v>
      </c>
      <c r="AO162" s="35">
        <f>+Tabla6[[#This Row],[Trenes Corridos]]/Tabla6[[#This Row],[Trenes Programados]]</f>
        <v>0.96895374107420051</v>
      </c>
      <c r="AP162" s="20">
        <v>3221</v>
      </c>
      <c r="AQ162" s="27">
        <f t="shared" ref="AQ162:AQ173" si="64">AP162-AR162</f>
        <v>100</v>
      </c>
      <c r="AR162" s="20">
        <v>3121</v>
      </c>
      <c r="AS162" s="20">
        <v>3014</v>
      </c>
      <c r="AT162" s="20">
        <f t="shared" ref="AT162:AT173" si="65">AR162-AS162</f>
        <v>107</v>
      </c>
      <c r="AU162" s="20"/>
      <c r="AV162" s="5"/>
      <c r="AW162" s="29">
        <v>2006</v>
      </c>
      <c r="AX162" s="38" t="s">
        <v>38</v>
      </c>
      <c r="AY162" s="35">
        <f>+MIT_Vic_Cap[[#This Row],[Trenes Puntuales]]/MIT_Vic_Cap[[#This Row],[Trenes Programados]]</f>
        <v>0.73473473473473472</v>
      </c>
      <c r="AZ162" s="35">
        <f>+MIT_Vic_Cap[[#This Row],[Trenes Puntuales]]/MIT_Vic_Cap[[#This Row],[Trenes Corridos]]</f>
        <v>0.76858638743455499</v>
      </c>
      <c r="BA162" s="35">
        <f>+MIT_Vic_Cap[[#This Row],[Trenes Corridos]]/MIT_Vic_Cap[[#This Row],[Trenes Programados]]</f>
        <v>0.95595595595595595</v>
      </c>
      <c r="BB162" s="20">
        <v>999</v>
      </c>
      <c r="BC162" s="27">
        <f t="shared" ref="BC162:BC173" si="66">BB162-BD162</f>
        <v>44</v>
      </c>
      <c r="BD162" s="20">
        <v>955</v>
      </c>
      <c r="BE162" s="20">
        <v>734</v>
      </c>
      <c r="BF162" s="20">
        <f t="shared" ref="BF162:BF173" si="67">BD162-BE162</f>
        <v>221</v>
      </c>
      <c r="BG162" s="20"/>
      <c r="BH162" s="5"/>
      <c r="BI162" s="29">
        <v>2006</v>
      </c>
      <c r="BJ162" s="38" t="s">
        <v>38</v>
      </c>
      <c r="BK162" s="35">
        <f>+Tabla8[[#This Row],[Trenes Puntuales]]/Tabla8[[#This Row],[Trenes Programados]]</f>
        <v>0.78131416837782341</v>
      </c>
      <c r="BL162" s="35">
        <f>+Tabla8[[#This Row],[Trenes Puntuales]]/Tabla8[[#This Row],[Trenes Corridos]]</f>
        <v>0.92691839220462846</v>
      </c>
      <c r="BM162" s="35">
        <f>+Tabla8[[#This Row],[Trenes Corridos]]/Tabla8[[#This Row],[Trenes Programados]]</f>
        <v>0.84291581108829572</v>
      </c>
      <c r="BN162" s="20">
        <v>974</v>
      </c>
      <c r="BO162" s="27">
        <f t="shared" ref="BO162:BO173" si="68">BN162-BP162</f>
        <v>153</v>
      </c>
      <c r="BP162" s="20">
        <v>821</v>
      </c>
      <c r="BQ162" s="20">
        <v>761</v>
      </c>
      <c r="BR162" s="20">
        <f t="shared" ref="BR162:BR173" si="69">BP162-BQ162</f>
        <v>60</v>
      </c>
      <c r="BS162" s="29"/>
    </row>
    <row r="163" spans="1:71" s="3" customFormat="1" ht="12.75">
      <c r="A163" s="3">
        <v>2006</v>
      </c>
      <c r="B163" s="38" t="s">
        <v>39</v>
      </c>
      <c r="C163" s="25">
        <f>+MITRE[[#This Row],[Trenes Puntuales]]/MITRE[[#This Row],[Trenes Programados]]</f>
        <v>0.8358155002891845</v>
      </c>
      <c r="D163" s="25">
        <f>+MITRE[[#This Row],[Trenes Puntuales]]/MITRE[[#This Row],[Trenes Corridos]]</f>
        <v>0.87477300242130751</v>
      </c>
      <c r="E163" s="25">
        <f>+MITRE[[#This Row],[Trenes Corridos]]/MITRE[[#This Row],[Trenes Programados]]</f>
        <v>0.95546558704453444</v>
      </c>
      <c r="F163" s="27">
        <f t="shared" si="45"/>
        <v>13832</v>
      </c>
      <c r="G163" s="27">
        <f t="shared" si="46"/>
        <v>616</v>
      </c>
      <c r="H163" s="27">
        <f t="shared" si="47"/>
        <v>13216</v>
      </c>
      <c r="I163" s="27">
        <f t="shared" si="48"/>
        <v>11561</v>
      </c>
      <c r="J163" s="27">
        <f t="shared" si="49"/>
        <v>1655</v>
      </c>
      <c r="K163" s="27"/>
      <c r="L163" s="4"/>
      <c r="M163" s="29">
        <v>2006</v>
      </c>
      <c r="N163" s="38" t="s">
        <v>39</v>
      </c>
      <c r="O163" s="35">
        <f>+Tabla4[[#This Row],[Trenes Puntuales]]/Tabla4[[#This Row],[Trenes Programados]]</f>
        <v>0.87952755905511815</v>
      </c>
      <c r="P163" s="35">
        <f>+Tabla4[[#This Row],[Trenes Puntuales]]/Tabla4[[#This Row],[Trenes Corridos]]</f>
        <v>0.90647190099411645</v>
      </c>
      <c r="Q163" s="35">
        <f>+Tabla4[[#This Row],[Trenes Corridos]]/Tabla4[[#This Row],[Trenes Programados]]</f>
        <v>0.97027559055118107</v>
      </c>
      <c r="R163" s="20">
        <v>5080</v>
      </c>
      <c r="S163" s="27">
        <f t="shared" si="60"/>
        <v>151</v>
      </c>
      <c r="T163" s="20">
        <v>4929</v>
      </c>
      <c r="U163" s="20">
        <v>4468</v>
      </c>
      <c r="V163" s="20">
        <f t="shared" si="61"/>
        <v>461</v>
      </c>
      <c r="W163" s="20"/>
      <c r="X163" s="5"/>
      <c r="Y163" s="29">
        <v>2006</v>
      </c>
      <c r="Z163" s="38" t="s">
        <v>39</v>
      </c>
      <c r="AA163" s="35">
        <f>+Tabla5[[#This Row],[Trenes Puntuales]]/Tabla5[[#This Row],[Trenes Programados]]</f>
        <v>0.80859375</v>
      </c>
      <c r="AB163" s="35">
        <f>+Tabla5[[#This Row],[Trenes Puntuales]]/Tabla5[[#This Row],[Trenes Corridos]]</f>
        <v>0.85032092426187422</v>
      </c>
      <c r="AC163" s="35">
        <f>+Tabla5[[#This Row],[Trenes Corridos]]/Tabla5[[#This Row],[Trenes Programados]]</f>
        <v>0.950927734375</v>
      </c>
      <c r="AD163" s="20">
        <v>4096</v>
      </c>
      <c r="AE163" s="27">
        <f t="shared" si="62"/>
        <v>201</v>
      </c>
      <c r="AF163" s="20">
        <v>3895</v>
      </c>
      <c r="AG163" s="20">
        <v>3312</v>
      </c>
      <c r="AH163" s="20">
        <f t="shared" si="63"/>
        <v>583</v>
      </c>
      <c r="AI163" s="20"/>
      <c r="AJ163" s="5"/>
      <c r="AK163" s="29">
        <v>2006</v>
      </c>
      <c r="AL163" s="38" t="s">
        <v>39</v>
      </c>
      <c r="AM163" s="35">
        <f>+Tabla6[[#This Row],[Trenes Puntuales]]/Tabla6[[#This Row],[Trenes Programados]]</f>
        <v>0.84794520547945207</v>
      </c>
      <c r="AN163" s="35">
        <f>+Tabla6[[#This Row],[Trenes Puntuales]]/Tabla6[[#This Row],[Trenes Corridos]]</f>
        <v>0.88968738771110312</v>
      </c>
      <c r="AO163" s="35">
        <f>+Tabla6[[#This Row],[Trenes Corridos]]/Tabla6[[#This Row],[Trenes Programados]]</f>
        <v>0.95308219178082187</v>
      </c>
      <c r="AP163" s="20">
        <v>2920</v>
      </c>
      <c r="AQ163" s="27">
        <f t="shared" si="64"/>
        <v>137</v>
      </c>
      <c r="AR163" s="20">
        <v>2783</v>
      </c>
      <c r="AS163" s="20">
        <v>2476</v>
      </c>
      <c r="AT163" s="20">
        <f t="shared" si="65"/>
        <v>307</v>
      </c>
      <c r="AU163" s="20"/>
      <c r="AV163" s="5"/>
      <c r="AW163" s="29">
        <v>2006</v>
      </c>
      <c r="AX163" s="38" t="s">
        <v>39</v>
      </c>
      <c r="AY163" s="35">
        <f>+MIT_Vic_Cap[[#This Row],[Trenes Puntuales]]/MIT_Vic_Cap[[#This Row],[Trenes Programados]]</f>
        <v>0.72136563876651982</v>
      </c>
      <c r="AZ163" s="35">
        <f>+MIT_Vic_Cap[[#This Row],[Trenes Puntuales]]/MIT_Vic_Cap[[#This Row],[Trenes Corridos]]</f>
        <v>0.76518691588785048</v>
      </c>
      <c r="BA163" s="35">
        <f>+MIT_Vic_Cap[[#This Row],[Trenes Corridos]]/MIT_Vic_Cap[[#This Row],[Trenes Programados]]</f>
        <v>0.94273127753303965</v>
      </c>
      <c r="BB163" s="20">
        <v>908</v>
      </c>
      <c r="BC163" s="27">
        <f t="shared" si="66"/>
        <v>52</v>
      </c>
      <c r="BD163" s="20">
        <v>856</v>
      </c>
      <c r="BE163" s="20">
        <v>655</v>
      </c>
      <c r="BF163" s="20">
        <f t="shared" si="67"/>
        <v>201</v>
      </c>
      <c r="BG163" s="20"/>
      <c r="BH163" s="5"/>
      <c r="BI163" s="29">
        <v>2006</v>
      </c>
      <c r="BJ163" s="38" t="s">
        <v>39</v>
      </c>
      <c r="BK163" s="35">
        <f>+Tabla8[[#This Row],[Trenes Puntuales]]/Tabla8[[#This Row],[Trenes Programados]]</f>
        <v>0.78502415458937203</v>
      </c>
      <c r="BL163" s="35">
        <f>+Tabla8[[#This Row],[Trenes Puntuales]]/Tabla8[[#This Row],[Trenes Corridos]]</f>
        <v>0.86321381142098275</v>
      </c>
      <c r="BM163" s="35">
        <f>+Tabla8[[#This Row],[Trenes Corridos]]/Tabla8[[#This Row],[Trenes Programados]]</f>
        <v>0.90942028985507251</v>
      </c>
      <c r="BN163" s="20">
        <v>828</v>
      </c>
      <c r="BO163" s="27">
        <f t="shared" si="68"/>
        <v>75</v>
      </c>
      <c r="BP163" s="20">
        <v>753</v>
      </c>
      <c r="BQ163" s="20">
        <v>650</v>
      </c>
      <c r="BR163" s="20">
        <f t="shared" si="69"/>
        <v>103</v>
      </c>
      <c r="BS163" s="29"/>
    </row>
    <row r="164" spans="1:71" s="3" customFormat="1" ht="12.75">
      <c r="A164" s="3">
        <v>2006</v>
      </c>
      <c r="B164" s="38" t="s">
        <v>40</v>
      </c>
      <c r="C164" s="25">
        <f>+MITRE[[#This Row],[Trenes Puntuales]]/MITRE[[#This Row],[Trenes Programados]]</f>
        <v>0.73594212430121675</v>
      </c>
      <c r="D164" s="25">
        <f>+MITRE[[#This Row],[Trenes Puntuales]]/MITRE[[#This Row],[Trenes Corridos]]</f>
        <v>0.76691110958810227</v>
      </c>
      <c r="E164" s="25">
        <f>+MITRE[[#This Row],[Trenes Corridos]]/MITRE[[#This Row],[Trenes Programados]]</f>
        <v>0.95961854653074652</v>
      </c>
      <c r="F164" s="27">
        <f t="shared" si="45"/>
        <v>15205</v>
      </c>
      <c r="G164" s="27">
        <f t="shared" si="46"/>
        <v>614</v>
      </c>
      <c r="H164" s="27">
        <f t="shared" si="47"/>
        <v>14591</v>
      </c>
      <c r="I164" s="27">
        <f t="shared" si="48"/>
        <v>11190</v>
      </c>
      <c r="J164" s="27">
        <f t="shared" si="49"/>
        <v>3401</v>
      </c>
      <c r="K164" s="27"/>
      <c r="L164" s="4"/>
      <c r="M164" s="29">
        <v>2006</v>
      </c>
      <c r="N164" s="38" t="s">
        <v>40</v>
      </c>
      <c r="O164" s="35">
        <f>+Tabla4[[#This Row],[Trenes Puntuales]]/Tabla4[[#This Row],[Trenes Programados]]</f>
        <v>0.78872987477638645</v>
      </c>
      <c r="P164" s="35">
        <f>+Tabla4[[#This Row],[Trenes Puntuales]]/Tabla4[[#This Row],[Trenes Corridos]]</f>
        <v>0.81152217927480208</v>
      </c>
      <c r="Q164" s="35">
        <f>+Tabla4[[#This Row],[Trenes Corridos]]/Tabla4[[#This Row],[Trenes Programados]]</f>
        <v>0.97191413237924862</v>
      </c>
      <c r="R164" s="20">
        <v>5590</v>
      </c>
      <c r="S164" s="27">
        <f t="shared" si="60"/>
        <v>157</v>
      </c>
      <c r="T164" s="20">
        <v>5433</v>
      </c>
      <c r="U164" s="20">
        <v>4409</v>
      </c>
      <c r="V164" s="20">
        <f t="shared" si="61"/>
        <v>1024</v>
      </c>
      <c r="W164" s="20"/>
      <c r="X164" s="5"/>
      <c r="Y164" s="29">
        <v>2006</v>
      </c>
      <c r="Z164" s="38" t="s">
        <v>40</v>
      </c>
      <c r="AA164" s="35">
        <f>+Tabla5[[#This Row],[Trenes Puntuales]]/Tabla5[[#This Row],[Trenes Programados]]</f>
        <v>0.6694178005799688</v>
      </c>
      <c r="AB164" s="35">
        <f>+Tabla5[[#This Row],[Trenes Puntuales]]/Tabla5[[#This Row],[Trenes Corridos]]</f>
        <v>0.69871944121071017</v>
      </c>
      <c r="AC164" s="35">
        <f>+Tabla5[[#This Row],[Trenes Corridos]]/Tabla5[[#This Row],[Trenes Programados]]</f>
        <v>0.95806379656480034</v>
      </c>
      <c r="AD164" s="20">
        <v>4483</v>
      </c>
      <c r="AE164" s="27">
        <f t="shared" si="62"/>
        <v>188</v>
      </c>
      <c r="AF164" s="20">
        <v>4295</v>
      </c>
      <c r="AG164" s="20">
        <v>3001</v>
      </c>
      <c r="AH164" s="20">
        <f t="shared" si="63"/>
        <v>1294</v>
      </c>
      <c r="AI164" s="20"/>
      <c r="AJ164" s="5"/>
      <c r="AK164" s="29">
        <v>2006</v>
      </c>
      <c r="AL164" s="38" t="s">
        <v>40</v>
      </c>
      <c r="AM164" s="35">
        <f>+Tabla6[[#This Row],[Trenes Puntuales]]/Tabla6[[#This Row],[Trenes Programados]]</f>
        <v>0.71064886681154926</v>
      </c>
      <c r="AN164" s="35">
        <f>+Tabla6[[#This Row],[Trenes Puntuales]]/Tabla6[[#This Row],[Trenes Corridos]]</f>
        <v>0.74975433999344909</v>
      </c>
      <c r="AO164" s="35">
        <f>+Tabla6[[#This Row],[Trenes Corridos]]/Tabla6[[#This Row],[Trenes Programados]]</f>
        <v>0.94784228500465695</v>
      </c>
      <c r="AP164" s="20">
        <v>3221</v>
      </c>
      <c r="AQ164" s="27">
        <f t="shared" si="64"/>
        <v>168</v>
      </c>
      <c r="AR164" s="20">
        <v>3053</v>
      </c>
      <c r="AS164" s="20">
        <v>2289</v>
      </c>
      <c r="AT164" s="20">
        <f t="shared" si="65"/>
        <v>764</v>
      </c>
      <c r="AU164" s="20"/>
      <c r="AV164" s="5"/>
      <c r="AW164" s="29">
        <v>2006</v>
      </c>
      <c r="AX164" s="38" t="s">
        <v>40</v>
      </c>
      <c r="AY164" s="35">
        <f>+MIT_Vic_Cap[[#This Row],[Trenes Puntuales]]/MIT_Vic_Cap[[#This Row],[Trenes Programados]]</f>
        <v>0.7047047047047047</v>
      </c>
      <c r="AZ164" s="35">
        <f>+MIT_Vic_Cap[[#This Row],[Trenes Puntuales]]/MIT_Vic_Cap[[#This Row],[Trenes Corridos]]</f>
        <v>0.75294117647058822</v>
      </c>
      <c r="BA164" s="35">
        <f>+MIT_Vic_Cap[[#This Row],[Trenes Corridos]]/MIT_Vic_Cap[[#This Row],[Trenes Programados]]</f>
        <v>0.93593593593593594</v>
      </c>
      <c r="BB164" s="20">
        <v>999</v>
      </c>
      <c r="BC164" s="27">
        <f t="shared" si="66"/>
        <v>64</v>
      </c>
      <c r="BD164" s="20">
        <v>935</v>
      </c>
      <c r="BE164" s="20">
        <v>704</v>
      </c>
      <c r="BF164" s="20">
        <f t="shared" si="67"/>
        <v>231</v>
      </c>
      <c r="BG164" s="20"/>
      <c r="BH164" s="5"/>
      <c r="BI164" s="29">
        <v>2006</v>
      </c>
      <c r="BJ164" s="38" t="s">
        <v>40</v>
      </c>
      <c r="BK164" s="35">
        <f>+Tabla8[[#This Row],[Trenes Puntuales]]/Tabla8[[#This Row],[Trenes Programados]]</f>
        <v>0.86293859649122806</v>
      </c>
      <c r="BL164" s="35">
        <f>+Tabla8[[#This Row],[Trenes Puntuales]]/Tabla8[[#This Row],[Trenes Corridos]]</f>
        <v>0.89942857142857147</v>
      </c>
      <c r="BM164" s="35">
        <f>+Tabla8[[#This Row],[Trenes Corridos]]/Tabla8[[#This Row],[Trenes Programados]]</f>
        <v>0.95942982456140347</v>
      </c>
      <c r="BN164" s="20">
        <v>912</v>
      </c>
      <c r="BO164" s="27">
        <f t="shared" si="68"/>
        <v>37</v>
      </c>
      <c r="BP164" s="20">
        <v>875</v>
      </c>
      <c r="BQ164" s="20">
        <v>787</v>
      </c>
      <c r="BR164" s="20">
        <f t="shared" si="69"/>
        <v>88</v>
      </c>
      <c r="BS164" s="29"/>
    </row>
    <row r="165" spans="1:71" s="3" customFormat="1" ht="12.75">
      <c r="A165" s="3">
        <v>2006</v>
      </c>
      <c r="B165" s="38" t="s">
        <v>41</v>
      </c>
      <c r="C165" s="25">
        <f>+MITRE[[#This Row],[Trenes Puntuales]]/MITRE[[#This Row],[Trenes Programados]]</f>
        <v>0.79638135003479471</v>
      </c>
      <c r="D165" s="25">
        <f>+MITRE[[#This Row],[Trenes Puntuales]]/MITRE[[#This Row],[Trenes Corridos]]</f>
        <v>0.83023795705165404</v>
      </c>
      <c r="E165" s="25">
        <f>+MITRE[[#This Row],[Trenes Corridos]]/MITRE[[#This Row],[Trenes Programados]]</f>
        <v>0.95922059846903274</v>
      </c>
      <c r="F165" s="27">
        <f t="shared" si="45"/>
        <v>14370</v>
      </c>
      <c r="G165" s="27">
        <f t="shared" si="46"/>
        <v>586</v>
      </c>
      <c r="H165" s="27">
        <f t="shared" si="47"/>
        <v>13784</v>
      </c>
      <c r="I165" s="27">
        <f t="shared" si="48"/>
        <v>11444</v>
      </c>
      <c r="J165" s="27">
        <f t="shared" si="49"/>
        <v>2340</v>
      </c>
      <c r="K165" s="27"/>
      <c r="L165" s="4"/>
      <c r="M165" s="29">
        <v>2006</v>
      </c>
      <c r="N165" s="38" t="s">
        <v>41</v>
      </c>
      <c r="O165" s="35">
        <f>+Tabla4[[#This Row],[Trenes Puntuales]]/Tabla4[[#This Row],[Trenes Programados]]</f>
        <v>1</v>
      </c>
      <c r="P165" s="35">
        <f>+Tabla4[[#This Row],[Trenes Puntuales]]/Tabla4[[#This Row],[Trenes Corridos]]</f>
        <v>1</v>
      </c>
      <c r="Q165" s="35">
        <f>+Tabla4[[#This Row],[Trenes Corridos]]/Tabla4[[#This Row],[Trenes Programados]]</f>
        <v>1</v>
      </c>
      <c r="R165" s="20">
        <v>5260</v>
      </c>
      <c r="S165" s="27">
        <f t="shared" si="60"/>
        <v>0</v>
      </c>
      <c r="T165" s="20">
        <v>5260</v>
      </c>
      <c r="U165" s="20">
        <v>5260</v>
      </c>
      <c r="V165" s="20">
        <f t="shared" si="61"/>
        <v>0</v>
      </c>
      <c r="W165" s="20"/>
      <c r="X165" s="5"/>
      <c r="Y165" s="29">
        <v>2006</v>
      </c>
      <c r="Z165" s="38" t="s">
        <v>41</v>
      </c>
      <c r="AA165" s="35">
        <f>+Tabla5[[#This Row],[Trenes Puntuales]]/Tabla5[[#This Row],[Trenes Programados]]</f>
        <v>0.66217494089834517</v>
      </c>
      <c r="AB165" s="35">
        <f>+Tabla5[[#This Row],[Trenes Puntuales]]/Tabla5[[#This Row],[Trenes Corridos]]</f>
        <v>0.69007144616900717</v>
      </c>
      <c r="AC165" s="35">
        <f>+Tabla5[[#This Row],[Trenes Corridos]]/Tabla5[[#This Row],[Trenes Programados]]</f>
        <v>0.95957446808510638</v>
      </c>
      <c r="AD165" s="20">
        <v>4230</v>
      </c>
      <c r="AE165" s="27">
        <f t="shared" si="62"/>
        <v>171</v>
      </c>
      <c r="AF165" s="20">
        <v>4059</v>
      </c>
      <c r="AG165" s="20">
        <v>2801</v>
      </c>
      <c r="AH165" s="20">
        <f t="shared" si="63"/>
        <v>1258</v>
      </c>
      <c r="AI165" s="20"/>
      <c r="AJ165" s="5"/>
      <c r="AK165" s="29">
        <v>2006</v>
      </c>
      <c r="AL165" s="38" t="s">
        <v>41</v>
      </c>
      <c r="AM165" s="35">
        <f>+Tabla6[[#This Row],[Trenes Puntuales]]/Tabla6[[#This Row],[Trenes Programados]]</f>
        <v>0.69795388113023704</v>
      </c>
      <c r="AN165" s="35">
        <f>+Tabla6[[#This Row],[Trenes Puntuales]]/Tabla6[[#This Row],[Trenes Corridos]]</f>
        <v>0.74001377410468316</v>
      </c>
      <c r="AO165" s="35">
        <f>+Tabla6[[#This Row],[Trenes Corridos]]/Tabla6[[#This Row],[Trenes Programados]]</f>
        <v>0.94316336472880802</v>
      </c>
      <c r="AP165" s="20">
        <v>3079</v>
      </c>
      <c r="AQ165" s="27">
        <f t="shared" si="64"/>
        <v>175</v>
      </c>
      <c r="AR165" s="20">
        <v>2904</v>
      </c>
      <c r="AS165" s="20">
        <v>2149</v>
      </c>
      <c r="AT165" s="20">
        <f t="shared" si="65"/>
        <v>755</v>
      </c>
      <c r="AU165" s="20"/>
      <c r="AV165" s="5"/>
      <c r="AW165" s="29">
        <v>2006</v>
      </c>
      <c r="AX165" s="38" t="s">
        <v>41</v>
      </c>
      <c r="AY165" s="35">
        <f>+MIT_Vic_Cap[[#This Row],[Trenes Puntuales]]/MIT_Vic_Cap[[#This Row],[Trenes Programados]]</f>
        <v>0.69077568134171907</v>
      </c>
      <c r="AZ165" s="35">
        <f>+MIT_Vic_Cap[[#This Row],[Trenes Puntuales]]/MIT_Vic_Cap[[#This Row],[Trenes Corridos]]</f>
        <v>0.76627906976744187</v>
      </c>
      <c r="BA165" s="35">
        <f>+MIT_Vic_Cap[[#This Row],[Trenes Corridos]]/MIT_Vic_Cap[[#This Row],[Trenes Programados]]</f>
        <v>0.90146750524109009</v>
      </c>
      <c r="BB165" s="20">
        <v>954</v>
      </c>
      <c r="BC165" s="27">
        <f t="shared" si="66"/>
        <v>94</v>
      </c>
      <c r="BD165" s="20">
        <v>860</v>
      </c>
      <c r="BE165" s="20">
        <v>659</v>
      </c>
      <c r="BF165" s="20">
        <f t="shared" si="67"/>
        <v>201</v>
      </c>
      <c r="BG165" s="20"/>
      <c r="BH165" s="5"/>
      <c r="BI165" s="29">
        <v>2006</v>
      </c>
      <c r="BJ165" s="38" t="s">
        <v>41</v>
      </c>
      <c r="BK165" s="35">
        <f>+Tabla8[[#This Row],[Trenes Puntuales]]/Tabla8[[#This Row],[Trenes Programados]]</f>
        <v>0.6788665879574971</v>
      </c>
      <c r="BL165" s="35">
        <f>+Tabla8[[#This Row],[Trenes Puntuales]]/Tabla8[[#This Row],[Trenes Corridos]]</f>
        <v>0.82025677603423686</v>
      </c>
      <c r="BM165" s="35">
        <f>+Tabla8[[#This Row],[Trenes Corridos]]/Tabla8[[#This Row],[Trenes Programados]]</f>
        <v>0.82762691853600945</v>
      </c>
      <c r="BN165" s="20">
        <v>847</v>
      </c>
      <c r="BO165" s="27">
        <f t="shared" si="68"/>
        <v>146</v>
      </c>
      <c r="BP165" s="20">
        <v>701</v>
      </c>
      <c r="BQ165" s="20">
        <v>575</v>
      </c>
      <c r="BR165" s="20">
        <f t="shared" si="69"/>
        <v>126</v>
      </c>
      <c r="BS165" s="29"/>
    </row>
    <row r="166" spans="1:71" s="3" customFormat="1" ht="12.75">
      <c r="A166" s="3">
        <v>2006</v>
      </c>
      <c r="B166" s="38" t="s">
        <v>42</v>
      </c>
      <c r="C166" s="25">
        <f>+MITRE[[#This Row],[Trenes Puntuales]]/MITRE[[#This Row],[Trenes Programados]]</f>
        <v>0.85290193462308206</v>
      </c>
      <c r="D166" s="25">
        <f>+MITRE[[#This Row],[Trenes Puntuales]]/MITRE[[#This Row],[Trenes Corridos]]</f>
        <v>0.87875455357756549</v>
      </c>
      <c r="E166" s="25">
        <f>+MITRE[[#This Row],[Trenes Corridos]]/MITRE[[#This Row],[Trenes Programados]]</f>
        <v>0.97058038692461646</v>
      </c>
      <c r="F166" s="27">
        <f t="shared" si="45"/>
        <v>14990</v>
      </c>
      <c r="G166" s="27">
        <f t="shared" si="46"/>
        <v>441</v>
      </c>
      <c r="H166" s="27">
        <f t="shared" si="47"/>
        <v>14549</v>
      </c>
      <c r="I166" s="27">
        <f t="shared" si="48"/>
        <v>12785</v>
      </c>
      <c r="J166" s="27">
        <f t="shared" si="49"/>
        <v>1764</v>
      </c>
      <c r="K166" s="27"/>
      <c r="L166" s="4"/>
      <c r="M166" s="29">
        <v>2006</v>
      </c>
      <c r="N166" s="38" t="s">
        <v>42</v>
      </c>
      <c r="O166" s="35">
        <f>+Tabla4[[#This Row],[Trenes Puntuales]]/Tabla4[[#This Row],[Trenes Programados]]</f>
        <v>0.88327272727272732</v>
      </c>
      <c r="P166" s="35">
        <f>+Tabla4[[#This Row],[Trenes Puntuales]]/Tabla4[[#This Row],[Trenes Corridos]]</f>
        <v>0.90146594915568756</v>
      </c>
      <c r="Q166" s="35">
        <f>+Tabla4[[#This Row],[Trenes Corridos]]/Tabla4[[#This Row],[Trenes Programados]]</f>
        <v>0.97981818181818181</v>
      </c>
      <c r="R166" s="20">
        <v>5500</v>
      </c>
      <c r="S166" s="27">
        <f t="shared" si="60"/>
        <v>111</v>
      </c>
      <c r="T166" s="20">
        <v>5389</v>
      </c>
      <c r="U166" s="20">
        <v>4858</v>
      </c>
      <c r="V166" s="20">
        <f t="shared" si="61"/>
        <v>531</v>
      </c>
      <c r="W166" s="20"/>
      <c r="X166" s="5"/>
      <c r="Y166" s="29">
        <v>2006</v>
      </c>
      <c r="Z166" s="38" t="s">
        <v>42</v>
      </c>
      <c r="AA166" s="35">
        <f>+Tabla5[[#This Row],[Trenes Puntuales]]/Tabla5[[#This Row],[Trenes Programados]]</f>
        <v>0.87378200770450942</v>
      </c>
      <c r="AB166" s="35">
        <f>+Tabla5[[#This Row],[Trenes Puntuales]]/Tabla5[[#This Row],[Trenes Corridos]]</f>
        <v>0.8880700138185168</v>
      </c>
      <c r="AC166" s="35">
        <f>+Tabla5[[#This Row],[Trenes Corridos]]/Tabla5[[#This Row],[Trenes Programados]]</f>
        <v>0.98391117153863583</v>
      </c>
      <c r="AD166" s="20">
        <v>4413</v>
      </c>
      <c r="AE166" s="27">
        <f t="shared" si="62"/>
        <v>71</v>
      </c>
      <c r="AF166" s="20">
        <v>4342</v>
      </c>
      <c r="AG166" s="20">
        <v>3856</v>
      </c>
      <c r="AH166" s="20">
        <f t="shared" si="63"/>
        <v>486</v>
      </c>
      <c r="AI166" s="20"/>
      <c r="AJ166" s="5"/>
      <c r="AK166" s="29">
        <v>2006</v>
      </c>
      <c r="AL166" s="38" t="s">
        <v>42</v>
      </c>
      <c r="AM166" s="35">
        <f>+Tabla6[[#This Row],[Trenes Puntuales]]/Tabla6[[#This Row],[Trenes Programados]]</f>
        <v>0.90798122065727704</v>
      </c>
      <c r="AN166" s="35">
        <f>+Tabla6[[#This Row],[Trenes Puntuales]]/Tabla6[[#This Row],[Trenes Corridos]]</f>
        <v>0.92980769230769234</v>
      </c>
      <c r="AO166" s="35">
        <f>+Tabla6[[#This Row],[Trenes Corridos]]/Tabla6[[#This Row],[Trenes Programados]]</f>
        <v>0.97652582159624413</v>
      </c>
      <c r="AP166" s="20">
        <v>3195</v>
      </c>
      <c r="AQ166" s="27">
        <f t="shared" si="64"/>
        <v>75</v>
      </c>
      <c r="AR166" s="20">
        <v>3120</v>
      </c>
      <c r="AS166" s="20">
        <v>2901</v>
      </c>
      <c r="AT166" s="20">
        <f t="shared" si="65"/>
        <v>219</v>
      </c>
      <c r="AU166" s="20"/>
      <c r="AV166" s="5"/>
      <c r="AW166" s="29">
        <v>2006</v>
      </c>
      <c r="AX166" s="38" t="s">
        <v>42</v>
      </c>
      <c r="AY166" s="35">
        <f>+MIT_Vic_Cap[[#This Row],[Trenes Puntuales]]/MIT_Vic_Cap[[#This Row],[Trenes Programados]]</f>
        <v>0.46963562753036436</v>
      </c>
      <c r="AZ166" s="35">
        <f>+MIT_Vic_Cap[[#This Row],[Trenes Puntuales]]/MIT_Vic_Cap[[#This Row],[Trenes Corridos]]</f>
        <v>0.53089244851258577</v>
      </c>
      <c r="BA166" s="35">
        <f>+MIT_Vic_Cap[[#This Row],[Trenes Corridos]]/MIT_Vic_Cap[[#This Row],[Trenes Programados]]</f>
        <v>0.88461538461538458</v>
      </c>
      <c r="BB166" s="20">
        <v>988</v>
      </c>
      <c r="BC166" s="27">
        <f t="shared" si="66"/>
        <v>114</v>
      </c>
      <c r="BD166" s="20">
        <v>874</v>
      </c>
      <c r="BE166" s="20">
        <v>464</v>
      </c>
      <c r="BF166" s="20">
        <f t="shared" si="67"/>
        <v>410</v>
      </c>
      <c r="BG166" s="20"/>
      <c r="BH166" s="5"/>
      <c r="BI166" s="29">
        <v>2006</v>
      </c>
      <c r="BJ166" s="38" t="s">
        <v>42</v>
      </c>
      <c r="BK166" s="35">
        <f>+Tabla8[[#This Row],[Trenes Puntuales]]/Tabla8[[#This Row],[Trenes Programados]]</f>
        <v>0.78970917225950787</v>
      </c>
      <c r="BL166" s="35">
        <f>+Tabla8[[#This Row],[Trenes Puntuales]]/Tabla8[[#This Row],[Trenes Corridos]]</f>
        <v>0.85679611650485432</v>
      </c>
      <c r="BM166" s="35">
        <f>+Tabla8[[#This Row],[Trenes Corridos]]/Tabla8[[#This Row],[Trenes Programados]]</f>
        <v>0.92170022371364657</v>
      </c>
      <c r="BN166" s="20">
        <v>894</v>
      </c>
      <c r="BO166" s="27">
        <f t="shared" si="68"/>
        <v>70</v>
      </c>
      <c r="BP166" s="20">
        <v>824</v>
      </c>
      <c r="BQ166" s="20">
        <v>706</v>
      </c>
      <c r="BR166" s="20">
        <f t="shared" si="69"/>
        <v>118</v>
      </c>
      <c r="BS166" s="29"/>
    </row>
    <row r="167" spans="1:71" s="3" customFormat="1" ht="12.75">
      <c r="A167" s="3">
        <v>2006</v>
      </c>
      <c r="B167" s="38" t="s">
        <v>43</v>
      </c>
      <c r="C167" s="25">
        <f>+MITRE[[#This Row],[Trenes Puntuales]]/MITRE[[#This Row],[Trenes Programados]]</f>
        <v>0.84990107116053759</v>
      </c>
      <c r="D167" s="25">
        <f>+MITRE[[#This Row],[Trenes Puntuales]]/MITRE[[#This Row],[Trenes Corridos]]</f>
        <v>0.87148453896739886</v>
      </c>
      <c r="E167" s="25">
        <f>+MITRE[[#This Row],[Trenes Corridos]]/MITRE[[#This Row],[Trenes Programados]]</f>
        <v>0.97523367674148875</v>
      </c>
      <c r="F167" s="27">
        <f t="shared" si="45"/>
        <v>14657</v>
      </c>
      <c r="G167" s="27">
        <f t="shared" si="46"/>
        <v>363</v>
      </c>
      <c r="H167" s="27">
        <f t="shared" si="47"/>
        <v>14294</v>
      </c>
      <c r="I167" s="27">
        <f t="shared" si="48"/>
        <v>12457</v>
      </c>
      <c r="J167" s="27">
        <f t="shared" si="49"/>
        <v>1837</v>
      </c>
      <c r="K167" s="27"/>
      <c r="L167" s="4"/>
      <c r="M167" s="29">
        <v>2006</v>
      </c>
      <c r="N167" s="38" t="s">
        <v>43</v>
      </c>
      <c r="O167" s="35">
        <f>+Tabla4[[#This Row],[Trenes Puntuales]]/Tabla4[[#This Row],[Trenes Programados]]</f>
        <v>0.85343228200371057</v>
      </c>
      <c r="P167" s="35">
        <f>+Tabla4[[#This Row],[Trenes Puntuales]]/Tabla4[[#This Row],[Trenes Corridos]]</f>
        <v>0.87585681645087587</v>
      </c>
      <c r="Q167" s="35">
        <f>+Tabla4[[#This Row],[Trenes Corridos]]/Tabla4[[#This Row],[Trenes Programados]]</f>
        <v>0.97439703153988866</v>
      </c>
      <c r="R167" s="20">
        <v>5390</v>
      </c>
      <c r="S167" s="27">
        <f t="shared" si="60"/>
        <v>138</v>
      </c>
      <c r="T167" s="20">
        <v>5252</v>
      </c>
      <c r="U167" s="20">
        <v>4600</v>
      </c>
      <c r="V167" s="20">
        <f t="shared" si="61"/>
        <v>652</v>
      </c>
      <c r="W167" s="20"/>
      <c r="X167" s="5"/>
      <c r="Y167" s="29">
        <v>2006</v>
      </c>
      <c r="Z167" s="38" t="s">
        <v>43</v>
      </c>
      <c r="AA167" s="35">
        <f>+Tabla5[[#This Row],[Trenes Puntuales]]/Tabla5[[#This Row],[Trenes Programados]]</f>
        <v>0.85037002775208137</v>
      </c>
      <c r="AB167" s="35">
        <f>+Tabla5[[#This Row],[Trenes Puntuales]]/Tabla5[[#This Row],[Trenes Corridos]]</f>
        <v>0.86619552414605416</v>
      </c>
      <c r="AC167" s="35">
        <f>+Tabla5[[#This Row],[Trenes Corridos]]/Tabla5[[#This Row],[Trenes Programados]]</f>
        <v>0.98172987974098058</v>
      </c>
      <c r="AD167" s="20">
        <v>4324</v>
      </c>
      <c r="AE167" s="27">
        <f t="shared" si="62"/>
        <v>79</v>
      </c>
      <c r="AF167" s="20">
        <v>4245</v>
      </c>
      <c r="AG167" s="20">
        <v>3677</v>
      </c>
      <c r="AH167" s="20">
        <f t="shared" si="63"/>
        <v>568</v>
      </c>
      <c r="AI167" s="20"/>
      <c r="AJ167" s="5"/>
      <c r="AK167" s="29">
        <v>2006</v>
      </c>
      <c r="AL167" s="38" t="s">
        <v>43</v>
      </c>
      <c r="AM167" s="35">
        <f>+Tabla6[[#This Row],[Trenes Puntuales]]/Tabla6[[#This Row],[Trenes Programados]]</f>
        <v>0.90713367609254503</v>
      </c>
      <c r="AN167" s="35">
        <f>+Tabla6[[#This Row],[Trenes Puntuales]]/Tabla6[[#This Row],[Trenes Corridos]]</f>
        <v>0.92194644023514039</v>
      </c>
      <c r="AO167" s="35">
        <f>+Tabla6[[#This Row],[Trenes Corridos]]/Tabla6[[#This Row],[Trenes Programados]]</f>
        <v>0.98393316195372749</v>
      </c>
      <c r="AP167" s="20">
        <v>3112</v>
      </c>
      <c r="AQ167" s="27">
        <f t="shared" si="64"/>
        <v>50</v>
      </c>
      <c r="AR167" s="20">
        <v>3062</v>
      </c>
      <c r="AS167" s="20">
        <v>2823</v>
      </c>
      <c r="AT167" s="20">
        <f t="shared" si="65"/>
        <v>239</v>
      </c>
      <c r="AU167" s="20"/>
      <c r="AV167" s="5"/>
      <c r="AW167" s="29">
        <v>2006</v>
      </c>
      <c r="AX167" s="38" t="s">
        <v>43</v>
      </c>
      <c r="AY167" s="35">
        <f>+MIT_Vic_Cap[[#This Row],[Trenes Puntuales]]/MIT_Vic_Cap[[#This Row],[Trenes Programados]]</f>
        <v>0.65477439664218262</v>
      </c>
      <c r="AZ167" s="35">
        <f>+MIT_Vic_Cap[[#This Row],[Trenes Puntuales]]/MIT_Vic_Cap[[#This Row],[Trenes Corridos]]</f>
        <v>0.68646864686468645</v>
      </c>
      <c r="BA167" s="35">
        <f>+MIT_Vic_Cap[[#This Row],[Trenes Corridos]]/MIT_Vic_Cap[[#This Row],[Trenes Programados]]</f>
        <v>0.95383001049317939</v>
      </c>
      <c r="BB167" s="20">
        <v>953</v>
      </c>
      <c r="BC167" s="27">
        <f t="shared" si="66"/>
        <v>44</v>
      </c>
      <c r="BD167" s="20">
        <v>909</v>
      </c>
      <c r="BE167" s="20">
        <v>624</v>
      </c>
      <c r="BF167" s="20">
        <f t="shared" si="67"/>
        <v>285</v>
      </c>
      <c r="BG167" s="20"/>
      <c r="BH167" s="5"/>
      <c r="BI167" s="29">
        <v>2006</v>
      </c>
      <c r="BJ167" s="38" t="s">
        <v>43</v>
      </c>
      <c r="BK167" s="35">
        <f>+Tabla8[[#This Row],[Trenes Puntuales]]/Tabla8[[#This Row],[Trenes Programados]]</f>
        <v>0.83485193621867881</v>
      </c>
      <c r="BL167" s="35">
        <f>+Tabla8[[#This Row],[Trenes Puntuales]]/Tabla8[[#This Row],[Trenes Corridos]]</f>
        <v>0.88740920096852305</v>
      </c>
      <c r="BM167" s="35">
        <f>+Tabla8[[#This Row],[Trenes Corridos]]/Tabla8[[#This Row],[Trenes Programados]]</f>
        <v>0.94077448747152614</v>
      </c>
      <c r="BN167" s="20">
        <v>878</v>
      </c>
      <c r="BO167" s="27">
        <f t="shared" si="68"/>
        <v>52</v>
      </c>
      <c r="BP167" s="20">
        <v>826</v>
      </c>
      <c r="BQ167" s="20">
        <v>733</v>
      </c>
      <c r="BR167" s="20">
        <f t="shared" si="69"/>
        <v>93</v>
      </c>
      <c r="BS167" s="29"/>
    </row>
    <row r="168" spans="1:71" s="3" customFormat="1" ht="12.75">
      <c r="A168" s="3">
        <v>2006</v>
      </c>
      <c r="B168" s="38" t="s">
        <v>44</v>
      </c>
      <c r="C168" s="25">
        <f>+MITRE[[#This Row],[Trenes Puntuales]]/MITRE[[#This Row],[Trenes Programados]]</f>
        <v>0.90788167560055588</v>
      </c>
      <c r="D168" s="25">
        <f>+MITRE[[#This Row],[Trenes Puntuales]]/MITRE[[#This Row],[Trenes Corridos]]</f>
        <v>0.9275234940166317</v>
      </c>
      <c r="E168" s="25">
        <f>+MITRE[[#This Row],[Trenes Corridos]]/MITRE[[#This Row],[Trenes Programados]]</f>
        <v>0.97882337370127726</v>
      </c>
      <c r="F168" s="27">
        <f t="shared" si="45"/>
        <v>15111</v>
      </c>
      <c r="G168" s="27">
        <f t="shared" si="46"/>
        <v>320</v>
      </c>
      <c r="H168" s="27">
        <f t="shared" si="47"/>
        <v>14791</v>
      </c>
      <c r="I168" s="27">
        <f t="shared" si="48"/>
        <v>13719</v>
      </c>
      <c r="J168" s="27">
        <f t="shared" si="49"/>
        <v>1072</v>
      </c>
      <c r="K168" s="27"/>
      <c r="L168" s="4"/>
      <c r="M168" s="29">
        <v>2006</v>
      </c>
      <c r="N168" s="38" t="s">
        <v>44</v>
      </c>
      <c r="O168" s="35">
        <f>+Tabla4[[#This Row],[Trenes Puntuales]]/Tabla4[[#This Row],[Trenes Programados]]</f>
        <v>0.90306306306306305</v>
      </c>
      <c r="P168" s="35">
        <f>+Tabla4[[#This Row],[Trenes Puntuales]]/Tabla4[[#This Row],[Trenes Corridos]]</f>
        <v>0.91980179849513677</v>
      </c>
      <c r="Q168" s="35">
        <f>+Tabla4[[#This Row],[Trenes Corridos]]/Tabla4[[#This Row],[Trenes Programados]]</f>
        <v>0.98180180180180177</v>
      </c>
      <c r="R168" s="20">
        <v>5550</v>
      </c>
      <c r="S168" s="27">
        <f t="shared" si="60"/>
        <v>101</v>
      </c>
      <c r="T168" s="20">
        <v>5449</v>
      </c>
      <c r="U168" s="20">
        <v>5012</v>
      </c>
      <c r="V168" s="20">
        <f t="shared" si="61"/>
        <v>437</v>
      </c>
      <c r="W168" s="20"/>
      <c r="X168" s="5"/>
      <c r="Y168" s="29">
        <v>2006</v>
      </c>
      <c r="Z168" s="38" t="s">
        <v>44</v>
      </c>
      <c r="AA168" s="35">
        <f>+Tabla5[[#This Row],[Trenes Puntuales]]/Tabla5[[#This Row],[Trenes Programados]]</f>
        <v>0.92195559542498318</v>
      </c>
      <c r="AB168" s="35">
        <f>+Tabla5[[#This Row],[Trenes Puntuales]]/Tabla5[[#This Row],[Trenes Corridos]]</f>
        <v>0.93665983139667353</v>
      </c>
      <c r="AC168" s="35">
        <f>+Tabla5[[#This Row],[Trenes Corridos]]/Tabla5[[#This Row],[Trenes Programados]]</f>
        <v>0.98430141287284145</v>
      </c>
      <c r="AD168" s="20">
        <v>4459</v>
      </c>
      <c r="AE168" s="27">
        <f t="shared" si="62"/>
        <v>70</v>
      </c>
      <c r="AF168" s="20">
        <v>4389</v>
      </c>
      <c r="AG168" s="20">
        <v>4111</v>
      </c>
      <c r="AH168" s="20">
        <f t="shared" si="63"/>
        <v>278</v>
      </c>
      <c r="AI168" s="20"/>
      <c r="AJ168" s="5"/>
      <c r="AK168" s="29">
        <v>2006</v>
      </c>
      <c r="AL168" s="38" t="s">
        <v>44</v>
      </c>
      <c r="AM168" s="35">
        <f>+Tabla6[[#This Row],[Trenes Puntuales]]/Tabla6[[#This Row],[Trenes Programados]]</f>
        <v>0.94492843808338522</v>
      </c>
      <c r="AN168" s="35">
        <f>+Tabla6[[#This Row],[Trenes Puntuales]]/Tabla6[[#This Row],[Trenes Corridos]]</f>
        <v>0.96719745222929931</v>
      </c>
      <c r="AO168" s="35">
        <f>+Tabla6[[#This Row],[Trenes Corridos]]/Tabla6[[#This Row],[Trenes Programados]]</f>
        <v>0.97697573117610459</v>
      </c>
      <c r="AP168" s="20">
        <v>3214</v>
      </c>
      <c r="AQ168" s="27">
        <f t="shared" si="64"/>
        <v>74</v>
      </c>
      <c r="AR168" s="20">
        <v>3140</v>
      </c>
      <c r="AS168" s="20">
        <v>3037</v>
      </c>
      <c r="AT168" s="20">
        <f t="shared" si="65"/>
        <v>103</v>
      </c>
      <c r="AU168" s="20"/>
      <c r="AV168" s="5"/>
      <c r="AW168" s="29">
        <v>2006</v>
      </c>
      <c r="AX168" s="38" t="s">
        <v>44</v>
      </c>
      <c r="AY168" s="35">
        <f>+MIT_Vic_Cap[[#This Row],[Trenes Puntuales]]/MIT_Vic_Cap[[#This Row],[Trenes Programados]]</f>
        <v>0.84226491405460058</v>
      </c>
      <c r="AZ168" s="35">
        <f>+MIT_Vic_Cap[[#This Row],[Trenes Puntuales]]/MIT_Vic_Cap[[#This Row],[Trenes Corridos]]</f>
        <v>0.86500519210799587</v>
      </c>
      <c r="BA168" s="35">
        <f>+MIT_Vic_Cap[[#This Row],[Trenes Corridos]]/MIT_Vic_Cap[[#This Row],[Trenes Programados]]</f>
        <v>0.97371081900910006</v>
      </c>
      <c r="BB168" s="20">
        <v>989</v>
      </c>
      <c r="BC168" s="27">
        <f t="shared" si="66"/>
        <v>26</v>
      </c>
      <c r="BD168" s="20">
        <v>963</v>
      </c>
      <c r="BE168" s="20">
        <v>833</v>
      </c>
      <c r="BF168" s="20">
        <f t="shared" si="67"/>
        <v>130</v>
      </c>
      <c r="BG168" s="20"/>
      <c r="BH168" s="5"/>
      <c r="BI168" s="29">
        <v>2006</v>
      </c>
      <c r="BJ168" s="38" t="s">
        <v>44</v>
      </c>
      <c r="BK168" s="35">
        <f>+Tabla8[[#This Row],[Trenes Puntuales]]/Tabla8[[#This Row],[Trenes Programados]]</f>
        <v>0.80756395995550612</v>
      </c>
      <c r="BL168" s="35">
        <f>+Tabla8[[#This Row],[Trenes Puntuales]]/Tabla8[[#This Row],[Trenes Corridos]]</f>
        <v>0.85411764705882354</v>
      </c>
      <c r="BM168" s="35">
        <f>+Tabla8[[#This Row],[Trenes Corridos]]/Tabla8[[#This Row],[Trenes Programados]]</f>
        <v>0.94549499443826479</v>
      </c>
      <c r="BN168" s="20">
        <v>899</v>
      </c>
      <c r="BO168" s="27">
        <f t="shared" si="68"/>
        <v>49</v>
      </c>
      <c r="BP168" s="20">
        <v>850</v>
      </c>
      <c r="BQ168" s="20">
        <v>726</v>
      </c>
      <c r="BR168" s="20">
        <f t="shared" si="69"/>
        <v>124</v>
      </c>
      <c r="BS168" s="29"/>
    </row>
    <row r="169" spans="1:71" s="3" customFormat="1" ht="12.75">
      <c r="A169" s="3">
        <v>2006</v>
      </c>
      <c r="B169" s="38" t="s">
        <v>45</v>
      </c>
      <c r="C169" s="25">
        <f>+MITRE[[#This Row],[Trenes Puntuales]]/MITRE[[#This Row],[Trenes Programados]]</f>
        <v>0.8888376990917467</v>
      </c>
      <c r="D169" s="25">
        <f>+MITRE[[#This Row],[Trenes Puntuales]]/MITRE[[#This Row],[Trenes Corridos]]</f>
        <v>0.90887677501850728</v>
      </c>
      <c r="E169" s="25">
        <f>+MITRE[[#This Row],[Trenes Corridos]]/MITRE[[#This Row],[Trenes Programados]]</f>
        <v>0.97795182308806106</v>
      </c>
      <c r="F169" s="27">
        <f t="shared" si="45"/>
        <v>15194</v>
      </c>
      <c r="G169" s="27">
        <f t="shared" si="46"/>
        <v>335</v>
      </c>
      <c r="H169" s="27">
        <f t="shared" si="47"/>
        <v>14859</v>
      </c>
      <c r="I169" s="27">
        <f t="shared" si="48"/>
        <v>13505</v>
      </c>
      <c r="J169" s="27">
        <f t="shared" si="49"/>
        <v>1354</v>
      </c>
      <c r="K169" s="27"/>
      <c r="L169" s="4"/>
      <c r="M169" s="29">
        <v>2006</v>
      </c>
      <c r="N169" s="38" t="s">
        <v>45</v>
      </c>
      <c r="O169" s="35">
        <f>+Tabla4[[#This Row],[Trenes Puntuales]]/Tabla4[[#This Row],[Trenes Programados]]</f>
        <v>0.88962432915921286</v>
      </c>
      <c r="P169" s="35">
        <f>+Tabla4[[#This Row],[Trenes Puntuales]]/Tabla4[[#This Row],[Trenes Corridos]]</f>
        <v>0.90467527742404952</v>
      </c>
      <c r="Q169" s="35">
        <f>+Tabla4[[#This Row],[Trenes Corridos]]/Tabla4[[#This Row],[Trenes Programados]]</f>
        <v>0.98336314847942752</v>
      </c>
      <c r="R169" s="20">
        <v>5590</v>
      </c>
      <c r="S169" s="27">
        <f t="shared" si="60"/>
        <v>93</v>
      </c>
      <c r="T169" s="20">
        <v>5497</v>
      </c>
      <c r="U169" s="20">
        <v>4973</v>
      </c>
      <c r="V169" s="20">
        <f t="shared" si="61"/>
        <v>524</v>
      </c>
      <c r="W169" s="20"/>
      <c r="X169" s="5"/>
      <c r="Y169" s="29">
        <v>2006</v>
      </c>
      <c r="Z169" s="38" t="s">
        <v>45</v>
      </c>
      <c r="AA169" s="35">
        <f>+Tabla5[[#This Row],[Trenes Puntuales]]/Tabla5[[#This Row],[Trenes Programados]]</f>
        <v>0.89716707561900511</v>
      </c>
      <c r="AB169" s="35">
        <f>+Tabla5[[#This Row],[Trenes Puntuales]]/Tabla5[[#This Row],[Trenes Corridos]]</f>
        <v>0.91450659390632105</v>
      </c>
      <c r="AC169" s="35">
        <f>+Tabla5[[#This Row],[Trenes Corridos]]/Tabla5[[#This Row],[Trenes Programados]]</f>
        <v>0.98103948248940442</v>
      </c>
      <c r="AD169" s="20">
        <v>4483</v>
      </c>
      <c r="AE169" s="27">
        <f t="shared" si="62"/>
        <v>85</v>
      </c>
      <c r="AF169" s="20">
        <v>4398</v>
      </c>
      <c r="AG169" s="20">
        <v>4022</v>
      </c>
      <c r="AH169" s="20">
        <f t="shared" si="63"/>
        <v>376</v>
      </c>
      <c r="AI169" s="20"/>
      <c r="AJ169" s="5"/>
      <c r="AK169" s="29">
        <v>2006</v>
      </c>
      <c r="AL169" s="38" t="s">
        <v>45</v>
      </c>
      <c r="AM169" s="35">
        <f>+Tabla6[[#This Row],[Trenes Puntuales]]/Tabla6[[#This Row],[Trenes Programados]]</f>
        <v>0.91524371313256747</v>
      </c>
      <c r="AN169" s="35">
        <f>+Tabla6[[#This Row],[Trenes Puntuales]]/Tabla6[[#This Row],[Trenes Corridos]]</f>
        <v>0.94065092533503514</v>
      </c>
      <c r="AO169" s="35">
        <f>+Tabla6[[#This Row],[Trenes Corridos]]/Tabla6[[#This Row],[Trenes Programados]]</f>
        <v>0.97298975473455451</v>
      </c>
      <c r="AP169" s="20">
        <v>3221</v>
      </c>
      <c r="AQ169" s="27">
        <f t="shared" si="64"/>
        <v>87</v>
      </c>
      <c r="AR169" s="20">
        <v>3134</v>
      </c>
      <c r="AS169" s="20">
        <v>2948</v>
      </c>
      <c r="AT169" s="20">
        <f t="shared" si="65"/>
        <v>186</v>
      </c>
      <c r="AU169" s="20"/>
      <c r="AV169" s="5"/>
      <c r="AW169" s="29">
        <v>2006</v>
      </c>
      <c r="AX169" s="38" t="s">
        <v>45</v>
      </c>
      <c r="AY169" s="35">
        <f>+MIT_Vic_Cap[[#This Row],[Trenes Puntuales]]/MIT_Vic_Cap[[#This Row],[Trenes Programados]]</f>
        <v>0.83805668016194335</v>
      </c>
      <c r="AZ169" s="35">
        <f>+MIT_Vic_Cap[[#This Row],[Trenes Puntuales]]/MIT_Vic_Cap[[#This Row],[Trenes Corridos]]</f>
        <v>0.8633993743482794</v>
      </c>
      <c r="BA169" s="35">
        <f>+MIT_Vic_Cap[[#This Row],[Trenes Corridos]]/MIT_Vic_Cap[[#This Row],[Trenes Programados]]</f>
        <v>0.97064777327935226</v>
      </c>
      <c r="BB169" s="20">
        <v>988</v>
      </c>
      <c r="BC169" s="27">
        <f t="shared" si="66"/>
        <v>29</v>
      </c>
      <c r="BD169" s="20">
        <v>959</v>
      </c>
      <c r="BE169" s="20">
        <v>828</v>
      </c>
      <c r="BF169" s="20">
        <f t="shared" si="67"/>
        <v>131</v>
      </c>
      <c r="BG169" s="20"/>
      <c r="BH169" s="5"/>
      <c r="BI169" s="29">
        <v>2006</v>
      </c>
      <c r="BJ169" s="38" t="s">
        <v>45</v>
      </c>
      <c r="BK169" s="35">
        <f>+Tabla8[[#This Row],[Trenes Puntuales]]/Tabla8[[#This Row],[Trenes Programados]]</f>
        <v>0.80482456140350878</v>
      </c>
      <c r="BL169" s="35">
        <f>+Tabla8[[#This Row],[Trenes Puntuales]]/Tabla8[[#This Row],[Trenes Corridos]]</f>
        <v>0.8427095292766934</v>
      </c>
      <c r="BM169" s="35">
        <f>+Tabla8[[#This Row],[Trenes Corridos]]/Tabla8[[#This Row],[Trenes Programados]]</f>
        <v>0.95504385964912286</v>
      </c>
      <c r="BN169" s="20">
        <v>912</v>
      </c>
      <c r="BO169" s="27">
        <f t="shared" si="68"/>
        <v>41</v>
      </c>
      <c r="BP169" s="20">
        <v>871</v>
      </c>
      <c r="BQ169" s="20">
        <v>734</v>
      </c>
      <c r="BR169" s="20">
        <f t="shared" si="69"/>
        <v>137</v>
      </c>
      <c r="BS169" s="29"/>
    </row>
    <row r="170" spans="1:71" s="3" customFormat="1" ht="12.75">
      <c r="A170" s="3">
        <v>2006</v>
      </c>
      <c r="B170" s="38" t="s">
        <v>46</v>
      </c>
      <c r="C170" s="25">
        <f>+MITRE[[#This Row],[Trenes Puntuales]]/MITRE[[#This Row],[Trenes Programados]]</f>
        <v>0.91671173607355327</v>
      </c>
      <c r="D170" s="25">
        <f>+MITRE[[#This Row],[Trenes Puntuales]]/MITRE[[#This Row],[Trenes Corridos]]</f>
        <v>0.93743518838575868</v>
      </c>
      <c r="E170" s="25">
        <f>+MITRE[[#This Row],[Trenes Corridos]]/MITRE[[#This Row],[Trenes Programados]]</f>
        <v>0.97789345592212007</v>
      </c>
      <c r="F170" s="27">
        <f t="shared" si="45"/>
        <v>14792</v>
      </c>
      <c r="G170" s="27">
        <f t="shared" si="46"/>
        <v>327</v>
      </c>
      <c r="H170" s="27">
        <f t="shared" si="47"/>
        <v>14465</v>
      </c>
      <c r="I170" s="27">
        <f t="shared" si="48"/>
        <v>13560</v>
      </c>
      <c r="J170" s="27">
        <f t="shared" si="49"/>
        <v>905</v>
      </c>
      <c r="K170" s="27"/>
      <c r="L170" s="4"/>
      <c r="M170" s="29">
        <v>2006</v>
      </c>
      <c r="N170" s="38" t="s">
        <v>46</v>
      </c>
      <c r="O170" s="35">
        <f>+Tabla4[[#This Row],[Trenes Puntuales]]/Tabla4[[#This Row],[Trenes Programados]]</f>
        <v>0.90110294117647061</v>
      </c>
      <c r="P170" s="35">
        <f>+Tabla4[[#This Row],[Trenes Puntuales]]/Tabla4[[#This Row],[Trenes Corridos]]</f>
        <v>0.92647892647892649</v>
      </c>
      <c r="Q170" s="35">
        <f>+Tabla4[[#This Row],[Trenes Corridos]]/Tabla4[[#This Row],[Trenes Programados]]</f>
        <v>0.9726102941176471</v>
      </c>
      <c r="R170" s="20">
        <v>5440</v>
      </c>
      <c r="S170" s="27">
        <f t="shared" si="60"/>
        <v>149</v>
      </c>
      <c r="T170" s="20">
        <v>5291</v>
      </c>
      <c r="U170" s="20">
        <v>4902</v>
      </c>
      <c r="V170" s="20">
        <f t="shared" si="61"/>
        <v>389</v>
      </c>
      <c r="W170" s="20"/>
      <c r="X170" s="5"/>
      <c r="Y170" s="29">
        <v>2006</v>
      </c>
      <c r="Z170" s="38" t="s">
        <v>46</v>
      </c>
      <c r="AA170" s="35">
        <f>+Tabla5[[#This Row],[Trenes Puntuales]]/Tabla5[[#This Row],[Trenes Programados]]</f>
        <v>0.92585812356979402</v>
      </c>
      <c r="AB170" s="35">
        <f>+Tabla5[[#This Row],[Trenes Puntuales]]/Tabla5[[#This Row],[Trenes Corridos]]</f>
        <v>0.94093023255813957</v>
      </c>
      <c r="AC170" s="35">
        <f>+Tabla5[[#This Row],[Trenes Corridos]]/Tabla5[[#This Row],[Trenes Programados]]</f>
        <v>0.98398169336384445</v>
      </c>
      <c r="AD170" s="20">
        <v>4370</v>
      </c>
      <c r="AE170" s="27">
        <f t="shared" si="62"/>
        <v>70</v>
      </c>
      <c r="AF170" s="20">
        <v>4300</v>
      </c>
      <c r="AG170" s="20">
        <v>4046</v>
      </c>
      <c r="AH170" s="20">
        <f t="shared" si="63"/>
        <v>254</v>
      </c>
      <c r="AI170" s="20"/>
      <c r="AJ170" s="5"/>
      <c r="AK170" s="29">
        <v>2006</v>
      </c>
      <c r="AL170" s="38" t="s">
        <v>46</v>
      </c>
      <c r="AM170" s="35">
        <f>+Tabla6[[#This Row],[Trenes Puntuales]]/Tabla6[[#This Row],[Trenes Programados]]</f>
        <v>0.94251038007026511</v>
      </c>
      <c r="AN170" s="35">
        <f>+Tabla6[[#This Row],[Trenes Puntuales]]/Tabla6[[#This Row],[Trenes Corridos]]</f>
        <v>0.96500981033355138</v>
      </c>
      <c r="AO170" s="35">
        <f>+Tabla6[[#This Row],[Trenes Corridos]]/Tabla6[[#This Row],[Trenes Programados]]</f>
        <v>0.97668476525071857</v>
      </c>
      <c r="AP170" s="20">
        <v>3131</v>
      </c>
      <c r="AQ170" s="27">
        <f t="shared" si="64"/>
        <v>73</v>
      </c>
      <c r="AR170" s="20">
        <v>3058</v>
      </c>
      <c r="AS170" s="20">
        <v>2951</v>
      </c>
      <c r="AT170" s="20">
        <f t="shared" si="65"/>
        <v>107</v>
      </c>
      <c r="AU170" s="20"/>
      <c r="AV170" s="5"/>
      <c r="AW170" s="29">
        <v>2006</v>
      </c>
      <c r="AX170" s="38" t="s">
        <v>46</v>
      </c>
      <c r="AY170" s="35">
        <f>+MIT_Vic_Cap[[#This Row],[Trenes Puntuales]]/MIT_Vic_Cap[[#This Row],[Trenes Programados]]</f>
        <v>0.8925619834710744</v>
      </c>
      <c r="AZ170" s="35">
        <f>+MIT_Vic_Cap[[#This Row],[Trenes Puntuales]]/MIT_Vic_Cap[[#This Row],[Trenes Corridos]]</f>
        <v>0.91235480464625129</v>
      </c>
      <c r="BA170" s="35">
        <f>+MIT_Vic_Cap[[#This Row],[Trenes Corridos]]/MIT_Vic_Cap[[#This Row],[Trenes Programados]]</f>
        <v>0.97830578512396693</v>
      </c>
      <c r="BB170" s="20">
        <v>968</v>
      </c>
      <c r="BC170" s="27">
        <f t="shared" si="66"/>
        <v>21</v>
      </c>
      <c r="BD170" s="20">
        <v>947</v>
      </c>
      <c r="BE170" s="20">
        <v>864</v>
      </c>
      <c r="BF170" s="20">
        <f t="shared" si="67"/>
        <v>83</v>
      </c>
      <c r="BG170" s="20"/>
      <c r="BH170" s="5"/>
      <c r="BI170" s="29">
        <v>2006</v>
      </c>
      <c r="BJ170" s="38" t="s">
        <v>46</v>
      </c>
      <c r="BK170" s="35">
        <f>+Tabla8[[#This Row],[Trenes Puntuales]]/Tabla8[[#This Row],[Trenes Programados]]</f>
        <v>0.90260475651189132</v>
      </c>
      <c r="BL170" s="35">
        <f>+Tabla8[[#This Row],[Trenes Puntuales]]/Tabla8[[#This Row],[Trenes Corridos]]</f>
        <v>0.91714614499424629</v>
      </c>
      <c r="BM170" s="35">
        <f>+Tabla8[[#This Row],[Trenes Corridos]]/Tabla8[[#This Row],[Trenes Programados]]</f>
        <v>0.98414496036240096</v>
      </c>
      <c r="BN170" s="20">
        <v>883</v>
      </c>
      <c r="BO170" s="27">
        <f t="shared" si="68"/>
        <v>14</v>
      </c>
      <c r="BP170" s="20">
        <v>869</v>
      </c>
      <c r="BQ170" s="20">
        <v>797</v>
      </c>
      <c r="BR170" s="20">
        <f t="shared" si="69"/>
        <v>72</v>
      </c>
      <c r="BS170" s="29"/>
    </row>
    <row r="171" spans="1:71" s="3" customFormat="1" ht="12.75">
      <c r="A171" s="3">
        <v>2006</v>
      </c>
      <c r="B171" s="38" t="s">
        <v>47</v>
      </c>
      <c r="C171" s="25">
        <f>+MITRE[[#This Row],[Trenes Puntuales]]/MITRE[[#This Row],[Trenes Programados]]</f>
        <v>0.90632302864392067</v>
      </c>
      <c r="D171" s="25">
        <f>+MITRE[[#This Row],[Trenes Puntuales]]/MITRE[[#This Row],[Trenes Corridos]]</f>
        <v>0.92617358078602618</v>
      </c>
      <c r="E171" s="25">
        <f>+MITRE[[#This Row],[Trenes Corridos]]/MITRE[[#This Row],[Trenes Programados]]</f>
        <v>0.97856713627562264</v>
      </c>
      <c r="F171" s="27">
        <f t="shared" si="45"/>
        <v>14977</v>
      </c>
      <c r="G171" s="27">
        <f t="shared" si="46"/>
        <v>321</v>
      </c>
      <c r="H171" s="27">
        <f t="shared" si="47"/>
        <v>14656</v>
      </c>
      <c r="I171" s="27">
        <f t="shared" si="48"/>
        <v>13574</v>
      </c>
      <c r="J171" s="27">
        <f t="shared" si="49"/>
        <v>1082</v>
      </c>
      <c r="K171" s="27"/>
      <c r="L171" s="4"/>
      <c r="M171" s="29">
        <v>2006</v>
      </c>
      <c r="N171" s="38" t="s">
        <v>47</v>
      </c>
      <c r="O171" s="35">
        <f>+Tabla4[[#This Row],[Trenes Puntuales]]/Tabla4[[#This Row],[Trenes Programados]]</f>
        <v>0.89381818181818184</v>
      </c>
      <c r="P171" s="35">
        <f>+Tabla4[[#This Row],[Trenes Puntuales]]/Tabla4[[#This Row],[Trenes Corridos]]</f>
        <v>0.91613865076407008</v>
      </c>
      <c r="Q171" s="35">
        <f>+Tabla4[[#This Row],[Trenes Corridos]]/Tabla4[[#This Row],[Trenes Programados]]</f>
        <v>0.97563636363636363</v>
      </c>
      <c r="R171" s="20">
        <v>5500</v>
      </c>
      <c r="S171" s="27">
        <f t="shared" si="60"/>
        <v>134</v>
      </c>
      <c r="T171" s="20">
        <v>5366</v>
      </c>
      <c r="U171" s="20">
        <v>4916</v>
      </c>
      <c r="V171" s="20">
        <f t="shared" si="61"/>
        <v>450</v>
      </c>
      <c r="W171" s="20"/>
      <c r="X171" s="5"/>
      <c r="Y171" s="29">
        <v>2006</v>
      </c>
      <c r="Z171" s="38" t="s">
        <v>47</v>
      </c>
      <c r="AA171" s="35">
        <f>+Tabla5[[#This Row],[Trenes Puntuales]]/Tabla5[[#This Row],[Trenes Programados]]</f>
        <v>0.90369363244958079</v>
      </c>
      <c r="AB171" s="35">
        <f>+Tabla5[[#This Row],[Trenes Puntuales]]/Tabla5[[#This Row],[Trenes Corridos]]</f>
        <v>0.92400370713623725</v>
      </c>
      <c r="AC171" s="35">
        <f>+Tabla5[[#This Row],[Trenes Corridos]]/Tabla5[[#This Row],[Trenes Programados]]</f>
        <v>0.97801948787672788</v>
      </c>
      <c r="AD171" s="20">
        <v>4413</v>
      </c>
      <c r="AE171" s="27">
        <f t="shared" si="62"/>
        <v>97</v>
      </c>
      <c r="AF171" s="20">
        <v>4316</v>
      </c>
      <c r="AG171" s="20">
        <v>3988</v>
      </c>
      <c r="AH171" s="20">
        <f t="shared" si="63"/>
        <v>328</v>
      </c>
      <c r="AI171" s="20"/>
      <c r="AJ171" s="5"/>
      <c r="AK171" s="29">
        <v>2006</v>
      </c>
      <c r="AL171" s="38" t="s">
        <v>47</v>
      </c>
      <c r="AM171" s="35">
        <f>+Tabla6[[#This Row],[Trenes Puntuales]]/Tabla6[[#This Row],[Trenes Programados]]</f>
        <v>0.9336463223787167</v>
      </c>
      <c r="AN171" s="35">
        <f>+Tabla6[[#This Row],[Trenes Puntuales]]/Tabla6[[#This Row],[Trenes Corridos]]</f>
        <v>0.95364450127877243</v>
      </c>
      <c r="AO171" s="35">
        <f>+Tabla6[[#This Row],[Trenes Corridos]]/Tabla6[[#This Row],[Trenes Programados]]</f>
        <v>0.97902973395931148</v>
      </c>
      <c r="AP171" s="20">
        <v>3195</v>
      </c>
      <c r="AQ171" s="27">
        <f t="shared" si="64"/>
        <v>67</v>
      </c>
      <c r="AR171" s="20">
        <v>3128</v>
      </c>
      <c r="AS171" s="20">
        <v>2983</v>
      </c>
      <c r="AT171" s="20">
        <f t="shared" si="65"/>
        <v>145</v>
      </c>
      <c r="AU171" s="20"/>
      <c r="AV171" s="5"/>
      <c r="AW171" s="29">
        <v>2006</v>
      </c>
      <c r="AX171" s="38" t="s">
        <v>47</v>
      </c>
      <c r="AY171" s="35">
        <f>+MIT_Vic_Cap[[#This Row],[Trenes Puntuales]]/MIT_Vic_Cap[[#This Row],[Trenes Programados]]</f>
        <v>0.88205128205128203</v>
      </c>
      <c r="AZ171" s="35">
        <f>+MIT_Vic_Cap[[#This Row],[Trenes Puntuales]]/MIT_Vic_Cap[[#This Row],[Trenes Corridos]]</f>
        <v>0.89583333333333337</v>
      </c>
      <c r="BA171" s="35">
        <f>+MIT_Vic_Cap[[#This Row],[Trenes Corridos]]/MIT_Vic_Cap[[#This Row],[Trenes Programados]]</f>
        <v>0.98461538461538467</v>
      </c>
      <c r="BB171" s="20">
        <v>975</v>
      </c>
      <c r="BC171" s="27">
        <f t="shared" si="66"/>
        <v>15</v>
      </c>
      <c r="BD171" s="20">
        <v>960</v>
      </c>
      <c r="BE171" s="20">
        <v>860</v>
      </c>
      <c r="BF171" s="20">
        <f t="shared" si="67"/>
        <v>100</v>
      </c>
      <c r="BG171" s="20"/>
      <c r="BH171" s="5"/>
      <c r="BI171" s="29">
        <v>2006</v>
      </c>
      <c r="BJ171" s="38" t="s">
        <v>47</v>
      </c>
      <c r="BK171" s="35">
        <f>+Tabla8[[#This Row],[Trenes Puntuales]]/Tabla8[[#This Row],[Trenes Programados]]</f>
        <v>0.92505592841163309</v>
      </c>
      <c r="BL171" s="35">
        <f>+Tabla8[[#This Row],[Trenes Puntuales]]/Tabla8[[#This Row],[Trenes Corridos]]</f>
        <v>0.93340857787810383</v>
      </c>
      <c r="BM171" s="35">
        <f>+Tabla8[[#This Row],[Trenes Corridos]]/Tabla8[[#This Row],[Trenes Programados]]</f>
        <v>0.99105145413870244</v>
      </c>
      <c r="BN171" s="20">
        <v>894</v>
      </c>
      <c r="BO171" s="27">
        <f t="shared" si="68"/>
        <v>8</v>
      </c>
      <c r="BP171" s="20">
        <v>886</v>
      </c>
      <c r="BQ171" s="20">
        <v>827</v>
      </c>
      <c r="BR171" s="20">
        <f t="shared" si="69"/>
        <v>59</v>
      </c>
      <c r="BS171" s="29"/>
    </row>
    <row r="172" spans="1:71" s="3" customFormat="1" ht="12.75">
      <c r="A172" s="3">
        <v>2006</v>
      </c>
      <c r="B172" s="38" t="s">
        <v>48</v>
      </c>
      <c r="C172" s="25">
        <f>+MITRE[[#This Row],[Trenes Puntuales]]/MITRE[[#This Row],[Trenes Programados]]</f>
        <v>0.91032535627856948</v>
      </c>
      <c r="D172" s="25">
        <f>+MITRE[[#This Row],[Trenes Puntuales]]/MITRE[[#This Row],[Trenes Corridos]]</f>
        <v>0.93052978767264483</v>
      </c>
      <c r="E172" s="25">
        <f>+MITRE[[#This Row],[Trenes Corridos]]/MITRE[[#This Row],[Trenes Programados]]</f>
        <v>0.97828717397149767</v>
      </c>
      <c r="F172" s="27">
        <f t="shared" si="45"/>
        <v>14876</v>
      </c>
      <c r="G172" s="27">
        <f t="shared" si="46"/>
        <v>323</v>
      </c>
      <c r="H172" s="27">
        <f t="shared" si="47"/>
        <v>14553</v>
      </c>
      <c r="I172" s="27">
        <f t="shared" si="48"/>
        <v>13542</v>
      </c>
      <c r="J172" s="27">
        <f t="shared" si="49"/>
        <v>1011</v>
      </c>
      <c r="K172" s="27"/>
      <c r="L172" s="4"/>
      <c r="M172" s="29">
        <v>2006</v>
      </c>
      <c r="N172" s="38" t="s">
        <v>48</v>
      </c>
      <c r="O172" s="35">
        <f>+Tabla4[[#This Row],[Trenes Puntuales]]/Tabla4[[#This Row],[Trenes Programados]]</f>
        <v>0.91459854014598541</v>
      </c>
      <c r="P172" s="35">
        <f>+Tabla4[[#This Row],[Trenes Puntuales]]/Tabla4[[#This Row],[Trenes Corridos]]</f>
        <v>0.92900834105653385</v>
      </c>
      <c r="Q172" s="35">
        <f>+Tabla4[[#This Row],[Trenes Corridos]]/Tabla4[[#This Row],[Trenes Programados]]</f>
        <v>0.98448905109489049</v>
      </c>
      <c r="R172" s="20">
        <v>5480</v>
      </c>
      <c r="S172" s="27">
        <f t="shared" si="60"/>
        <v>85</v>
      </c>
      <c r="T172" s="20">
        <v>5395</v>
      </c>
      <c r="U172" s="20">
        <v>5012</v>
      </c>
      <c r="V172" s="20">
        <f t="shared" si="61"/>
        <v>383</v>
      </c>
      <c r="W172" s="20"/>
      <c r="X172" s="5"/>
      <c r="Y172" s="29">
        <v>2006</v>
      </c>
      <c r="Z172" s="38" t="s">
        <v>48</v>
      </c>
      <c r="AA172" s="35">
        <f>+Tabla5[[#This Row],[Trenes Puntuales]]/Tabla5[[#This Row],[Trenes Programados]]</f>
        <v>0.91010468821119705</v>
      </c>
      <c r="AB172" s="35">
        <f>+Tabla5[[#This Row],[Trenes Puntuales]]/Tabla5[[#This Row],[Trenes Corridos]]</f>
        <v>0.93195059426707061</v>
      </c>
      <c r="AC172" s="35">
        <f>+Tabla5[[#This Row],[Trenes Corridos]]/Tabla5[[#This Row],[Trenes Programados]]</f>
        <v>0.97655894401456533</v>
      </c>
      <c r="AD172" s="20">
        <v>4394</v>
      </c>
      <c r="AE172" s="27">
        <f t="shared" si="62"/>
        <v>103</v>
      </c>
      <c r="AF172" s="20">
        <v>4291</v>
      </c>
      <c r="AG172" s="20">
        <v>3999</v>
      </c>
      <c r="AH172" s="20">
        <f t="shared" si="63"/>
        <v>292</v>
      </c>
      <c r="AI172" s="20"/>
      <c r="AJ172" s="5"/>
      <c r="AK172" s="29">
        <v>2006</v>
      </c>
      <c r="AL172" s="38" t="s">
        <v>48</v>
      </c>
      <c r="AM172" s="35">
        <f>+Tabla6[[#This Row],[Trenes Puntuales]]/Tabla6[[#This Row],[Trenes Programados]]</f>
        <v>0.93371574251115363</v>
      </c>
      <c r="AN172" s="35">
        <f>+Tabla6[[#This Row],[Trenes Puntuales]]/Tabla6[[#This Row],[Trenes Corridos]]</f>
        <v>0.9622331691297209</v>
      </c>
      <c r="AO172" s="35">
        <f>+Tabla6[[#This Row],[Trenes Corridos]]/Tabla6[[#This Row],[Trenes Programados]]</f>
        <v>0.9703632887189293</v>
      </c>
      <c r="AP172" s="20">
        <v>3138</v>
      </c>
      <c r="AQ172" s="27">
        <f t="shared" si="64"/>
        <v>93</v>
      </c>
      <c r="AR172" s="20">
        <v>3045</v>
      </c>
      <c r="AS172" s="20">
        <v>2930</v>
      </c>
      <c r="AT172" s="20">
        <f t="shared" si="65"/>
        <v>115</v>
      </c>
      <c r="AU172" s="20"/>
      <c r="AV172" s="5"/>
      <c r="AW172" s="29">
        <v>2006</v>
      </c>
      <c r="AX172" s="38" t="s">
        <v>48</v>
      </c>
      <c r="AY172" s="35">
        <f>+MIT_Vic_Cap[[#This Row],[Trenes Puntuales]]/MIT_Vic_Cap[[#This Row],[Trenes Programados]]</f>
        <v>0.84607438016528924</v>
      </c>
      <c r="AZ172" s="35">
        <f>+MIT_Vic_Cap[[#This Row],[Trenes Puntuales]]/MIT_Vic_Cap[[#This Row],[Trenes Corridos]]</f>
        <v>0.86850477200424181</v>
      </c>
      <c r="BA172" s="35">
        <f>+MIT_Vic_Cap[[#This Row],[Trenes Corridos]]/MIT_Vic_Cap[[#This Row],[Trenes Programados]]</f>
        <v>0.97417355371900827</v>
      </c>
      <c r="BB172" s="20">
        <v>968</v>
      </c>
      <c r="BC172" s="27">
        <f t="shared" si="66"/>
        <v>25</v>
      </c>
      <c r="BD172" s="20">
        <v>943</v>
      </c>
      <c r="BE172" s="20">
        <v>819</v>
      </c>
      <c r="BF172" s="20">
        <f t="shared" si="67"/>
        <v>124</v>
      </c>
      <c r="BG172" s="20"/>
      <c r="BH172" s="5"/>
      <c r="BI172" s="29">
        <v>2006</v>
      </c>
      <c r="BJ172" s="38" t="s">
        <v>48</v>
      </c>
      <c r="BK172" s="35">
        <f>+Tabla8[[#This Row],[Trenes Puntuales]]/Tabla8[[#This Row],[Trenes Programados]]</f>
        <v>0.8727678571428571</v>
      </c>
      <c r="BL172" s="35">
        <f>+Tabla8[[#This Row],[Trenes Puntuales]]/Tabla8[[#This Row],[Trenes Corridos]]</f>
        <v>0.88964732650739475</v>
      </c>
      <c r="BM172" s="35">
        <f>+Tabla8[[#This Row],[Trenes Corridos]]/Tabla8[[#This Row],[Trenes Programados]]</f>
        <v>0.9810267857142857</v>
      </c>
      <c r="BN172" s="20">
        <v>896</v>
      </c>
      <c r="BO172" s="27">
        <f t="shared" si="68"/>
        <v>17</v>
      </c>
      <c r="BP172" s="20">
        <v>879</v>
      </c>
      <c r="BQ172" s="20">
        <v>782</v>
      </c>
      <c r="BR172" s="20">
        <f t="shared" si="69"/>
        <v>97</v>
      </c>
      <c r="BS172" s="29"/>
    </row>
    <row r="173" spans="1:71" s="3" customFormat="1" ht="12.75">
      <c r="A173" s="3">
        <v>2006</v>
      </c>
      <c r="B173" s="38" t="s">
        <v>49</v>
      </c>
      <c r="C173" s="25">
        <f>+MITRE[[#This Row],[Trenes Puntuales]]/MITRE[[#This Row],[Trenes Programados]]</f>
        <v>0.89055472263868063</v>
      </c>
      <c r="D173" s="25">
        <f>+MITRE[[#This Row],[Trenes Puntuales]]/MITRE[[#This Row],[Trenes Corridos]]</f>
        <v>0.91679528553388523</v>
      </c>
      <c r="E173" s="25">
        <f>+MITRE[[#This Row],[Trenes Corridos]]/MITRE[[#This Row],[Trenes Programados]]</f>
        <v>0.97137794738994143</v>
      </c>
      <c r="F173" s="27">
        <f t="shared" si="45"/>
        <v>14674</v>
      </c>
      <c r="G173" s="27">
        <f t="shared" si="46"/>
        <v>420</v>
      </c>
      <c r="H173" s="27">
        <f t="shared" si="47"/>
        <v>14254</v>
      </c>
      <c r="I173" s="27">
        <f t="shared" si="48"/>
        <v>13068</v>
      </c>
      <c r="J173" s="27">
        <f t="shared" si="49"/>
        <v>1186</v>
      </c>
      <c r="K173" s="27"/>
      <c r="L173" s="4"/>
      <c r="M173" s="29">
        <v>2006</v>
      </c>
      <c r="N173" s="38" t="s">
        <v>49</v>
      </c>
      <c r="O173" s="35">
        <f>+Tabla4[[#This Row],[Trenes Puntuales]]/Tabla4[[#This Row],[Trenes Programados]]</f>
        <v>0.86461824953445066</v>
      </c>
      <c r="P173" s="35">
        <f>+Tabla4[[#This Row],[Trenes Puntuales]]/Tabla4[[#This Row],[Trenes Corridos]]</f>
        <v>0.8989351403678606</v>
      </c>
      <c r="Q173" s="35">
        <f>+Tabla4[[#This Row],[Trenes Corridos]]/Tabla4[[#This Row],[Trenes Programados]]</f>
        <v>0.96182495344506513</v>
      </c>
      <c r="R173" s="20">
        <v>5370</v>
      </c>
      <c r="S173" s="27">
        <f t="shared" si="60"/>
        <v>205</v>
      </c>
      <c r="T173" s="20">
        <v>5165</v>
      </c>
      <c r="U173" s="20">
        <v>4643</v>
      </c>
      <c r="V173" s="20">
        <f t="shared" si="61"/>
        <v>522</v>
      </c>
      <c r="W173" s="20"/>
      <c r="X173" s="5"/>
      <c r="Y173" s="29">
        <v>2006</v>
      </c>
      <c r="Z173" s="38" t="s">
        <v>49</v>
      </c>
      <c r="AA173" s="35">
        <f>+Tabla5[[#This Row],[Trenes Puntuales]]/Tabla5[[#This Row],[Trenes Programados]]</f>
        <v>0.90831210928455663</v>
      </c>
      <c r="AB173" s="35">
        <f>+Tabla5[[#This Row],[Trenes Puntuales]]/Tabla5[[#This Row],[Trenes Corridos]]</f>
        <v>0.92676588707772267</v>
      </c>
      <c r="AC173" s="35">
        <f>+Tabla5[[#This Row],[Trenes Corridos]]/Tabla5[[#This Row],[Trenes Programados]]</f>
        <v>0.98008798332947444</v>
      </c>
      <c r="AD173" s="20">
        <v>4319</v>
      </c>
      <c r="AE173" s="27">
        <f t="shared" si="62"/>
        <v>86</v>
      </c>
      <c r="AF173" s="20">
        <v>4233</v>
      </c>
      <c r="AG173" s="20">
        <v>3923</v>
      </c>
      <c r="AH173" s="20">
        <f t="shared" si="63"/>
        <v>310</v>
      </c>
      <c r="AI173" s="20"/>
      <c r="AJ173" s="5"/>
      <c r="AK173" s="29">
        <v>2006</v>
      </c>
      <c r="AL173" s="38" t="s">
        <v>49</v>
      </c>
      <c r="AM173" s="35">
        <f>+Tabla6[[#This Row],[Trenes Puntuales]]/Tabla6[[#This Row],[Trenes Programados]]</f>
        <v>0.93991144845034791</v>
      </c>
      <c r="AN173" s="35">
        <f>+Tabla6[[#This Row],[Trenes Puntuales]]/Tabla6[[#This Row],[Trenes Corridos]]</f>
        <v>0.96462187601428107</v>
      </c>
      <c r="AO173" s="35">
        <f>+Tabla6[[#This Row],[Trenes Corridos]]/Tabla6[[#This Row],[Trenes Programados]]</f>
        <v>0.97438330170777987</v>
      </c>
      <c r="AP173" s="20">
        <v>3162</v>
      </c>
      <c r="AQ173" s="27">
        <f t="shared" si="64"/>
        <v>81</v>
      </c>
      <c r="AR173" s="20">
        <v>3081</v>
      </c>
      <c r="AS173" s="20">
        <v>2972</v>
      </c>
      <c r="AT173" s="20">
        <f t="shared" si="65"/>
        <v>109</v>
      </c>
      <c r="AU173" s="20"/>
      <c r="AV173" s="5"/>
      <c r="AW173" s="29">
        <v>2006</v>
      </c>
      <c r="AX173" s="38" t="s">
        <v>49</v>
      </c>
      <c r="AY173" s="35">
        <f>+MIT_Vic_Cap[[#This Row],[Trenes Puntuales]]/MIT_Vic_Cap[[#This Row],[Trenes Programados]]</f>
        <v>0.84375</v>
      </c>
      <c r="AZ173" s="35">
        <f>+MIT_Vic_Cap[[#This Row],[Trenes Puntuales]]/MIT_Vic_Cap[[#This Row],[Trenes Corridos]]</f>
        <v>0.86538461538461542</v>
      </c>
      <c r="BA173" s="35">
        <f>+MIT_Vic_Cap[[#This Row],[Trenes Corridos]]/MIT_Vic_Cap[[#This Row],[Trenes Programados]]</f>
        <v>0.97499999999999998</v>
      </c>
      <c r="BB173" s="20">
        <v>960</v>
      </c>
      <c r="BC173" s="27">
        <f t="shared" si="66"/>
        <v>24</v>
      </c>
      <c r="BD173" s="20">
        <v>936</v>
      </c>
      <c r="BE173" s="20">
        <v>810</v>
      </c>
      <c r="BF173" s="20">
        <f t="shared" si="67"/>
        <v>126</v>
      </c>
      <c r="BG173" s="20"/>
      <c r="BH173" s="5"/>
      <c r="BI173" s="29">
        <v>2006</v>
      </c>
      <c r="BJ173" s="38" t="s">
        <v>49</v>
      </c>
      <c r="BK173" s="35">
        <f>+Tabla8[[#This Row],[Trenes Puntuales]]/Tabla8[[#This Row],[Trenes Programados]]</f>
        <v>0.83429895712630364</v>
      </c>
      <c r="BL173" s="35">
        <f>+Tabla8[[#This Row],[Trenes Puntuales]]/Tabla8[[#This Row],[Trenes Corridos]]</f>
        <v>0.85816448152562574</v>
      </c>
      <c r="BM173" s="35">
        <f>+Tabla8[[#This Row],[Trenes Corridos]]/Tabla8[[#This Row],[Trenes Programados]]</f>
        <v>0.97219003476245658</v>
      </c>
      <c r="BN173" s="20">
        <v>863</v>
      </c>
      <c r="BO173" s="27">
        <f t="shared" si="68"/>
        <v>24</v>
      </c>
      <c r="BP173" s="20">
        <v>839</v>
      </c>
      <c r="BQ173" s="20">
        <v>720</v>
      </c>
      <c r="BR173" s="20">
        <f t="shared" si="69"/>
        <v>119</v>
      </c>
      <c r="BS173" s="29"/>
    </row>
    <row r="174" spans="1:71" s="3" customFormat="1" ht="12.75">
      <c r="A174" s="3">
        <v>2007</v>
      </c>
      <c r="B174" s="38" t="s">
        <v>38</v>
      </c>
      <c r="C174" s="25">
        <f>+MITRE[[#This Row],[Trenes Puntuales]]/MITRE[[#This Row],[Trenes Programados]]</f>
        <v>0.92069237857048836</v>
      </c>
      <c r="D174" s="25">
        <f>+MITRE[[#This Row],[Trenes Puntuales]]/MITRE[[#This Row],[Trenes Corridos]]</f>
        <v>0.93948959032907997</v>
      </c>
      <c r="E174" s="25">
        <f>+MITRE[[#This Row],[Trenes Corridos]]/MITRE[[#This Row],[Trenes Programados]]</f>
        <v>0.97999210214558374</v>
      </c>
      <c r="F174" s="27">
        <f t="shared" si="45"/>
        <v>15194</v>
      </c>
      <c r="G174" s="27">
        <f t="shared" si="46"/>
        <v>304</v>
      </c>
      <c r="H174" s="27">
        <f t="shared" si="47"/>
        <v>14890</v>
      </c>
      <c r="I174" s="27">
        <f t="shared" si="48"/>
        <v>13989</v>
      </c>
      <c r="J174" s="27">
        <f t="shared" si="49"/>
        <v>901</v>
      </c>
      <c r="K174" s="27"/>
      <c r="L174" s="4"/>
      <c r="M174" s="29">
        <v>2007</v>
      </c>
      <c r="N174" s="38" t="s">
        <v>38</v>
      </c>
      <c r="O174" s="35">
        <f>+Tabla4[[#This Row],[Trenes Puntuales]]/Tabla4[[#This Row],[Trenes Programados]]</f>
        <v>0.92343470483005363</v>
      </c>
      <c r="P174" s="35">
        <f>+Tabla4[[#This Row],[Trenes Puntuales]]/Tabla4[[#This Row],[Trenes Corridos]]</f>
        <v>0.94042630715977404</v>
      </c>
      <c r="Q174" s="35">
        <f>+Tabla4[[#This Row],[Trenes Corridos]]/Tabla4[[#This Row],[Trenes Programados]]</f>
        <v>0.98193202146690517</v>
      </c>
      <c r="R174" s="20">
        <v>5590</v>
      </c>
      <c r="S174" s="27">
        <f t="shared" ref="S174:S185" si="70">R174-T174</f>
        <v>101</v>
      </c>
      <c r="T174" s="20">
        <v>5489</v>
      </c>
      <c r="U174" s="20">
        <v>5162</v>
      </c>
      <c r="V174" s="20">
        <f t="shared" ref="V174:V185" si="71">T174-U174</f>
        <v>327</v>
      </c>
      <c r="W174" s="20"/>
      <c r="X174" s="5"/>
      <c r="Y174" s="29">
        <v>2007</v>
      </c>
      <c r="Z174" s="38" t="s">
        <v>38</v>
      </c>
      <c r="AA174" s="35">
        <f>+Tabla5[[#This Row],[Trenes Puntuales]]/Tabla5[[#This Row],[Trenes Programados]]</f>
        <v>0.93464198081641758</v>
      </c>
      <c r="AB174" s="35">
        <f>+Tabla5[[#This Row],[Trenes Puntuales]]/Tabla5[[#This Row],[Trenes Corridos]]</f>
        <v>0.95032887276026312</v>
      </c>
      <c r="AC174" s="35">
        <f>+Tabla5[[#This Row],[Trenes Corridos]]/Tabla5[[#This Row],[Trenes Programados]]</f>
        <v>0.98349319652018741</v>
      </c>
      <c r="AD174" s="20">
        <v>4483</v>
      </c>
      <c r="AE174" s="27">
        <f t="shared" ref="AE174:AE185" si="72">AD174-AF174</f>
        <v>74</v>
      </c>
      <c r="AF174" s="20">
        <v>4409</v>
      </c>
      <c r="AG174" s="20">
        <v>4190</v>
      </c>
      <c r="AH174" s="20">
        <f t="shared" ref="AH174:AH185" si="73">AF174-AG174</f>
        <v>219</v>
      </c>
      <c r="AI174" s="20"/>
      <c r="AJ174" s="5"/>
      <c r="AK174" s="29">
        <v>2007</v>
      </c>
      <c r="AL174" s="38" t="s">
        <v>38</v>
      </c>
      <c r="AM174" s="35">
        <f>+Tabla6[[#This Row],[Trenes Puntuales]]/Tabla6[[#This Row],[Trenes Programados]]</f>
        <v>0.94846321018317292</v>
      </c>
      <c r="AN174" s="35">
        <f>+Tabla6[[#This Row],[Trenes Puntuales]]/Tabla6[[#This Row],[Trenes Corridos]]</f>
        <v>0.96677215189873422</v>
      </c>
      <c r="AO174" s="35">
        <f>+Tabla6[[#This Row],[Trenes Corridos]]/Tabla6[[#This Row],[Trenes Programados]]</f>
        <v>0.98106178205526229</v>
      </c>
      <c r="AP174" s="20">
        <v>3221</v>
      </c>
      <c r="AQ174" s="27">
        <f t="shared" ref="AQ174:AQ185" si="74">AP174-AR174</f>
        <v>61</v>
      </c>
      <c r="AR174" s="20">
        <v>3160</v>
      </c>
      <c r="AS174" s="20">
        <v>3055</v>
      </c>
      <c r="AT174" s="20">
        <f t="shared" ref="AT174:AT185" si="75">AR174-AS174</f>
        <v>105</v>
      </c>
      <c r="AU174" s="20"/>
      <c r="AV174" s="5"/>
      <c r="AW174" s="29">
        <v>2007</v>
      </c>
      <c r="AX174" s="38" t="s">
        <v>38</v>
      </c>
      <c r="AY174" s="35">
        <f>+MIT_Vic_Cap[[#This Row],[Trenes Puntuales]]/MIT_Vic_Cap[[#This Row],[Trenes Programados]]</f>
        <v>0.84109311740890691</v>
      </c>
      <c r="AZ174" s="35">
        <f>+MIT_Vic_Cap[[#This Row],[Trenes Puntuales]]/MIT_Vic_Cap[[#This Row],[Trenes Corridos]]</f>
        <v>0.87106918238993714</v>
      </c>
      <c r="BA174" s="35">
        <f>+MIT_Vic_Cap[[#This Row],[Trenes Corridos]]/MIT_Vic_Cap[[#This Row],[Trenes Programados]]</f>
        <v>0.96558704453441291</v>
      </c>
      <c r="BB174" s="20">
        <v>988</v>
      </c>
      <c r="BC174" s="27">
        <f t="shared" ref="BC174:BC185" si="76">BB174-BD174</f>
        <v>34</v>
      </c>
      <c r="BD174" s="20">
        <v>954</v>
      </c>
      <c r="BE174" s="20">
        <v>831</v>
      </c>
      <c r="BF174" s="20">
        <f t="shared" ref="BF174:BF185" si="77">BD174-BE174</f>
        <v>123</v>
      </c>
      <c r="BG174" s="20"/>
      <c r="BH174" s="5"/>
      <c r="BI174" s="29">
        <v>2007</v>
      </c>
      <c r="BJ174" s="38" t="s">
        <v>38</v>
      </c>
      <c r="BK174" s="35">
        <f>+Tabla8[[#This Row],[Trenes Puntuales]]/Tabla8[[#This Row],[Trenes Programados]]</f>
        <v>0.82346491228070173</v>
      </c>
      <c r="BL174" s="35">
        <f>+Tabla8[[#This Row],[Trenes Puntuales]]/Tabla8[[#This Row],[Trenes Corridos]]</f>
        <v>0.8553530751708428</v>
      </c>
      <c r="BM174" s="35">
        <f>+Tabla8[[#This Row],[Trenes Corridos]]/Tabla8[[#This Row],[Trenes Programados]]</f>
        <v>0.96271929824561409</v>
      </c>
      <c r="BN174" s="20">
        <v>912</v>
      </c>
      <c r="BO174" s="27">
        <f t="shared" ref="BO174:BO185" si="78">BN174-BP174</f>
        <v>34</v>
      </c>
      <c r="BP174" s="20">
        <v>878</v>
      </c>
      <c r="BQ174" s="20">
        <v>751</v>
      </c>
      <c r="BR174" s="20">
        <f t="shared" ref="BR174:BR185" si="79">BP174-BQ174</f>
        <v>127</v>
      </c>
      <c r="BS174" s="29"/>
    </row>
    <row r="175" spans="1:71" s="3" customFormat="1" ht="12.75">
      <c r="A175" s="3">
        <v>2007</v>
      </c>
      <c r="B175" s="38" t="s">
        <v>39</v>
      </c>
      <c r="C175" s="25">
        <f>+MITRE[[#This Row],[Trenes Puntuales]]/MITRE[[#This Row],[Trenes Programados]]</f>
        <v>0.90111561866125756</v>
      </c>
      <c r="D175" s="25">
        <f>+MITRE[[#This Row],[Trenes Puntuales]]/MITRE[[#This Row],[Trenes Corridos]]</f>
        <v>0.92181710389802873</v>
      </c>
      <c r="E175" s="25">
        <f>+MITRE[[#This Row],[Trenes Corridos]]/MITRE[[#This Row],[Trenes Programados]]</f>
        <v>0.97754274123442475</v>
      </c>
      <c r="F175" s="27">
        <f t="shared" si="45"/>
        <v>13804</v>
      </c>
      <c r="G175" s="27">
        <f t="shared" si="46"/>
        <v>310</v>
      </c>
      <c r="H175" s="27">
        <f t="shared" si="47"/>
        <v>13494</v>
      </c>
      <c r="I175" s="27">
        <f t="shared" si="48"/>
        <v>12439</v>
      </c>
      <c r="J175" s="27">
        <f t="shared" si="49"/>
        <v>1055</v>
      </c>
      <c r="K175" s="27"/>
      <c r="L175" s="4"/>
      <c r="M175" s="29">
        <v>2007</v>
      </c>
      <c r="N175" s="38" t="s">
        <v>39</v>
      </c>
      <c r="O175" s="35">
        <f>+Tabla4[[#This Row],[Trenes Puntuales]]/Tabla4[[#This Row],[Trenes Programados]]</f>
        <v>0.89389763779527565</v>
      </c>
      <c r="P175" s="35">
        <f>+Tabla4[[#This Row],[Trenes Puntuales]]/Tabla4[[#This Row],[Trenes Corridos]]</f>
        <v>0.911115569823435</v>
      </c>
      <c r="Q175" s="35">
        <f>+Tabla4[[#This Row],[Trenes Corridos]]/Tabla4[[#This Row],[Trenes Programados]]</f>
        <v>0.98110236220472435</v>
      </c>
      <c r="R175" s="20">
        <v>5080</v>
      </c>
      <c r="S175" s="27">
        <f t="shared" si="70"/>
        <v>96</v>
      </c>
      <c r="T175" s="20">
        <v>4984</v>
      </c>
      <c r="U175" s="20">
        <v>4541</v>
      </c>
      <c r="V175" s="20">
        <f t="shared" si="71"/>
        <v>443</v>
      </c>
      <c r="W175" s="20"/>
      <c r="X175" s="5"/>
      <c r="Y175" s="29">
        <v>2007</v>
      </c>
      <c r="Z175" s="38" t="s">
        <v>39</v>
      </c>
      <c r="AA175" s="35">
        <f>+Tabla5[[#This Row],[Trenes Puntuales]]/Tabla5[[#This Row],[Trenes Programados]]</f>
        <v>0.91364082433758587</v>
      </c>
      <c r="AB175" s="35">
        <f>+Tabla5[[#This Row],[Trenes Puntuales]]/Tabla5[[#This Row],[Trenes Corridos]]</f>
        <v>0.9342699448068239</v>
      </c>
      <c r="AC175" s="35">
        <f>+Tabla5[[#This Row],[Trenes Corridos]]/Tabla5[[#This Row],[Trenes Programados]]</f>
        <v>0.97791952894995093</v>
      </c>
      <c r="AD175" s="20">
        <v>4076</v>
      </c>
      <c r="AE175" s="27">
        <f t="shared" si="72"/>
        <v>90</v>
      </c>
      <c r="AF175" s="20">
        <v>3986</v>
      </c>
      <c r="AG175" s="20">
        <v>3724</v>
      </c>
      <c r="AH175" s="20">
        <f t="shared" si="73"/>
        <v>262</v>
      </c>
      <c r="AI175" s="20"/>
      <c r="AJ175" s="5"/>
      <c r="AK175" s="29">
        <v>2007</v>
      </c>
      <c r="AL175" s="38" t="s">
        <v>39</v>
      </c>
      <c r="AM175" s="35">
        <f>+Tabla6[[#This Row],[Trenes Puntuales]]/Tabla6[[#This Row],[Trenes Programados]]</f>
        <v>0.91849315068493154</v>
      </c>
      <c r="AN175" s="35">
        <f>+Tabla6[[#This Row],[Trenes Puntuales]]/Tabla6[[#This Row],[Trenes Corridos]]</f>
        <v>0.94237526352775824</v>
      </c>
      <c r="AO175" s="35">
        <f>+Tabla6[[#This Row],[Trenes Corridos]]/Tabla6[[#This Row],[Trenes Programados]]</f>
        <v>0.97465753424657531</v>
      </c>
      <c r="AP175" s="20">
        <v>2920</v>
      </c>
      <c r="AQ175" s="27">
        <f t="shared" si="74"/>
        <v>74</v>
      </c>
      <c r="AR175" s="20">
        <v>2846</v>
      </c>
      <c r="AS175" s="20">
        <v>2682</v>
      </c>
      <c r="AT175" s="20">
        <f t="shared" si="75"/>
        <v>164</v>
      </c>
      <c r="AU175" s="20"/>
      <c r="AV175" s="5"/>
      <c r="AW175" s="29">
        <v>2007</v>
      </c>
      <c r="AX175" s="38" t="s">
        <v>39</v>
      </c>
      <c r="AY175" s="35">
        <f>+MIT_Vic_Cap[[#This Row],[Trenes Puntuales]]/MIT_Vic_Cap[[#This Row],[Trenes Programados]]</f>
        <v>0.84</v>
      </c>
      <c r="AZ175" s="35">
        <f>+MIT_Vic_Cap[[#This Row],[Trenes Puntuales]]/MIT_Vic_Cap[[#This Row],[Trenes Corridos]]</f>
        <v>0.86896551724137927</v>
      </c>
      <c r="BA175" s="35">
        <f>+MIT_Vic_Cap[[#This Row],[Trenes Corridos]]/MIT_Vic_Cap[[#This Row],[Trenes Programados]]</f>
        <v>0.96666666666666667</v>
      </c>
      <c r="BB175" s="20">
        <v>900</v>
      </c>
      <c r="BC175" s="27">
        <f t="shared" si="76"/>
        <v>30</v>
      </c>
      <c r="BD175" s="20">
        <v>870</v>
      </c>
      <c r="BE175" s="20">
        <v>756</v>
      </c>
      <c r="BF175" s="20">
        <f t="shared" si="77"/>
        <v>114</v>
      </c>
      <c r="BG175" s="20"/>
      <c r="BH175" s="5"/>
      <c r="BI175" s="29">
        <v>2007</v>
      </c>
      <c r="BJ175" s="38" t="s">
        <v>39</v>
      </c>
      <c r="BK175" s="35">
        <f>+Tabla8[[#This Row],[Trenes Puntuales]]/Tabla8[[#This Row],[Trenes Programados]]</f>
        <v>0.88888888888888884</v>
      </c>
      <c r="BL175" s="35">
        <f>+Tabla8[[#This Row],[Trenes Puntuales]]/Tabla8[[#This Row],[Trenes Corridos]]</f>
        <v>0.91089108910891092</v>
      </c>
      <c r="BM175" s="35">
        <f>+Tabla8[[#This Row],[Trenes Corridos]]/Tabla8[[#This Row],[Trenes Programados]]</f>
        <v>0.97584541062801933</v>
      </c>
      <c r="BN175" s="20">
        <v>828</v>
      </c>
      <c r="BO175" s="27">
        <f t="shared" si="78"/>
        <v>20</v>
      </c>
      <c r="BP175" s="20">
        <v>808</v>
      </c>
      <c r="BQ175" s="20">
        <v>736</v>
      </c>
      <c r="BR175" s="20">
        <f t="shared" si="79"/>
        <v>72</v>
      </c>
      <c r="BS175" s="29"/>
    </row>
    <row r="176" spans="1:71" s="3" customFormat="1" ht="12.75">
      <c r="A176" s="3">
        <v>2007</v>
      </c>
      <c r="B176" s="38" t="s">
        <v>40</v>
      </c>
      <c r="C176" s="25">
        <f>+MITRE[[#This Row],[Trenes Puntuales]]/MITRE[[#This Row],[Trenes Programados]]</f>
        <v>0.89383967355535077</v>
      </c>
      <c r="D176" s="25">
        <f>+MITRE[[#This Row],[Trenes Puntuales]]/MITRE[[#This Row],[Trenes Corridos]]</f>
        <v>0.91349969731620362</v>
      </c>
      <c r="E176" s="25">
        <f>+MITRE[[#This Row],[Trenes Corridos]]/MITRE[[#This Row],[Trenes Programados]]</f>
        <v>0.97847834671580891</v>
      </c>
      <c r="F176" s="27">
        <f t="shared" si="45"/>
        <v>15194</v>
      </c>
      <c r="G176" s="27">
        <f t="shared" si="46"/>
        <v>327</v>
      </c>
      <c r="H176" s="27">
        <f t="shared" si="47"/>
        <v>14867</v>
      </c>
      <c r="I176" s="27">
        <f t="shared" si="48"/>
        <v>13581</v>
      </c>
      <c r="J176" s="27">
        <f t="shared" si="49"/>
        <v>1286</v>
      </c>
      <c r="K176" s="27"/>
      <c r="L176" s="4"/>
      <c r="M176" s="29">
        <v>2007</v>
      </c>
      <c r="N176" s="38" t="s">
        <v>40</v>
      </c>
      <c r="O176" s="35">
        <f>+Tabla4[[#This Row],[Trenes Puntuales]]/Tabla4[[#This Row],[Trenes Programados]]</f>
        <v>0.86851520572450802</v>
      </c>
      <c r="P176" s="35">
        <f>+Tabla4[[#This Row],[Trenes Puntuales]]/Tabla4[[#This Row],[Trenes Corridos]]</f>
        <v>0.8895199706852327</v>
      </c>
      <c r="Q176" s="35">
        <f>+Tabla4[[#This Row],[Trenes Corridos]]/Tabla4[[#This Row],[Trenes Programados]]</f>
        <v>0.97638640429338108</v>
      </c>
      <c r="R176" s="20">
        <v>5590</v>
      </c>
      <c r="S176" s="27">
        <f t="shared" si="70"/>
        <v>132</v>
      </c>
      <c r="T176" s="20">
        <v>5458</v>
      </c>
      <c r="U176" s="20">
        <v>4855</v>
      </c>
      <c r="V176" s="20">
        <f t="shared" si="71"/>
        <v>603</v>
      </c>
      <c r="W176" s="20"/>
      <c r="X176" s="5"/>
      <c r="Y176" s="29">
        <v>2007</v>
      </c>
      <c r="Z176" s="38" t="s">
        <v>40</v>
      </c>
      <c r="AA176" s="35">
        <f>+Tabla5[[#This Row],[Trenes Puntuales]]/Tabla5[[#This Row],[Trenes Programados]]</f>
        <v>0.91278161945126035</v>
      </c>
      <c r="AB176" s="35">
        <f>+Tabla5[[#This Row],[Trenes Puntuales]]/Tabla5[[#This Row],[Trenes Corridos]]</f>
        <v>0.93021141168447374</v>
      </c>
      <c r="AC176" s="35">
        <f>+Tabla5[[#This Row],[Trenes Corridos]]/Tabla5[[#This Row],[Trenes Programados]]</f>
        <v>0.98126254740129382</v>
      </c>
      <c r="AD176" s="20">
        <v>4483</v>
      </c>
      <c r="AE176" s="27">
        <f t="shared" si="72"/>
        <v>84</v>
      </c>
      <c r="AF176" s="20">
        <v>4399</v>
      </c>
      <c r="AG176" s="20">
        <v>4092</v>
      </c>
      <c r="AH176" s="20">
        <f t="shared" si="73"/>
        <v>307</v>
      </c>
      <c r="AI176" s="20"/>
      <c r="AJ176" s="5"/>
      <c r="AK176" s="29">
        <v>2007</v>
      </c>
      <c r="AL176" s="38" t="s">
        <v>40</v>
      </c>
      <c r="AM176" s="35">
        <f>+Tabla6[[#This Row],[Trenes Puntuales]]/Tabla6[[#This Row],[Trenes Programados]]</f>
        <v>0.94101210804098101</v>
      </c>
      <c r="AN176" s="35">
        <f>+Tabla6[[#This Row],[Trenes Puntuales]]/Tabla6[[#This Row],[Trenes Corridos]]</f>
        <v>0.96467218332272442</v>
      </c>
      <c r="AO176" s="35">
        <f>+Tabla6[[#This Row],[Trenes Corridos]]/Tabla6[[#This Row],[Trenes Programados]]</f>
        <v>0.97547345544861841</v>
      </c>
      <c r="AP176" s="20">
        <v>3221</v>
      </c>
      <c r="AQ176" s="27">
        <f t="shared" si="74"/>
        <v>79</v>
      </c>
      <c r="AR176" s="20">
        <v>3142</v>
      </c>
      <c r="AS176" s="20">
        <v>3031</v>
      </c>
      <c r="AT176" s="20">
        <f t="shared" si="75"/>
        <v>111</v>
      </c>
      <c r="AU176" s="20"/>
      <c r="AV176" s="5"/>
      <c r="AW176" s="29">
        <v>2007</v>
      </c>
      <c r="AX176" s="38" t="s">
        <v>40</v>
      </c>
      <c r="AY176" s="35">
        <f>+MIT_Vic_Cap[[#This Row],[Trenes Puntuales]]/MIT_Vic_Cap[[#This Row],[Trenes Programados]]</f>
        <v>0.79959514170040491</v>
      </c>
      <c r="AZ176" s="35">
        <f>+MIT_Vic_Cap[[#This Row],[Trenes Puntuales]]/MIT_Vic_Cap[[#This Row],[Trenes Corridos]]</f>
        <v>0.81359423274974252</v>
      </c>
      <c r="BA176" s="35">
        <f>+MIT_Vic_Cap[[#This Row],[Trenes Corridos]]/MIT_Vic_Cap[[#This Row],[Trenes Programados]]</f>
        <v>0.98279352226720651</v>
      </c>
      <c r="BB176" s="20">
        <v>988</v>
      </c>
      <c r="BC176" s="27">
        <f t="shared" si="76"/>
        <v>17</v>
      </c>
      <c r="BD176" s="20">
        <v>971</v>
      </c>
      <c r="BE176" s="20">
        <v>790</v>
      </c>
      <c r="BF176" s="20">
        <f t="shared" si="77"/>
        <v>181</v>
      </c>
      <c r="BG176" s="20"/>
      <c r="BH176" s="5"/>
      <c r="BI176" s="29">
        <v>2007</v>
      </c>
      <c r="BJ176" s="38" t="s">
        <v>40</v>
      </c>
      <c r="BK176" s="35">
        <f>+Tabla8[[#This Row],[Trenes Puntuales]]/Tabla8[[#This Row],[Trenes Programados]]</f>
        <v>0.89144736842105265</v>
      </c>
      <c r="BL176" s="35">
        <f>+Tabla8[[#This Row],[Trenes Puntuales]]/Tabla8[[#This Row],[Trenes Corridos]]</f>
        <v>0.90635451505016718</v>
      </c>
      <c r="BM176" s="35">
        <f>+Tabla8[[#This Row],[Trenes Corridos]]/Tabla8[[#This Row],[Trenes Programados]]</f>
        <v>0.98355263157894735</v>
      </c>
      <c r="BN176" s="20">
        <v>912</v>
      </c>
      <c r="BO176" s="27">
        <f t="shared" si="78"/>
        <v>15</v>
      </c>
      <c r="BP176" s="20">
        <v>897</v>
      </c>
      <c r="BQ176" s="20">
        <v>813</v>
      </c>
      <c r="BR176" s="20">
        <f t="shared" si="79"/>
        <v>84</v>
      </c>
      <c r="BS176" s="29"/>
    </row>
    <row r="177" spans="1:71" s="3" customFormat="1" ht="12.75">
      <c r="A177" s="3">
        <v>2007</v>
      </c>
      <c r="B177" s="38" t="s">
        <v>41</v>
      </c>
      <c r="C177" s="25">
        <f>+MITRE[[#This Row],[Trenes Puntuales]]/MITRE[[#This Row],[Trenes Programados]]</f>
        <v>0.84376318379974691</v>
      </c>
      <c r="D177" s="25">
        <f>+MITRE[[#This Row],[Trenes Puntuales]]/MITRE[[#This Row],[Trenes Corridos]]</f>
        <v>0.87970090169342419</v>
      </c>
      <c r="E177" s="25">
        <f>+MITRE[[#This Row],[Trenes Corridos]]/MITRE[[#This Row],[Trenes Programados]]</f>
        <v>0.95914779918436222</v>
      </c>
      <c r="F177" s="27">
        <f t="shared" si="45"/>
        <v>14222</v>
      </c>
      <c r="G177" s="27">
        <f t="shared" si="46"/>
        <v>581</v>
      </c>
      <c r="H177" s="27">
        <f t="shared" si="47"/>
        <v>13641</v>
      </c>
      <c r="I177" s="27">
        <f t="shared" si="48"/>
        <v>12000</v>
      </c>
      <c r="J177" s="27">
        <f t="shared" si="49"/>
        <v>1641</v>
      </c>
      <c r="K177" s="27"/>
      <c r="L177" s="4"/>
      <c r="M177" s="29">
        <v>2007</v>
      </c>
      <c r="N177" s="38" t="s">
        <v>41</v>
      </c>
      <c r="O177" s="35">
        <f>+Tabla4[[#This Row],[Trenes Puntuales]]/Tabla4[[#This Row],[Trenes Programados]]</f>
        <v>0.83666026871401156</v>
      </c>
      <c r="P177" s="35">
        <f>+Tabla4[[#This Row],[Trenes Puntuales]]/Tabla4[[#This Row],[Trenes Corridos]]</f>
        <v>0.87512547681188513</v>
      </c>
      <c r="Q177" s="35">
        <f>+Tabla4[[#This Row],[Trenes Corridos]]/Tabla4[[#This Row],[Trenes Programados]]</f>
        <v>0.95604606525911706</v>
      </c>
      <c r="R177" s="20">
        <v>5210</v>
      </c>
      <c r="S177" s="27">
        <f t="shared" si="70"/>
        <v>229</v>
      </c>
      <c r="T177" s="20">
        <v>4981</v>
      </c>
      <c r="U177" s="20">
        <v>4359</v>
      </c>
      <c r="V177" s="20">
        <f t="shared" si="71"/>
        <v>622</v>
      </c>
      <c r="W177" s="20"/>
      <c r="X177" s="5"/>
      <c r="Y177" s="29">
        <v>2007</v>
      </c>
      <c r="Z177" s="38" t="s">
        <v>41</v>
      </c>
      <c r="AA177" s="35">
        <f>+Tabla5[[#This Row],[Trenes Puntuales]]/Tabla5[[#This Row],[Trenes Programados]]</f>
        <v>0.85205544933078392</v>
      </c>
      <c r="AB177" s="35">
        <f>+Tabla5[[#This Row],[Trenes Puntuales]]/Tabla5[[#This Row],[Trenes Corridos]]</f>
        <v>0.88308149616051523</v>
      </c>
      <c r="AC177" s="35">
        <f>+Tabla5[[#This Row],[Trenes Corridos]]/Tabla5[[#This Row],[Trenes Programados]]</f>
        <v>0.96486615678776289</v>
      </c>
      <c r="AD177" s="20">
        <v>4184</v>
      </c>
      <c r="AE177" s="27">
        <f t="shared" si="72"/>
        <v>147</v>
      </c>
      <c r="AF177" s="20">
        <v>4037</v>
      </c>
      <c r="AG177" s="20">
        <v>3565</v>
      </c>
      <c r="AH177" s="20">
        <f t="shared" si="73"/>
        <v>472</v>
      </c>
      <c r="AI177" s="20"/>
      <c r="AJ177" s="5"/>
      <c r="AK177" s="29">
        <v>2007</v>
      </c>
      <c r="AL177" s="38" t="s">
        <v>41</v>
      </c>
      <c r="AM177" s="35">
        <f>+Tabla6[[#This Row],[Trenes Puntuales]]/Tabla6[[#This Row],[Trenes Programados]]</f>
        <v>0.90751633986928104</v>
      </c>
      <c r="AN177" s="35">
        <f>+Tabla6[[#This Row],[Trenes Puntuales]]/Tabla6[[#This Row],[Trenes Corridos]]</f>
        <v>0.93817567567567572</v>
      </c>
      <c r="AO177" s="35">
        <f>+Tabla6[[#This Row],[Trenes Corridos]]/Tabla6[[#This Row],[Trenes Programados]]</f>
        <v>0.9673202614379085</v>
      </c>
      <c r="AP177" s="20">
        <v>3060</v>
      </c>
      <c r="AQ177" s="27">
        <f t="shared" si="74"/>
        <v>100</v>
      </c>
      <c r="AR177" s="20">
        <v>2960</v>
      </c>
      <c r="AS177" s="20">
        <v>2777</v>
      </c>
      <c r="AT177" s="20">
        <f t="shared" si="75"/>
        <v>183</v>
      </c>
      <c r="AU177" s="20"/>
      <c r="AV177" s="5"/>
      <c r="AW177" s="29">
        <v>2007</v>
      </c>
      <c r="AX177" s="38" t="s">
        <v>41</v>
      </c>
      <c r="AY177" s="35">
        <f>+MIT_Vic_Cap[[#This Row],[Trenes Puntuales]]/MIT_Vic_Cap[[#This Row],[Trenes Programados]]</f>
        <v>0.62203023758099352</v>
      </c>
      <c r="AZ177" s="35">
        <f>+MIT_Vic_Cap[[#This Row],[Trenes Puntuales]]/MIT_Vic_Cap[[#This Row],[Trenes Corridos]]</f>
        <v>0.68246445497630337</v>
      </c>
      <c r="BA177" s="35">
        <f>+MIT_Vic_Cap[[#This Row],[Trenes Corridos]]/MIT_Vic_Cap[[#This Row],[Trenes Programados]]</f>
        <v>0.91144708423326137</v>
      </c>
      <c r="BB177" s="20">
        <v>926</v>
      </c>
      <c r="BC177" s="27">
        <f t="shared" si="76"/>
        <v>82</v>
      </c>
      <c r="BD177" s="20">
        <v>844</v>
      </c>
      <c r="BE177" s="20">
        <v>576</v>
      </c>
      <c r="BF177" s="20">
        <f t="shared" si="77"/>
        <v>268</v>
      </c>
      <c r="BG177" s="20"/>
      <c r="BH177" s="5"/>
      <c r="BI177" s="29">
        <v>2007</v>
      </c>
      <c r="BJ177" s="38" t="s">
        <v>41</v>
      </c>
      <c r="BK177" s="35">
        <f>+Tabla8[[#This Row],[Trenes Puntuales]]/Tabla8[[#This Row],[Trenes Programados]]</f>
        <v>0.85866983372921613</v>
      </c>
      <c r="BL177" s="35">
        <f>+Tabla8[[#This Row],[Trenes Puntuales]]/Tabla8[[#This Row],[Trenes Corridos]]</f>
        <v>0.88278388278388276</v>
      </c>
      <c r="BM177" s="35">
        <f>+Tabla8[[#This Row],[Trenes Corridos]]/Tabla8[[#This Row],[Trenes Programados]]</f>
        <v>0.97268408551068886</v>
      </c>
      <c r="BN177" s="20">
        <v>842</v>
      </c>
      <c r="BO177" s="27">
        <f t="shared" si="78"/>
        <v>23</v>
      </c>
      <c r="BP177" s="20">
        <v>819</v>
      </c>
      <c r="BQ177" s="20">
        <v>723</v>
      </c>
      <c r="BR177" s="20">
        <f t="shared" si="79"/>
        <v>96</v>
      </c>
      <c r="BS177" s="29"/>
    </row>
    <row r="178" spans="1:71" s="3" customFormat="1" ht="12.75">
      <c r="A178" s="3">
        <v>2007</v>
      </c>
      <c r="B178" s="38" t="s">
        <v>42</v>
      </c>
      <c r="C178" s="25">
        <f>+MITRE[[#This Row],[Trenes Puntuales]]/MITRE[[#This Row],[Trenes Programados]]</f>
        <v>0.83907585470085466</v>
      </c>
      <c r="D178" s="25">
        <f>+MITRE[[#This Row],[Trenes Puntuales]]/MITRE[[#This Row],[Trenes Corridos]]</f>
        <v>0.86931857488758213</v>
      </c>
      <c r="E178" s="25">
        <f>+MITRE[[#This Row],[Trenes Corridos]]/MITRE[[#This Row],[Trenes Programados]]</f>
        <v>0.96521100427350426</v>
      </c>
      <c r="F178" s="27">
        <f t="shared" si="45"/>
        <v>14976</v>
      </c>
      <c r="G178" s="27">
        <f t="shared" si="46"/>
        <v>521</v>
      </c>
      <c r="H178" s="27">
        <f t="shared" si="47"/>
        <v>14455</v>
      </c>
      <c r="I178" s="27">
        <f t="shared" si="48"/>
        <v>12566</v>
      </c>
      <c r="J178" s="27">
        <f t="shared" si="49"/>
        <v>1889</v>
      </c>
      <c r="K178" s="27"/>
      <c r="L178" s="4"/>
      <c r="M178" s="29">
        <v>2007</v>
      </c>
      <c r="N178" s="38" t="s">
        <v>42</v>
      </c>
      <c r="O178" s="35">
        <f>+Tabla4[[#This Row],[Trenes Puntuales]]/Tabla4[[#This Row],[Trenes Programados]]</f>
        <v>0.86909090909090914</v>
      </c>
      <c r="P178" s="35">
        <f>+Tabla4[[#This Row],[Trenes Puntuales]]/Tabla4[[#This Row],[Trenes Corridos]]</f>
        <v>0.89529874508334895</v>
      </c>
      <c r="Q178" s="35">
        <f>+Tabla4[[#This Row],[Trenes Corridos]]/Tabla4[[#This Row],[Trenes Programados]]</f>
        <v>0.97072727272727277</v>
      </c>
      <c r="R178" s="20">
        <v>5500</v>
      </c>
      <c r="S178" s="27">
        <f t="shared" si="70"/>
        <v>161</v>
      </c>
      <c r="T178" s="20">
        <v>5339</v>
      </c>
      <c r="U178" s="20">
        <v>4780</v>
      </c>
      <c r="V178" s="20">
        <f t="shared" si="71"/>
        <v>559</v>
      </c>
      <c r="W178" s="20"/>
      <c r="X178" s="5"/>
      <c r="Y178" s="29">
        <v>2007</v>
      </c>
      <c r="Z178" s="38" t="s">
        <v>42</v>
      </c>
      <c r="AA178" s="35">
        <f>+Tabla5[[#This Row],[Trenes Puntuales]]/Tabla5[[#This Row],[Trenes Programados]]</f>
        <v>0.82891457058690232</v>
      </c>
      <c r="AB178" s="35">
        <f>+Tabla5[[#This Row],[Trenes Puntuales]]/Tabla5[[#This Row],[Trenes Corridos]]</f>
        <v>0.85949248120300747</v>
      </c>
      <c r="AC178" s="35">
        <f>+Tabla5[[#This Row],[Trenes Corridos]]/Tabla5[[#This Row],[Trenes Programados]]</f>
        <v>0.96442329481078626</v>
      </c>
      <c r="AD178" s="20">
        <v>4413</v>
      </c>
      <c r="AE178" s="27">
        <f t="shared" si="72"/>
        <v>157</v>
      </c>
      <c r="AF178" s="20">
        <v>4256</v>
      </c>
      <c r="AG178" s="20">
        <v>3658</v>
      </c>
      <c r="AH178" s="20">
        <f t="shared" si="73"/>
        <v>598</v>
      </c>
      <c r="AI178" s="20"/>
      <c r="AJ178" s="5"/>
      <c r="AK178" s="29">
        <v>2007</v>
      </c>
      <c r="AL178" s="38" t="s">
        <v>42</v>
      </c>
      <c r="AM178" s="35">
        <f>+Tabla6[[#This Row],[Trenes Puntuales]]/Tabla6[[#This Row],[Trenes Programados]]</f>
        <v>0.88794992175273868</v>
      </c>
      <c r="AN178" s="35">
        <f>+Tabla6[[#This Row],[Trenes Puntuales]]/Tabla6[[#This Row],[Trenes Corridos]]</f>
        <v>0.92320208265538561</v>
      </c>
      <c r="AO178" s="35">
        <f>+Tabla6[[#This Row],[Trenes Corridos]]/Tabla6[[#This Row],[Trenes Programados]]</f>
        <v>0.96181533646322381</v>
      </c>
      <c r="AP178" s="20">
        <v>3195</v>
      </c>
      <c r="AQ178" s="27">
        <f t="shared" si="74"/>
        <v>122</v>
      </c>
      <c r="AR178" s="20">
        <v>3073</v>
      </c>
      <c r="AS178" s="20">
        <v>2837</v>
      </c>
      <c r="AT178" s="20">
        <f t="shared" si="75"/>
        <v>236</v>
      </c>
      <c r="AU178" s="20"/>
      <c r="AV178" s="5"/>
      <c r="AW178" s="29">
        <v>2007</v>
      </c>
      <c r="AX178" s="38" t="s">
        <v>42</v>
      </c>
      <c r="AY178" s="35">
        <f>+MIT_Vic_Cap[[#This Row],[Trenes Puntuales]]/MIT_Vic_Cap[[#This Row],[Trenes Programados]]</f>
        <v>0.5770020533880903</v>
      </c>
      <c r="AZ178" s="35">
        <f>+MIT_Vic_Cap[[#This Row],[Trenes Puntuales]]/MIT_Vic_Cap[[#This Row],[Trenes Corridos]]</f>
        <v>0.61153427638737756</v>
      </c>
      <c r="BA178" s="35">
        <f>+MIT_Vic_Cap[[#This Row],[Trenes Corridos]]/MIT_Vic_Cap[[#This Row],[Trenes Programados]]</f>
        <v>0.94353182751540043</v>
      </c>
      <c r="BB178" s="20">
        <v>974</v>
      </c>
      <c r="BC178" s="27">
        <f t="shared" si="76"/>
        <v>55</v>
      </c>
      <c r="BD178" s="20">
        <v>919</v>
      </c>
      <c r="BE178" s="20">
        <v>562</v>
      </c>
      <c r="BF178" s="20">
        <f t="shared" si="77"/>
        <v>357</v>
      </c>
      <c r="BG178" s="20"/>
      <c r="BH178" s="5"/>
      <c r="BI178" s="29">
        <v>2007</v>
      </c>
      <c r="BJ178" s="38" t="s">
        <v>42</v>
      </c>
      <c r="BK178" s="35">
        <f>+Tabla8[[#This Row],[Trenes Puntuales]]/Tabla8[[#This Row],[Trenes Programados]]</f>
        <v>0.81543624161073824</v>
      </c>
      <c r="BL178" s="35">
        <f>+Tabla8[[#This Row],[Trenes Puntuales]]/Tabla8[[#This Row],[Trenes Corridos]]</f>
        <v>0.83986175115207373</v>
      </c>
      <c r="BM178" s="35">
        <f>+Tabla8[[#This Row],[Trenes Corridos]]/Tabla8[[#This Row],[Trenes Programados]]</f>
        <v>0.970917225950783</v>
      </c>
      <c r="BN178" s="20">
        <v>894</v>
      </c>
      <c r="BO178" s="27">
        <f t="shared" si="78"/>
        <v>26</v>
      </c>
      <c r="BP178" s="20">
        <v>868</v>
      </c>
      <c r="BQ178" s="20">
        <v>729</v>
      </c>
      <c r="BR178" s="20">
        <f t="shared" si="79"/>
        <v>139</v>
      </c>
      <c r="BS178" s="29"/>
    </row>
    <row r="179" spans="1:71" s="3" customFormat="1" ht="12.75">
      <c r="A179" s="3">
        <v>2007</v>
      </c>
      <c r="B179" s="38" t="s">
        <v>43</v>
      </c>
      <c r="C179" s="25">
        <f>+MITRE[[#This Row],[Trenes Puntuales]]/MITRE[[#This Row],[Trenes Programados]]</f>
        <v>0.83194949564262677</v>
      </c>
      <c r="D179" s="25">
        <f>+MITRE[[#This Row],[Trenes Puntuales]]/MITRE[[#This Row],[Trenes Corridos]]</f>
        <v>0.86445632798573979</v>
      </c>
      <c r="E179" s="25">
        <f>+MITRE[[#This Row],[Trenes Corridos]]/MITRE[[#This Row],[Trenes Programados]]</f>
        <v>0.96239621217319704</v>
      </c>
      <c r="F179" s="27">
        <f t="shared" si="45"/>
        <v>14573</v>
      </c>
      <c r="G179" s="27">
        <f t="shared" si="46"/>
        <v>548</v>
      </c>
      <c r="H179" s="27">
        <f t="shared" si="47"/>
        <v>14025</v>
      </c>
      <c r="I179" s="27">
        <f t="shared" si="48"/>
        <v>12124</v>
      </c>
      <c r="J179" s="27">
        <f t="shared" si="49"/>
        <v>1901</v>
      </c>
      <c r="K179" s="27"/>
      <c r="L179" s="4"/>
      <c r="M179" s="29">
        <v>2007</v>
      </c>
      <c r="N179" s="38" t="s">
        <v>43</v>
      </c>
      <c r="O179" s="35">
        <f>+Tabla4[[#This Row],[Trenes Puntuales]]/Tabla4[[#This Row],[Trenes Programados]]</f>
        <v>0.84635514018691593</v>
      </c>
      <c r="P179" s="35">
        <f>+Tabla4[[#This Row],[Trenes Puntuales]]/Tabla4[[#This Row],[Trenes Corridos]]</f>
        <v>0.8773493509009882</v>
      </c>
      <c r="Q179" s="35">
        <f>+Tabla4[[#This Row],[Trenes Corridos]]/Tabla4[[#This Row],[Trenes Programados]]</f>
        <v>0.9646728971962617</v>
      </c>
      <c r="R179" s="20">
        <v>5350</v>
      </c>
      <c r="S179" s="27">
        <f t="shared" si="70"/>
        <v>189</v>
      </c>
      <c r="T179" s="20">
        <v>5161</v>
      </c>
      <c r="U179" s="20">
        <v>4528</v>
      </c>
      <c r="V179" s="20">
        <f t="shared" si="71"/>
        <v>633</v>
      </c>
      <c r="W179" s="20"/>
      <c r="X179" s="5"/>
      <c r="Y179" s="29">
        <v>2007</v>
      </c>
      <c r="Z179" s="38" t="s">
        <v>43</v>
      </c>
      <c r="AA179" s="35">
        <f>+Tabla5[[#This Row],[Trenes Puntuales]]/Tabla5[[#This Row],[Trenes Programados]]</f>
        <v>0.85395348837209306</v>
      </c>
      <c r="AB179" s="35">
        <f>+Tabla5[[#This Row],[Trenes Puntuales]]/Tabla5[[#This Row],[Trenes Corridos]]</f>
        <v>0.87470223916150547</v>
      </c>
      <c r="AC179" s="35">
        <f>+Tabla5[[#This Row],[Trenes Corridos]]/Tabla5[[#This Row],[Trenes Programados]]</f>
        <v>0.97627906976744183</v>
      </c>
      <c r="AD179" s="20">
        <v>4300</v>
      </c>
      <c r="AE179" s="27">
        <f t="shared" si="72"/>
        <v>102</v>
      </c>
      <c r="AF179" s="20">
        <v>4198</v>
      </c>
      <c r="AG179" s="20">
        <v>3672</v>
      </c>
      <c r="AH179" s="20">
        <f t="shared" si="73"/>
        <v>526</v>
      </c>
      <c r="AI179" s="20"/>
      <c r="AJ179" s="5"/>
      <c r="AK179" s="29">
        <v>2007</v>
      </c>
      <c r="AL179" s="38" t="s">
        <v>43</v>
      </c>
      <c r="AM179" s="35">
        <f>+Tabla6[[#This Row],[Trenes Puntuales]]/Tabla6[[#This Row],[Trenes Programados]]</f>
        <v>0.91336553945249599</v>
      </c>
      <c r="AN179" s="35">
        <f>+Tabla6[[#This Row],[Trenes Puntuales]]/Tabla6[[#This Row],[Trenes Corridos]]</f>
        <v>0.93845135671740565</v>
      </c>
      <c r="AO179" s="35">
        <f>+Tabla6[[#This Row],[Trenes Corridos]]/Tabla6[[#This Row],[Trenes Programados]]</f>
        <v>0.97326892109500807</v>
      </c>
      <c r="AP179" s="20">
        <v>3105</v>
      </c>
      <c r="AQ179" s="27">
        <f t="shared" si="74"/>
        <v>83</v>
      </c>
      <c r="AR179" s="20">
        <v>3022</v>
      </c>
      <c r="AS179" s="20">
        <v>2836</v>
      </c>
      <c r="AT179" s="20">
        <f t="shared" si="75"/>
        <v>186</v>
      </c>
      <c r="AU179" s="20"/>
      <c r="AV179" s="5"/>
      <c r="AW179" s="29">
        <v>2007</v>
      </c>
      <c r="AX179" s="38" t="s">
        <v>43</v>
      </c>
      <c r="AY179" s="35">
        <f>+MIT_Vic_Cap[[#This Row],[Trenes Puntuales]]/MIT_Vic_Cap[[#This Row],[Trenes Programados]]</f>
        <v>0.48373557187827909</v>
      </c>
      <c r="AZ179" s="35">
        <f>+MIT_Vic_Cap[[#This Row],[Trenes Puntuales]]/MIT_Vic_Cap[[#This Row],[Trenes Corridos]]</f>
        <v>0.56425948592411257</v>
      </c>
      <c r="BA179" s="35">
        <f>+MIT_Vic_Cap[[#This Row],[Trenes Corridos]]/MIT_Vic_Cap[[#This Row],[Trenes Programados]]</f>
        <v>0.85729275970619101</v>
      </c>
      <c r="BB179" s="20">
        <v>953</v>
      </c>
      <c r="BC179" s="27">
        <f t="shared" si="76"/>
        <v>136</v>
      </c>
      <c r="BD179" s="20">
        <v>817</v>
      </c>
      <c r="BE179" s="20">
        <v>461</v>
      </c>
      <c r="BF179" s="20">
        <f t="shared" si="77"/>
        <v>356</v>
      </c>
      <c r="BG179" s="20"/>
      <c r="BH179" s="5"/>
      <c r="BI179" s="29">
        <v>2007</v>
      </c>
      <c r="BJ179" s="38" t="s">
        <v>43</v>
      </c>
      <c r="BK179" s="35">
        <f>+Tabla8[[#This Row],[Trenes Puntuales]]/Tabla8[[#This Row],[Trenes Programados]]</f>
        <v>0.7248554913294798</v>
      </c>
      <c r="BL179" s="35">
        <f>+Tabla8[[#This Row],[Trenes Puntuales]]/Tabla8[[#This Row],[Trenes Corridos]]</f>
        <v>0.7581620314389359</v>
      </c>
      <c r="BM179" s="35">
        <f>+Tabla8[[#This Row],[Trenes Corridos]]/Tabla8[[#This Row],[Trenes Programados]]</f>
        <v>0.95606936416184973</v>
      </c>
      <c r="BN179" s="20">
        <v>865</v>
      </c>
      <c r="BO179" s="27">
        <f t="shared" si="78"/>
        <v>38</v>
      </c>
      <c r="BP179" s="20">
        <v>827</v>
      </c>
      <c r="BQ179" s="20">
        <v>627</v>
      </c>
      <c r="BR179" s="20">
        <f t="shared" si="79"/>
        <v>200</v>
      </c>
      <c r="BS179" s="29"/>
    </row>
    <row r="180" spans="1:71" s="3" customFormat="1" ht="12.75">
      <c r="A180" s="3">
        <v>2007</v>
      </c>
      <c r="B180" s="38" t="s">
        <v>44</v>
      </c>
      <c r="C180" s="25">
        <f>+MITRE[[#This Row],[Trenes Puntuales]]/MITRE[[#This Row],[Trenes Programados]]</f>
        <v>0.82671360255047821</v>
      </c>
      <c r="D180" s="25">
        <f>+MITRE[[#This Row],[Trenes Puntuales]]/MITRE[[#This Row],[Trenes Corridos]]</f>
        <v>0.85693631669535286</v>
      </c>
      <c r="E180" s="25">
        <f>+MITRE[[#This Row],[Trenes Corridos]]/MITRE[[#This Row],[Trenes Programados]]</f>
        <v>0.96473166843783209</v>
      </c>
      <c r="F180" s="27">
        <f t="shared" si="45"/>
        <v>15056</v>
      </c>
      <c r="G180" s="27">
        <f t="shared" si="46"/>
        <v>531</v>
      </c>
      <c r="H180" s="27">
        <f t="shared" si="47"/>
        <v>14525</v>
      </c>
      <c r="I180" s="27">
        <f t="shared" si="48"/>
        <v>12447</v>
      </c>
      <c r="J180" s="27">
        <f t="shared" si="49"/>
        <v>2078</v>
      </c>
      <c r="K180" s="27"/>
      <c r="L180" s="4"/>
      <c r="M180" s="29">
        <v>2007</v>
      </c>
      <c r="N180" s="38" t="s">
        <v>44</v>
      </c>
      <c r="O180" s="35">
        <f>+Tabla4[[#This Row],[Trenes Puntuales]]/Tabla4[[#This Row],[Trenes Programados]]</f>
        <v>0.83563636363636362</v>
      </c>
      <c r="P180" s="35">
        <f>+Tabla4[[#This Row],[Trenes Puntuales]]/Tabla4[[#This Row],[Trenes Corridos]]</f>
        <v>0.86930206166067714</v>
      </c>
      <c r="Q180" s="35">
        <f>+Tabla4[[#This Row],[Trenes Corridos]]/Tabla4[[#This Row],[Trenes Programados]]</f>
        <v>0.96127272727272728</v>
      </c>
      <c r="R180" s="20">
        <v>5500</v>
      </c>
      <c r="S180" s="27">
        <f t="shared" si="70"/>
        <v>213</v>
      </c>
      <c r="T180" s="20">
        <v>5287</v>
      </c>
      <c r="U180" s="20">
        <v>4596</v>
      </c>
      <c r="V180" s="20">
        <f t="shared" si="71"/>
        <v>691</v>
      </c>
      <c r="W180" s="20"/>
      <c r="X180" s="5"/>
      <c r="Y180" s="29">
        <v>2007</v>
      </c>
      <c r="Z180" s="38" t="s">
        <v>44</v>
      </c>
      <c r="AA180" s="35">
        <f>+Tabla5[[#This Row],[Trenes Puntuales]]/Tabla5[[#This Row],[Trenes Programados]]</f>
        <v>0.92091547699977339</v>
      </c>
      <c r="AB180" s="35">
        <f>+Tabla5[[#This Row],[Trenes Puntuales]]/Tabla5[[#This Row],[Trenes Corridos]]</f>
        <v>0.93511274735388861</v>
      </c>
      <c r="AC180" s="35">
        <f>+Tabla5[[#This Row],[Trenes Corridos]]/Tabla5[[#This Row],[Trenes Programados]]</f>
        <v>0.98481758440969858</v>
      </c>
      <c r="AD180" s="20">
        <v>4413</v>
      </c>
      <c r="AE180" s="27">
        <f t="shared" si="72"/>
        <v>67</v>
      </c>
      <c r="AF180" s="20">
        <v>4346</v>
      </c>
      <c r="AG180" s="20">
        <v>4064</v>
      </c>
      <c r="AH180" s="20">
        <f t="shared" si="73"/>
        <v>282</v>
      </c>
      <c r="AI180" s="20"/>
      <c r="AJ180" s="5"/>
      <c r="AK180" s="29">
        <v>2007</v>
      </c>
      <c r="AL180" s="38" t="s">
        <v>44</v>
      </c>
      <c r="AM180" s="35">
        <f>+Tabla6[[#This Row],[Trenes Puntuales]]/Tabla6[[#This Row],[Trenes Programados]]</f>
        <v>0.95367762128325506</v>
      </c>
      <c r="AN180" s="35">
        <f>+Tabla6[[#This Row],[Trenes Puntuales]]/Tabla6[[#This Row],[Trenes Corridos]]</f>
        <v>0.96607482561826252</v>
      </c>
      <c r="AO180" s="35">
        <f>+Tabla6[[#This Row],[Trenes Corridos]]/Tabla6[[#This Row],[Trenes Programados]]</f>
        <v>0.98716744913928012</v>
      </c>
      <c r="AP180" s="20">
        <v>3195</v>
      </c>
      <c r="AQ180" s="27">
        <f t="shared" si="74"/>
        <v>41</v>
      </c>
      <c r="AR180" s="20">
        <v>3154</v>
      </c>
      <c r="AS180" s="20">
        <v>3047</v>
      </c>
      <c r="AT180" s="20">
        <f t="shared" si="75"/>
        <v>107</v>
      </c>
      <c r="AU180" s="20"/>
      <c r="AV180" s="5"/>
      <c r="AW180" s="29">
        <v>2007</v>
      </c>
      <c r="AX180" s="38" t="s">
        <v>44</v>
      </c>
      <c r="AY180" s="35">
        <f>+MIT_Vic_Cap[[#This Row],[Trenes Puntuales]]/MIT_Vic_Cap[[#This Row],[Trenes Programados]]</f>
        <v>0.37987679671457908</v>
      </c>
      <c r="AZ180" s="35">
        <f>+MIT_Vic_Cap[[#This Row],[Trenes Puntuales]]/MIT_Vic_Cap[[#This Row],[Trenes Corridos]]</f>
        <v>0.42577675489067895</v>
      </c>
      <c r="BA180" s="35">
        <f>+MIT_Vic_Cap[[#This Row],[Trenes Corridos]]/MIT_Vic_Cap[[#This Row],[Trenes Programados]]</f>
        <v>0.8921971252566735</v>
      </c>
      <c r="BB180" s="20">
        <v>974</v>
      </c>
      <c r="BC180" s="27">
        <f t="shared" si="76"/>
        <v>105</v>
      </c>
      <c r="BD180" s="20">
        <v>869</v>
      </c>
      <c r="BE180" s="20">
        <v>370</v>
      </c>
      <c r="BF180" s="20">
        <f t="shared" si="77"/>
        <v>499</v>
      </c>
      <c r="BG180" s="20"/>
      <c r="BH180" s="5"/>
      <c r="BI180" s="29">
        <v>2007</v>
      </c>
      <c r="BJ180" s="38" t="s">
        <v>44</v>
      </c>
      <c r="BK180" s="35">
        <f>+Tabla8[[#This Row],[Trenes Puntuales]]/Tabla8[[#This Row],[Trenes Programados]]</f>
        <v>0.37987679671457908</v>
      </c>
      <c r="BL180" s="35">
        <f>+Tabla8[[#This Row],[Trenes Puntuales]]/Tabla8[[#This Row],[Trenes Corridos]]</f>
        <v>0.42577675489067895</v>
      </c>
      <c r="BM180" s="35">
        <f>+Tabla8[[#This Row],[Trenes Corridos]]/Tabla8[[#This Row],[Trenes Programados]]</f>
        <v>0.8921971252566735</v>
      </c>
      <c r="BN180" s="20">
        <v>974</v>
      </c>
      <c r="BO180" s="27">
        <f t="shared" si="78"/>
        <v>105</v>
      </c>
      <c r="BP180" s="20">
        <v>869</v>
      </c>
      <c r="BQ180" s="20">
        <v>370</v>
      </c>
      <c r="BR180" s="20">
        <f t="shared" si="79"/>
        <v>499</v>
      </c>
      <c r="BS180" s="29"/>
    </row>
    <row r="181" spans="1:71" s="3" customFormat="1" ht="12.75">
      <c r="A181" s="3">
        <v>2007</v>
      </c>
      <c r="B181" s="38" t="s">
        <v>45</v>
      </c>
      <c r="C181" s="25">
        <f>+MITRE[[#This Row],[Trenes Puntuales]]/MITRE[[#This Row],[Trenes Programados]]</f>
        <v>0.85890617818921933</v>
      </c>
      <c r="D181" s="25">
        <f>+MITRE[[#This Row],[Trenes Puntuales]]/MITRE[[#This Row],[Trenes Corridos]]</f>
        <v>0.88129884128267311</v>
      </c>
      <c r="E181" s="25">
        <f>+MITRE[[#This Row],[Trenes Corridos]]/MITRE[[#This Row],[Trenes Programados]]</f>
        <v>0.97459129407130196</v>
      </c>
      <c r="F181" s="27">
        <f t="shared" si="45"/>
        <v>15231</v>
      </c>
      <c r="G181" s="27">
        <f t="shared" si="46"/>
        <v>387</v>
      </c>
      <c r="H181" s="27">
        <f t="shared" si="47"/>
        <v>14844</v>
      </c>
      <c r="I181" s="27">
        <f t="shared" si="48"/>
        <v>13082</v>
      </c>
      <c r="J181" s="27">
        <f t="shared" si="49"/>
        <v>1762</v>
      </c>
      <c r="K181" s="27"/>
      <c r="L181" s="4"/>
      <c r="M181" s="29">
        <v>2007</v>
      </c>
      <c r="N181" s="38" t="s">
        <v>45</v>
      </c>
      <c r="O181" s="35">
        <f>+Tabla4[[#This Row],[Trenes Puntuales]]/Tabla4[[#This Row],[Trenes Programados]]</f>
        <v>0.85438282647584973</v>
      </c>
      <c r="P181" s="35">
        <f>+Tabla4[[#This Row],[Trenes Puntuales]]/Tabla4[[#This Row],[Trenes Corridos]]</f>
        <v>0.88020641356431994</v>
      </c>
      <c r="Q181" s="35">
        <f>+Tabla4[[#This Row],[Trenes Corridos]]/Tabla4[[#This Row],[Trenes Programados]]</f>
        <v>0.97066189624329158</v>
      </c>
      <c r="R181" s="20">
        <v>5590</v>
      </c>
      <c r="S181" s="27">
        <f t="shared" si="70"/>
        <v>164</v>
      </c>
      <c r="T181" s="20">
        <v>5426</v>
      </c>
      <c r="U181" s="20">
        <v>4776</v>
      </c>
      <c r="V181" s="20">
        <f t="shared" si="71"/>
        <v>650</v>
      </c>
      <c r="W181" s="20"/>
      <c r="X181" s="5"/>
      <c r="Y181" s="29">
        <v>2007</v>
      </c>
      <c r="Z181" s="38" t="s">
        <v>45</v>
      </c>
      <c r="AA181" s="35">
        <f>+Tabla5[[#This Row],[Trenes Puntuales]]/Tabla5[[#This Row],[Trenes Programados]]</f>
        <v>0.91055097033236676</v>
      </c>
      <c r="AB181" s="35">
        <f>+Tabla5[[#This Row],[Trenes Puntuales]]/Tabla5[[#This Row],[Trenes Corridos]]</f>
        <v>0.92082111436950143</v>
      </c>
      <c r="AC181" s="35">
        <f>+Tabla5[[#This Row],[Trenes Corridos]]/Tabla5[[#This Row],[Trenes Programados]]</f>
        <v>0.98884675440553205</v>
      </c>
      <c r="AD181" s="20">
        <v>4483</v>
      </c>
      <c r="AE181" s="27">
        <f t="shared" si="72"/>
        <v>50</v>
      </c>
      <c r="AF181" s="20">
        <v>4433</v>
      </c>
      <c r="AG181" s="20">
        <v>4082</v>
      </c>
      <c r="AH181" s="20">
        <f t="shared" si="73"/>
        <v>351</v>
      </c>
      <c r="AI181" s="20"/>
      <c r="AJ181" s="5"/>
      <c r="AK181" s="29">
        <v>2007</v>
      </c>
      <c r="AL181" s="38" t="s">
        <v>45</v>
      </c>
      <c r="AM181" s="35">
        <f>+Tabla6[[#This Row],[Trenes Puntuales]]/Tabla6[[#This Row],[Trenes Programados]]</f>
        <v>0.92766221670288729</v>
      </c>
      <c r="AN181" s="35">
        <f>+Tabla6[[#This Row],[Trenes Puntuales]]/Tabla6[[#This Row],[Trenes Corridos]]</f>
        <v>0.94977749523204069</v>
      </c>
      <c r="AO181" s="35">
        <f>+Tabla6[[#This Row],[Trenes Corridos]]/Tabla6[[#This Row],[Trenes Programados]]</f>
        <v>0.97671530580565047</v>
      </c>
      <c r="AP181" s="20">
        <v>3221</v>
      </c>
      <c r="AQ181" s="27">
        <f t="shared" si="74"/>
        <v>75</v>
      </c>
      <c r="AR181" s="20">
        <v>3146</v>
      </c>
      <c r="AS181" s="20">
        <v>2988</v>
      </c>
      <c r="AT181" s="20">
        <f t="shared" si="75"/>
        <v>158</v>
      </c>
      <c r="AU181" s="20"/>
      <c r="AV181" s="5"/>
      <c r="AW181" s="29">
        <v>2007</v>
      </c>
      <c r="AX181" s="38" t="s">
        <v>45</v>
      </c>
      <c r="AY181" s="35">
        <f>+MIT_Vic_Cap[[#This Row],[Trenes Puntuales]]/MIT_Vic_Cap[[#This Row],[Trenes Programados]]</f>
        <v>0.52077001013171231</v>
      </c>
      <c r="AZ181" s="35">
        <f>+MIT_Vic_Cap[[#This Row],[Trenes Puntuales]]/MIT_Vic_Cap[[#This Row],[Trenes Corridos]]</f>
        <v>0.55447680690399137</v>
      </c>
      <c r="BA181" s="35">
        <f>+MIT_Vic_Cap[[#This Row],[Trenes Corridos]]/MIT_Vic_Cap[[#This Row],[Trenes Programados]]</f>
        <v>0.93920972644376899</v>
      </c>
      <c r="BB181" s="20">
        <v>987</v>
      </c>
      <c r="BC181" s="27">
        <f t="shared" si="76"/>
        <v>60</v>
      </c>
      <c r="BD181" s="20">
        <v>927</v>
      </c>
      <c r="BE181" s="20">
        <v>514</v>
      </c>
      <c r="BF181" s="20">
        <f t="shared" si="77"/>
        <v>413</v>
      </c>
      <c r="BG181" s="20"/>
      <c r="BH181" s="5"/>
      <c r="BI181" s="29">
        <v>2007</v>
      </c>
      <c r="BJ181" s="38" t="s">
        <v>45</v>
      </c>
      <c r="BK181" s="35">
        <f>+Tabla8[[#This Row],[Trenes Puntuales]]/Tabla8[[#This Row],[Trenes Programados]]</f>
        <v>0.76</v>
      </c>
      <c r="BL181" s="35">
        <f>+Tabla8[[#This Row],[Trenes Puntuales]]/Tabla8[[#This Row],[Trenes Corridos]]</f>
        <v>0.79166666666666663</v>
      </c>
      <c r="BM181" s="35">
        <f>+Tabla8[[#This Row],[Trenes Corridos]]/Tabla8[[#This Row],[Trenes Programados]]</f>
        <v>0.96</v>
      </c>
      <c r="BN181" s="20">
        <v>950</v>
      </c>
      <c r="BO181" s="27">
        <f t="shared" si="78"/>
        <v>38</v>
      </c>
      <c r="BP181" s="20">
        <v>912</v>
      </c>
      <c r="BQ181" s="20">
        <v>722</v>
      </c>
      <c r="BR181" s="20">
        <f t="shared" si="79"/>
        <v>190</v>
      </c>
      <c r="BS181" s="29"/>
    </row>
    <row r="182" spans="1:71" s="3" customFormat="1" ht="12.75">
      <c r="A182" s="3">
        <v>2007</v>
      </c>
      <c r="B182" s="38" t="s">
        <v>46</v>
      </c>
      <c r="C182" s="25">
        <f>+MITRE[[#This Row],[Trenes Puntuales]]/MITRE[[#This Row],[Trenes Programados]]</f>
        <v>0.86766114684549067</v>
      </c>
      <c r="D182" s="25">
        <f>+MITRE[[#This Row],[Trenes Puntuales]]/MITRE[[#This Row],[Trenes Corridos]]</f>
        <v>0.88895120583286591</v>
      </c>
      <c r="E182" s="25">
        <f>+MITRE[[#This Row],[Trenes Corridos]]/MITRE[[#This Row],[Trenes Programados]]</f>
        <v>0.97605036266593681</v>
      </c>
      <c r="F182" s="27">
        <f t="shared" si="45"/>
        <v>14614</v>
      </c>
      <c r="G182" s="27">
        <f t="shared" si="46"/>
        <v>350</v>
      </c>
      <c r="H182" s="27">
        <f t="shared" si="47"/>
        <v>14264</v>
      </c>
      <c r="I182" s="27">
        <f t="shared" si="48"/>
        <v>12680</v>
      </c>
      <c r="J182" s="27">
        <f t="shared" si="49"/>
        <v>1584</v>
      </c>
      <c r="K182" s="27"/>
      <c r="L182" s="4"/>
      <c r="M182" s="29">
        <v>2007</v>
      </c>
      <c r="N182" s="38" t="s">
        <v>46</v>
      </c>
      <c r="O182" s="35">
        <f>+Tabla4[[#This Row],[Trenes Puntuales]]/Tabla4[[#This Row],[Trenes Programados]]</f>
        <v>0.86878504672897194</v>
      </c>
      <c r="P182" s="35">
        <f>+Tabla4[[#This Row],[Trenes Puntuales]]/Tabla4[[#This Row],[Trenes Corridos]]</f>
        <v>0.89315910837817059</v>
      </c>
      <c r="Q182" s="35">
        <f>+Tabla4[[#This Row],[Trenes Corridos]]/Tabla4[[#This Row],[Trenes Programados]]</f>
        <v>0.97271028037383178</v>
      </c>
      <c r="R182" s="20">
        <v>5350</v>
      </c>
      <c r="S182" s="27">
        <f t="shared" si="70"/>
        <v>146</v>
      </c>
      <c r="T182" s="20">
        <v>5204</v>
      </c>
      <c r="U182" s="20">
        <v>4648</v>
      </c>
      <c r="V182" s="20">
        <f t="shared" si="71"/>
        <v>556</v>
      </c>
      <c r="W182" s="20"/>
      <c r="X182" s="5"/>
      <c r="Y182" s="29">
        <v>2007</v>
      </c>
      <c r="Z182" s="38" t="s">
        <v>46</v>
      </c>
      <c r="AA182" s="35">
        <f>+Tabla5[[#This Row],[Trenes Puntuales]]/Tabla5[[#This Row],[Trenes Programados]]</f>
        <v>0.89930232558139533</v>
      </c>
      <c r="AB182" s="35">
        <f>+Tabla5[[#This Row],[Trenes Puntuales]]/Tabla5[[#This Row],[Trenes Corridos]]</f>
        <v>0.91267406183620481</v>
      </c>
      <c r="AC182" s="35">
        <f>+Tabla5[[#This Row],[Trenes Corridos]]/Tabla5[[#This Row],[Trenes Programados]]</f>
        <v>0.98534883720930233</v>
      </c>
      <c r="AD182" s="20">
        <v>4300</v>
      </c>
      <c r="AE182" s="27">
        <f t="shared" si="72"/>
        <v>63</v>
      </c>
      <c r="AF182" s="20">
        <v>4237</v>
      </c>
      <c r="AG182" s="20">
        <v>3867</v>
      </c>
      <c r="AH182" s="20">
        <f t="shared" si="73"/>
        <v>370</v>
      </c>
      <c r="AI182" s="20"/>
      <c r="AJ182" s="5"/>
      <c r="AK182" s="29">
        <v>2007</v>
      </c>
      <c r="AL182" s="38" t="s">
        <v>46</v>
      </c>
      <c r="AM182" s="35">
        <f>+Tabla6[[#This Row],[Trenes Puntuales]]/Tabla6[[#This Row],[Trenes Programados]]</f>
        <v>0.93945249597423508</v>
      </c>
      <c r="AN182" s="35">
        <f>+Tabla6[[#This Row],[Trenes Puntuales]]/Tabla6[[#This Row],[Trenes Corridos]]</f>
        <v>0.95514079895219384</v>
      </c>
      <c r="AO182" s="35">
        <f>+Tabla6[[#This Row],[Trenes Corridos]]/Tabla6[[#This Row],[Trenes Programados]]</f>
        <v>0.98357487922705311</v>
      </c>
      <c r="AP182" s="20">
        <v>3105</v>
      </c>
      <c r="AQ182" s="27">
        <f t="shared" si="74"/>
        <v>51</v>
      </c>
      <c r="AR182" s="20">
        <v>3054</v>
      </c>
      <c r="AS182" s="20">
        <v>2917</v>
      </c>
      <c r="AT182" s="20">
        <f t="shared" si="75"/>
        <v>137</v>
      </c>
      <c r="AU182" s="20"/>
      <c r="AV182" s="5"/>
      <c r="AW182" s="29">
        <v>2007</v>
      </c>
      <c r="AX182" s="38" t="s">
        <v>46</v>
      </c>
      <c r="AY182" s="35">
        <f>+MIT_Vic_Cap[[#This Row],[Trenes Puntuales]]/MIT_Vic_Cap[[#This Row],[Trenes Programados]]</f>
        <v>0.62997903563941304</v>
      </c>
      <c r="AZ182" s="35">
        <f>+MIT_Vic_Cap[[#This Row],[Trenes Puntuales]]/MIT_Vic_Cap[[#This Row],[Trenes Corridos]]</f>
        <v>0.67225950782997768</v>
      </c>
      <c r="BA182" s="35">
        <f>+MIT_Vic_Cap[[#This Row],[Trenes Corridos]]/MIT_Vic_Cap[[#This Row],[Trenes Programados]]</f>
        <v>0.93710691823899372</v>
      </c>
      <c r="BB182" s="20">
        <v>954</v>
      </c>
      <c r="BC182" s="27">
        <f t="shared" si="76"/>
        <v>60</v>
      </c>
      <c r="BD182" s="20">
        <v>894</v>
      </c>
      <c r="BE182" s="20">
        <v>601</v>
      </c>
      <c r="BF182" s="20">
        <f t="shared" si="77"/>
        <v>293</v>
      </c>
      <c r="BG182" s="20"/>
      <c r="BH182" s="5"/>
      <c r="BI182" s="29">
        <v>2007</v>
      </c>
      <c r="BJ182" s="38" t="s">
        <v>46</v>
      </c>
      <c r="BK182" s="35">
        <f>+Tabla8[[#This Row],[Trenes Puntuales]]/Tabla8[[#This Row],[Trenes Programados]]</f>
        <v>0.7149171270718232</v>
      </c>
      <c r="BL182" s="35">
        <f>+Tabla8[[#This Row],[Trenes Puntuales]]/Tabla8[[#This Row],[Trenes Corridos]]</f>
        <v>0.73942857142857144</v>
      </c>
      <c r="BM182" s="35">
        <f>+Tabla8[[#This Row],[Trenes Corridos]]/Tabla8[[#This Row],[Trenes Programados]]</f>
        <v>0.96685082872928174</v>
      </c>
      <c r="BN182" s="20">
        <v>905</v>
      </c>
      <c r="BO182" s="27">
        <f t="shared" si="78"/>
        <v>30</v>
      </c>
      <c r="BP182" s="20">
        <v>875</v>
      </c>
      <c r="BQ182" s="20">
        <v>647</v>
      </c>
      <c r="BR182" s="20">
        <f t="shared" si="79"/>
        <v>228</v>
      </c>
      <c r="BS182" s="29"/>
    </row>
    <row r="183" spans="1:71" s="3" customFormat="1" ht="12.75">
      <c r="A183" s="3">
        <v>2007</v>
      </c>
      <c r="B183" s="38" t="s">
        <v>47</v>
      </c>
      <c r="C183" s="25">
        <f>+MITRE[[#This Row],[Trenes Puntuales]]/MITRE[[#This Row],[Trenes Programados]]</f>
        <v>0.87452421577634865</v>
      </c>
      <c r="D183" s="25">
        <f>+MITRE[[#This Row],[Trenes Puntuales]]/MITRE[[#This Row],[Trenes Corridos]]</f>
        <v>0.90223425863236295</v>
      </c>
      <c r="E183" s="25">
        <f>+MITRE[[#This Row],[Trenes Corridos]]/MITRE[[#This Row],[Trenes Programados]]</f>
        <v>0.96928730804567531</v>
      </c>
      <c r="F183" s="27">
        <f t="shared" si="45"/>
        <v>15238</v>
      </c>
      <c r="G183" s="27">
        <f t="shared" si="46"/>
        <v>468</v>
      </c>
      <c r="H183" s="27">
        <f t="shared" si="47"/>
        <v>14770</v>
      </c>
      <c r="I183" s="27">
        <f t="shared" si="48"/>
        <v>13326</v>
      </c>
      <c r="J183" s="27">
        <f t="shared" si="49"/>
        <v>1444</v>
      </c>
      <c r="K183" s="27"/>
      <c r="L183" s="4"/>
      <c r="M183" s="29">
        <v>2007</v>
      </c>
      <c r="N183" s="38" t="s">
        <v>47</v>
      </c>
      <c r="O183" s="35">
        <f>+Tabla4[[#This Row],[Trenes Puntuales]]/Tabla4[[#This Row],[Trenes Programados]]</f>
        <v>0.87728085867620753</v>
      </c>
      <c r="P183" s="35">
        <f>+Tabla4[[#This Row],[Trenes Puntuales]]/Tabla4[[#This Row],[Trenes Corridos]]</f>
        <v>0.90031209840279047</v>
      </c>
      <c r="Q183" s="35">
        <f>+Tabla4[[#This Row],[Trenes Corridos]]/Tabla4[[#This Row],[Trenes Programados]]</f>
        <v>0.97441860465116281</v>
      </c>
      <c r="R183" s="20">
        <v>5590</v>
      </c>
      <c r="S183" s="27">
        <f t="shared" si="70"/>
        <v>143</v>
      </c>
      <c r="T183" s="20">
        <v>5447</v>
      </c>
      <c r="U183" s="20">
        <v>4904</v>
      </c>
      <c r="V183" s="20">
        <f t="shared" si="71"/>
        <v>543</v>
      </c>
      <c r="W183" s="20"/>
      <c r="X183" s="5"/>
      <c r="Y183" s="29">
        <v>2007</v>
      </c>
      <c r="Z183" s="38" t="s">
        <v>47</v>
      </c>
      <c r="AA183" s="35">
        <f>+Tabla5[[#This Row],[Trenes Puntuales]]/Tabla5[[#This Row],[Trenes Programados]]</f>
        <v>0.9034128931519072</v>
      </c>
      <c r="AB183" s="35">
        <f>+Tabla5[[#This Row],[Trenes Puntuales]]/Tabla5[[#This Row],[Trenes Corridos]]</f>
        <v>0.92486869148207351</v>
      </c>
      <c r="AC183" s="35">
        <f>+Tabla5[[#This Row],[Trenes Corridos]]/Tabla5[[#This Row],[Trenes Programados]]</f>
        <v>0.97680124916350664</v>
      </c>
      <c r="AD183" s="20">
        <v>4483</v>
      </c>
      <c r="AE183" s="27">
        <f t="shared" si="72"/>
        <v>104</v>
      </c>
      <c r="AF183" s="20">
        <v>4379</v>
      </c>
      <c r="AG183" s="20">
        <v>4050</v>
      </c>
      <c r="AH183" s="20">
        <f t="shared" si="73"/>
        <v>329</v>
      </c>
      <c r="AI183" s="20"/>
      <c r="AJ183" s="5"/>
      <c r="AK183" s="29">
        <v>2007</v>
      </c>
      <c r="AL183" s="38" t="s">
        <v>47</v>
      </c>
      <c r="AM183" s="35">
        <f>+Tabla6[[#This Row],[Trenes Puntuales]]/Tabla6[[#This Row],[Trenes Programados]]</f>
        <v>0.93418193107730518</v>
      </c>
      <c r="AN183" s="35">
        <f>+Tabla6[[#This Row],[Trenes Puntuales]]/Tabla6[[#This Row],[Trenes Corridos]]</f>
        <v>0.9579751671442216</v>
      </c>
      <c r="AO183" s="35">
        <f>+Tabla6[[#This Row],[Trenes Corridos]]/Tabla6[[#This Row],[Trenes Programados]]</f>
        <v>0.97516299285936048</v>
      </c>
      <c r="AP183" s="20">
        <v>3221</v>
      </c>
      <c r="AQ183" s="27">
        <f t="shared" si="74"/>
        <v>80</v>
      </c>
      <c r="AR183" s="20">
        <v>3141</v>
      </c>
      <c r="AS183" s="20">
        <v>3009</v>
      </c>
      <c r="AT183" s="20">
        <f t="shared" si="75"/>
        <v>132</v>
      </c>
      <c r="AU183" s="20"/>
      <c r="AV183" s="5"/>
      <c r="AW183" s="29">
        <v>2007</v>
      </c>
      <c r="AX183" s="38" t="s">
        <v>47</v>
      </c>
      <c r="AY183" s="35">
        <f>+MIT_Vic_Cap[[#This Row],[Trenes Puntuales]]/MIT_Vic_Cap[[#This Row],[Trenes Programados]]</f>
        <v>0.59109311740890691</v>
      </c>
      <c r="AZ183" s="35">
        <f>+MIT_Vic_Cap[[#This Row],[Trenes Puntuales]]/MIT_Vic_Cap[[#This Row],[Trenes Corridos]]</f>
        <v>0.65914221218961622</v>
      </c>
      <c r="BA183" s="35">
        <f>+MIT_Vic_Cap[[#This Row],[Trenes Corridos]]/MIT_Vic_Cap[[#This Row],[Trenes Programados]]</f>
        <v>0.89676113360323884</v>
      </c>
      <c r="BB183" s="20">
        <v>988</v>
      </c>
      <c r="BC183" s="27">
        <f t="shared" si="76"/>
        <v>102</v>
      </c>
      <c r="BD183" s="20">
        <v>886</v>
      </c>
      <c r="BE183" s="20">
        <v>584</v>
      </c>
      <c r="BF183" s="20">
        <f t="shared" si="77"/>
        <v>302</v>
      </c>
      <c r="BG183" s="20"/>
      <c r="BH183" s="5"/>
      <c r="BI183" s="29">
        <v>2007</v>
      </c>
      <c r="BJ183" s="38" t="s">
        <v>47</v>
      </c>
      <c r="BK183" s="35">
        <f>+Tabla8[[#This Row],[Trenes Puntuales]]/Tabla8[[#This Row],[Trenes Programados]]</f>
        <v>0.81485355648535562</v>
      </c>
      <c r="BL183" s="35">
        <f>+Tabla8[[#This Row],[Trenes Puntuales]]/Tabla8[[#This Row],[Trenes Corridos]]</f>
        <v>0.84950926935659765</v>
      </c>
      <c r="BM183" s="35">
        <f>+Tabla8[[#This Row],[Trenes Corridos]]/Tabla8[[#This Row],[Trenes Programados]]</f>
        <v>0.95920502092050208</v>
      </c>
      <c r="BN183" s="20">
        <v>956</v>
      </c>
      <c r="BO183" s="27">
        <f t="shared" si="78"/>
        <v>39</v>
      </c>
      <c r="BP183" s="20">
        <v>917</v>
      </c>
      <c r="BQ183" s="20">
        <v>779</v>
      </c>
      <c r="BR183" s="20">
        <f t="shared" si="79"/>
        <v>138</v>
      </c>
      <c r="BS183" s="29"/>
    </row>
    <row r="184" spans="1:71" s="3" customFormat="1" ht="12.75">
      <c r="A184" s="3">
        <v>2007</v>
      </c>
      <c r="B184" s="38" t="s">
        <v>48</v>
      </c>
      <c r="C184" s="25">
        <f>+MITRE[[#This Row],[Trenes Puntuales]]/MITRE[[#This Row],[Trenes Programados]]</f>
        <v>0.8910187667560322</v>
      </c>
      <c r="D184" s="25">
        <f>+MITRE[[#This Row],[Trenes Puntuales]]/MITRE[[#This Row],[Trenes Corridos]]</f>
        <v>0.9151235630205824</v>
      </c>
      <c r="E184" s="25">
        <f>+MITRE[[#This Row],[Trenes Corridos]]/MITRE[[#This Row],[Trenes Programados]]</f>
        <v>0.97365951742627344</v>
      </c>
      <c r="F184" s="27">
        <f t="shared" si="45"/>
        <v>14920</v>
      </c>
      <c r="G184" s="27">
        <f t="shared" si="46"/>
        <v>393</v>
      </c>
      <c r="H184" s="27">
        <f t="shared" si="47"/>
        <v>14527</v>
      </c>
      <c r="I184" s="27">
        <f t="shared" si="48"/>
        <v>13294</v>
      </c>
      <c r="J184" s="27">
        <f t="shared" si="49"/>
        <v>1233</v>
      </c>
      <c r="K184" s="27"/>
      <c r="L184" s="4"/>
      <c r="M184" s="29">
        <v>2007</v>
      </c>
      <c r="N184" s="38" t="s">
        <v>48</v>
      </c>
      <c r="O184" s="35">
        <f>+Tabla4[[#This Row],[Trenes Puntuales]]/Tabla4[[#This Row],[Trenes Programados]]</f>
        <v>0.90072992700729926</v>
      </c>
      <c r="P184" s="35">
        <f>+Tabla4[[#This Row],[Trenes Puntuales]]/Tabla4[[#This Row],[Trenes Corridos]]</f>
        <v>0.92227204783258598</v>
      </c>
      <c r="Q184" s="35">
        <f>+Tabla4[[#This Row],[Trenes Corridos]]/Tabla4[[#This Row],[Trenes Programados]]</f>
        <v>0.97664233576642334</v>
      </c>
      <c r="R184" s="20">
        <v>5480</v>
      </c>
      <c r="S184" s="27">
        <f t="shared" si="70"/>
        <v>128</v>
      </c>
      <c r="T184" s="20">
        <v>5352</v>
      </c>
      <c r="U184" s="20">
        <v>4936</v>
      </c>
      <c r="V184" s="20">
        <f t="shared" si="71"/>
        <v>416</v>
      </c>
      <c r="W184" s="20"/>
      <c r="X184" s="5"/>
      <c r="Y184" s="29">
        <v>2007</v>
      </c>
      <c r="Z184" s="38" t="s">
        <v>48</v>
      </c>
      <c r="AA184" s="35">
        <f>+Tabla5[[#This Row],[Trenes Puntuales]]/Tabla5[[#This Row],[Trenes Programados]]</f>
        <v>0.89849795175238967</v>
      </c>
      <c r="AB184" s="35">
        <f>+Tabla5[[#This Row],[Trenes Puntuales]]/Tabla5[[#This Row],[Trenes Corridos]]</f>
        <v>0.91537213076744728</v>
      </c>
      <c r="AC184" s="35">
        <f>+Tabla5[[#This Row],[Trenes Corridos]]/Tabla5[[#This Row],[Trenes Programados]]</f>
        <v>0.98156577150659996</v>
      </c>
      <c r="AD184" s="20">
        <v>4394</v>
      </c>
      <c r="AE184" s="27">
        <f t="shared" si="72"/>
        <v>81</v>
      </c>
      <c r="AF184" s="20">
        <v>4313</v>
      </c>
      <c r="AG184" s="20">
        <v>3948</v>
      </c>
      <c r="AH184" s="20">
        <f t="shared" si="73"/>
        <v>365</v>
      </c>
      <c r="AI184" s="20"/>
      <c r="AJ184" s="5"/>
      <c r="AK184" s="29">
        <v>2007</v>
      </c>
      <c r="AL184" s="38" t="s">
        <v>48</v>
      </c>
      <c r="AM184" s="35">
        <f>+Tabla6[[#This Row],[Trenes Puntuales]]/Tabla6[[#This Row],[Trenes Programados]]</f>
        <v>0.94008922880815804</v>
      </c>
      <c r="AN184" s="35">
        <f>+Tabla6[[#This Row],[Trenes Puntuales]]/Tabla6[[#This Row],[Trenes Corridos]]</f>
        <v>0.95934959349593496</v>
      </c>
      <c r="AO184" s="35">
        <f>+Tabla6[[#This Row],[Trenes Corridos]]/Tabla6[[#This Row],[Trenes Programados]]</f>
        <v>0.9799235181644359</v>
      </c>
      <c r="AP184" s="20">
        <v>3138</v>
      </c>
      <c r="AQ184" s="27">
        <f t="shared" si="74"/>
        <v>63</v>
      </c>
      <c r="AR184" s="20">
        <v>3075</v>
      </c>
      <c r="AS184" s="20">
        <v>2950</v>
      </c>
      <c r="AT184" s="20">
        <f t="shared" si="75"/>
        <v>125</v>
      </c>
      <c r="AU184" s="20"/>
      <c r="AV184" s="5"/>
      <c r="AW184" s="29">
        <v>2007</v>
      </c>
      <c r="AX184" s="38" t="s">
        <v>48</v>
      </c>
      <c r="AY184" s="35">
        <f>+MIT_Vic_Cap[[#This Row],[Trenes Puntuales]]/MIT_Vic_Cap[[#This Row],[Trenes Programados]]</f>
        <v>0.6973140495867769</v>
      </c>
      <c r="AZ184" s="35">
        <f>+MIT_Vic_Cap[[#This Row],[Trenes Puntuales]]/MIT_Vic_Cap[[#This Row],[Trenes Corridos]]</f>
        <v>0.76099210822998875</v>
      </c>
      <c r="BA184" s="35">
        <f>+MIT_Vic_Cap[[#This Row],[Trenes Corridos]]/MIT_Vic_Cap[[#This Row],[Trenes Programados]]</f>
        <v>0.91632231404958675</v>
      </c>
      <c r="BB184" s="20">
        <v>968</v>
      </c>
      <c r="BC184" s="27">
        <f t="shared" si="76"/>
        <v>81</v>
      </c>
      <c r="BD184" s="20">
        <v>887</v>
      </c>
      <c r="BE184" s="20">
        <v>675</v>
      </c>
      <c r="BF184" s="20">
        <f t="shared" si="77"/>
        <v>212</v>
      </c>
      <c r="BG184" s="20"/>
      <c r="BH184" s="5"/>
      <c r="BI184" s="29">
        <v>2007</v>
      </c>
      <c r="BJ184" s="38" t="s">
        <v>48</v>
      </c>
      <c r="BK184" s="35">
        <f>+Tabla8[[#This Row],[Trenes Puntuales]]/Tabla8[[#This Row],[Trenes Programados]]</f>
        <v>0.83510638297872342</v>
      </c>
      <c r="BL184" s="35">
        <f>+Tabla8[[#This Row],[Trenes Puntuales]]/Tabla8[[#This Row],[Trenes Corridos]]</f>
        <v>0.87222222222222223</v>
      </c>
      <c r="BM184" s="35">
        <f>+Tabla8[[#This Row],[Trenes Corridos]]/Tabla8[[#This Row],[Trenes Programados]]</f>
        <v>0.95744680851063835</v>
      </c>
      <c r="BN184" s="20">
        <v>940</v>
      </c>
      <c r="BO184" s="27">
        <f t="shared" si="78"/>
        <v>40</v>
      </c>
      <c r="BP184" s="20">
        <v>900</v>
      </c>
      <c r="BQ184" s="20">
        <v>785</v>
      </c>
      <c r="BR184" s="20">
        <f t="shared" si="79"/>
        <v>115</v>
      </c>
      <c r="BS184" s="29"/>
    </row>
    <row r="185" spans="1:71" s="3" customFormat="1" ht="12.75">
      <c r="A185" s="3">
        <v>2007</v>
      </c>
      <c r="B185" s="38" t="s">
        <v>49</v>
      </c>
      <c r="C185" s="25">
        <f>+MITRE[[#This Row],[Trenes Puntuales]]/MITRE[[#This Row],[Trenes Programados]]</f>
        <v>0.89289816879518891</v>
      </c>
      <c r="D185" s="25">
        <f>+MITRE[[#This Row],[Trenes Puntuales]]/MITRE[[#This Row],[Trenes Corridos]]</f>
        <v>0.92496150076998462</v>
      </c>
      <c r="E185" s="25">
        <f>+MITRE[[#This Row],[Trenes Corridos]]/MITRE[[#This Row],[Trenes Programados]]</f>
        <v>0.96533549564159737</v>
      </c>
      <c r="F185" s="27">
        <f t="shared" si="45"/>
        <v>14799</v>
      </c>
      <c r="G185" s="27">
        <f t="shared" si="46"/>
        <v>513</v>
      </c>
      <c r="H185" s="27">
        <f t="shared" si="47"/>
        <v>14286</v>
      </c>
      <c r="I185" s="27">
        <f t="shared" si="48"/>
        <v>13214</v>
      </c>
      <c r="J185" s="27">
        <f t="shared" si="49"/>
        <v>1072</v>
      </c>
      <c r="K185" s="27"/>
      <c r="L185" s="4"/>
      <c r="M185" s="29">
        <v>2007</v>
      </c>
      <c r="N185" s="38" t="s">
        <v>49</v>
      </c>
      <c r="O185" s="35">
        <f>+Tabla4[[#This Row],[Trenes Puntuales]]/Tabla4[[#This Row],[Trenes Programados]]</f>
        <v>0.88946395563770797</v>
      </c>
      <c r="P185" s="35">
        <f>+Tabla4[[#This Row],[Trenes Puntuales]]/Tabla4[[#This Row],[Trenes Corridos]]</f>
        <v>0.92574066948826472</v>
      </c>
      <c r="Q185" s="35">
        <f>+Tabla4[[#This Row],[Trenes Corridos]]/Tabla4[[#This Row],[Trenes Programados]]</f>
        <v>0.9608133086876155</v>
      </c>
      <c r="R185" s="20">
        <v>5410</v>
      </c>
      <c r="S185" s="27">
        <f t="shared" si="70"/>
        <v>212</v>
      </c>
      <c r="T185" s="20">
        <v>5198</v>
      </c>
      <c r="U185" s="20">
        <v>4812</v>
      </c>
      <c r="V185" s="20">
        <f t="shared" si="71"/>
        <v>386</v>
      </c>
      <c r="W185" s="20"/>
      <c r="X185" s="5"/>
      <c r="Y185" s="29">
        <v>2007</v>
      </c>
      <c r="Z185" s="38" t="s">
        <v>49</v>
      </c>
      <c r="AA185" s="35">
        <f>+Tabla5[[#This Row],[Trenes Puntuales]]/Tabla5[[#This Row],[Trenes Programados]]</f>
        <v>0.91503568961547321</v>
      </c>
      <c r="AB185" s="35">
        <f>+Tabla5[[#This Row],[Trenes Puntuales]]/Tabla5[[#This Row],[Trenes Corridos]]</f>
        <v>0.93925785866225475</v>
      </c>
      <c r="AC185" s="35">
        <f>+Tabla5[[#This Row],[Trenes Corridos]]/Tabla5[[#This Row],[Trenes Programados]]</f>
        <v>0.97421137462583463</v>
      </c>
      <c r="AD185" s="20">
        <v>4343</v>
      </c>
      <c r="AE185" s="27">
        <f t="shared" si="72"/>
        <v>112</v>
      </c>
      <c r="AF185" s="20">
        <v>4231</v>
      </c>
      <c r="AG185" s="20">
        <v>3974</v>
      </c>
      <c r="AH185" s="20">
        <f t="shared" si="73"/>
        <v>257</v>
      </c>
      <c r="AI185" s="20"/>
      <c r="AJ185" s="5"/>
      <c r="AK185" s="29">
        <v>2007</v>
      </c>
      <c r="AL185" s="38" t="s">
        <v>49</v>
      </c>
      <c r="AM185" s="35">
        <f>+Tabla6[[#This Row],[Trenes Puntuales]]/Tabla6[[#This Row],[Trenes Programados]]</f>
        <v>0.9416219627642789</v>
      </c>
      <c r="AN185" s="35">
        <f>+Tabla6[[#This Row],[Trenes Puntuales]]/Tabla6[[#This Row],[Trenes Corridos]]</f>
        <v>0.96382428940568476</v>
      </c>
      <c r="AO185" s="35">
        <f>+Tabla6[[#This Row],[Trenes Corridos]]/Tabla6[[#This Row],[Trenes Programados]]</f>
        <v>0.9769643420637425</v>
      </c>
      <c r="AP185" s="20">
        <v>3169</v>
      </c>
      <c r="AQ185" s="27">
        <f t="shared" si="74"/>
        <v>73</v>
      </c>
      <c r="AR185" s="20">
        <v>3096</v>
      </c>
      <c r="AS185" s="20">
        <v>2984</v>
      </c>
      <c r="AT185" s="20">
        <f t="shared" si="75"/>
        <v>112</v>
      </c>
      <c r="AU185" s="20"/>
      <c r="AV185" s="5"/>
      <c r="AW185" s="29">
        <v>2007</v>
      </c>
      <c r="AX185" s="38" t="s">
        <v>49</v>
      </c>
      <c r="AY185" s="35">
        <f>+MIT_Vic_Cap[[#This Row],[Trenes Puntuales]]/MIT_Vic_Cap[[#This Row],[Trenes Programados]]</f>
        <v>0.70655567117585849</v>
      </c>
      <c r="AZ185" s="35">
        <f>+MIT_Vic_Cap[[#This Row],[Trenes Puntuales]]/MIT_Vic_Cap[[#This Row],[Trenes Corridos]]</f>
        <v>0.77246871444823662</v>
      </c>
      <c r="BA185" s="35">
        <f>+MIT_Vic_Cap[[#This Row],[Trenes Corridos]]/MIT_Vic_Cap[[#This Row],[Trenes Programados]]</f>
        <v>0.91467221644120711</v>
      </c>
      <c r="BB185" s="20">
        <v>961</v>
      </c>
      <c r="BC185" s="27">
        <f t="shared" si="76"/>
        <v>82</v>
      </c>
      <c r="BD185" s="20">
        <v>879</v>
      </c>
      <c r="BE185" s="20">
        <v>679</v>
      </c>
      <c r="BF185" s="20">
        <f t="shared" si="77"/>
        <v>200</v>
      </c>
      <c r="BG185" s="20"/>
      <c r="BH185" s="5"/>
      <c r="BI185" s="29">
        <v>2007</v>
      </c>
      <c r="BJ185" s="38" t="s">
        <v>49</v>
      </c>
      <c r="BK185" s="35">
        <f>+Tabla8[[#This Row],[Trenes Puntuales]]/Tabla8[[#This Row],[Trenes Programados]]</f>
        <v>0.83515283842794763</v>
      </c>
      <c r="BL185" s="35">
        <f>+Tabla8[[#This Row],[Trenes Puntuales]]/Tabla8[[#This Row],[Trenes Corridos]]</f>
        <v>0.86734693877551017</v>
      </c>
      <c r="BM185" s="35">
        <f>+Tabla8[[#This Row],[Trenes Corridos]]/Tabla8[[#This Row],[Trenes Programados]]</f>
        <v>0.96288209606986896</v>
      </c>
      <c r="BN185" s="20">
        <v>916</v>
      </c>
      <c r="BO185" s="27">
        <f t="shared" si="78"/>
        <v>34</v>
      </c>
      <c r="BP185" s="20">
        <v>882</v>
      </c>
      <c r="BQ185" s="20">
        <v>765</v>
      </c>
      <c r="BR185" s="20">
        <f t="shared" si="79"/>
        <v>117</v>
      </c>
      <c r="BS185" s="29"/>
    </row>
    <row r="186" spans="1:71" s="3" customFormat="1" ht="12.75">
      <c r="A186" s="3">
        <v>2008</v>
      </c>
      <c r="B186" s="38" t="s">
        <v>38</v>
      </c>
      <c r="C186" s="25">
        <f>+MITRE[[#This Row],[Trenes Puntuales]]/MITRE[[#This Row],[Trenes Programados]]</f>
        <v>0.91932839247065001</v>
      </c>
      <c r="D186" s="25">
        <f>+MITRE[[#This Row],[Trenes Puntuales]]/MITRE[[#This Row],[Trenes Corridos]]</f>
        <v>0.94193938579396541</v>
      </c>
      <c r="E186" s="25">
        <f>+MITRE[[#This Row],[Trenes Corridos]]/MITRE[[#This Row],[Trenes Programados]]</f>
        <v>0.9759952777595593</v>
      </c>
      <c r="F186" s="27">
        <f t="shared" si="45"/>
        <v>15247</v>
      </c>
      <c r="G186" s="27">
        <f t="shared" si="46"/>
        <v>366</v>
      </c>
      <c r="H186" s="27">
        <f t="shared" si="47"/>
        <v>14881</v>
      </c>
      <c r="I186" s="27">
        <f t="shared" si="48"/>
        <v>14017</v>
      </c>
      <c r="J186" s="27">
        <f t="shared" si="49"/>
        <v>864</v>
      </c>
      <c r="K186" s="27"/>
      <c r="L186" s="4"/>
      <c r="M186" s="29">
        <v>2008</v>
      </c>
      <c r="N186" s="38" t="s">
        <v>38</v>
      </c>
      <c r="O186" s="35">
        <f>+Tabla4[[#This Row],[Trenes Puntuales]]/Tabla4[[#This Row],[Trenes Programados]]</f>
        <v>0.91144901610017892</v>
      </c>
      <c r="P186" s="35">
        <f>+Tabla4[[#This Row],[Trenes Puntuales]]/Tabla4[[#This Row],[Trenes Corridos]]</f>
        <v>0.93417675100843423</v>
      </c>
      <c r="Q186" s="35">
        <f>+Tabla4[[#This Row],[Trenes Corridos]]/Tabla4[[#This Row],[Trenes Programados]]</f>
        <v>0.97567084078711985</v>
      </c>
      <c r="R186" s="20">
        <v>5590</v>
      </c>
      <c r="S186" s="27">
        <f t="shared" ref="S186:S197" si="80">R186-T186</f>
        <v>136</v>
      </c>
      <c r="T186" s="20">
        <v>5454</v>
      </c>
      <c r="U186" s="20">
        <v>5095</v>
      </c>
      <c r="V186" s="20">
        <f t="shared" ref="V186:V197" si="81">T186-U186</f>
        <v>359</v>
      </c>
      <c r="W186" s="20"/>
      <c r="X186" s="5"/>
      <c r="Y186" s="29">
        <v>2008</v>
      </c>
      <c r="Z186" s="38" t="s">
        <v>38</v>
      </c>
      <c r="AA186" s="35">
        <f>+Tabla5[[#This Row],[Trenes Puntuales]]/Tabla5[[#This Row],[Trenes Programados]]</f>
        <v>0.93285746152130267</v>
      </c>
      <c r="AB186" s="35">
        <f>+Tabla5[[#This Row],[Trenes Puntuales]]/Tabla5[[#This Row],[Trenes Corridos]]</f>
        <v>0.94615384615384612</v>
      </c>
      <c r="AC186" s="35">
        <f>+Tabla5[[#This Row],[Trenes Corridos]]/Tabla5[[#This Row],[Trenes Programados]]</f>
        <v>0.98594691055097028</v>
      </c>
      <c r="AD186" s="20">
        <v>4483</v>
      </c>
      <c r="AE186" s="27">
        <f t="shared" ref="AE186:AE197" si="82">AD186-AF186</f>
        <v>63</v>
      </c>
      <c r="AF186" s="20">
        <v>4420</v>
      </c>
      <c r="AG186" s="20">
        <v>4182</v>
      </c>
      <c r="AH186" s="20">
        <f t="shared" ref="AH186:AH197" si="83">AF186-AG186</f>
        <v>238</v>
      </c>
      <c r="AI186" s="20"/>
      <c r="AJ186" s="5"/>
      <c r="AK186" s="29">
        <v>2008</v>
      </c>
      <c r="AL186" s="38" t="s">
        <v>38</v>
      </c>
      <c r="AM186" s="35">
        <f>+Tabla6[[#This Row],[Trenes Puntuales]]/Tabla6[[#This Row],[Trenes Programados]]</f>
        <v>0.94442719652281903</v>
      </c>
      <c r="AN186" s="35">
        <f>+Tabla6[[#This Row],[Trenes Puntuales]]/Tabla6[[#This Row],[Trenes Corridos]]</f>
        <v>0.96817313812858052</v>
      </c>
      <c r="AO186" s="35">
        <f>+Tabla6[[#This Row],[Trenes Corridos]]/Tabla6[[#This Row],[Trenes Programados]]</f>
        <v>0.97547345544861841</v>
      </c>
      <c r="AP186" s="20">
        <v>3221</v>
      </c>
      <c r="AQ186" s="27">
        <f t="shared" ref="AQ186:AQ197" si="84">AP186-AR186</f>
        <v>79</v>
      </c>
      <c r="AR186" s="20">
        <v>3142</v>
      </c>
      <c r="AS186" s="20">
        <v>3042</v>
      </c>
      <c r="AT186" s="20">
        <f t="shared" ref="AT186:AT197" si="85">AR186-AS186</f>
        <v>100</v>
      </c>
      <c r="AU186" s="20"/>
      <c r="AV186" s="5"/>
      <c r="AW186" s="29">
        <v>2008</v>
      </c>
      <c r="AX186" s="38" t="s">
        <v>38</v>
      </c>
      <c r="AY186" s="35">
        <f>+MIT_Vic_Cap[[#This Row],[Trenes Puntuales]]/MIT_Vic_Cap[[#This Row],[Trenes Programados]]</f>
        <v>0.87662988966900701</v>
      </c>
      <c r="AZ186" s="35">
        <f>+MIT_Vic_Cap[[#This Row],[Trenes Puntuales]]/MIT_Vic_Cap[[#This Row],[Trenes Corridos]]</f>
        <v>0.91806722689075626</v>
      </c>
      <c r="BA186" s="35">
        <f>+MIT_Vic_Cap[[#This Row],[Trenes Corridos]]/MIT_Vic_Cap[[#This Row],[Trenes Programados]]</f>
        <v>0.95486459378134403</v>
      </c>
      <c r="BB186" s="20">
        <v>997</v>
      </c>
      <c r="BC186" s="27">
        <f t="shared" ref="BC186:BC197" si="86">BB186-BD186</f>
        <v>45</v>
      </c>
      <c r="BD186" s="20">
        <v>952</v>
      </c>
      <c r="BE186" s="20">
        <v>874</v>
      </c>
      <c r="BF186" s="20">
        <f t="shared" ref="BF186:BF197" si="87">BD186-BE186</f>
        <v>78</v>
      </c>
      <c r="BG186" s="20"/>
      <c r="BH186" s="5"/>
      <c r="BI186" s="29">
        <v>2008</v>
      </c>
      <c r="BJ186" s="38" t="s">
        <v>38</v>
      </c>
      <c r="BK186" s="35">
        <f>+Tabla8[[#This Row],[Trenes Puntuales]]/Tabla8[[#This Row],[Trenes Programados]]</f>
        <v>0.86192468619246865</v>
      </c>
      <c r="BL186" s="35">
        <f>+Tabla8[[#This Row],[Trenes Puntuales]]/Tabla8[[#This Row],[Trenes Corridos]]</f>
        <v>0.90251916757940853</v>
      </c>
      <c r="BM186" s="35">
        <f>+Tabla8[[#This Row],[Trenes Corridos]]/Tabla8[[#This Row],[Trenes Programados]]</f>
        <v>0.95502092050209209</v>
      </c>
      <c r="BN186" s="20">
        <v>956</v>
      </c>
      <c r="BO186" s="27">
        <f t="shared" ref="BO186:BO197" si="88">BN186-BP186</f>
        <v>43</v>
      </c>
      <c r="BP186" s="20">
        <v>913</v>
      </c>
      <c r="BQ186" s="20">
        <v>824</v>
      </c>
      <c r="BR186" s="20">
        <f t="shared" ref="BR186:BR197" si="89">BP186-BQ186</f>
        <v>89</v>
      </c>
      <c r="BS186" s="29"/>
    </row>
    <row r="187" spans="1:71" s="3" customFormat="1" ht="12.75">
      <c r="A187" s="3">
        <v>2008</v>
      </c>
      <c r="B187" s="38" t="s">
        <v>39</v>
      </c>
      <c r="C187" s="25">
        <f>+MITRE[[#This Row],[Trenes Puntuales]]/MITRE[[#This Row],[Trenes Programados]]</f>
        <v>0.91737317581653921</v>
      </c>
      <c r="D187" s="25">
        <f>+MITRE[[#This Row],[Trenes Puntuales]]/MITRE[[#This Row],[Trenes Corridos]]</f>
        <v>0.93777083185337784</v>
      </c>
      <c r="E187" s="25">
        <f>+MITRE[[#This Row],[Trenes Corridos]]/MITRE[[#This Row],[Trenes Programados]]</f>
        <v>0.97824878387769287</v>
      </c>
      <c r="F187" s="27">
        <f t="shared" si="45"/>
        <v>14390</v>
      </c>
      <c r="G187" s="27">
        <f t="shared" si="46"/>
        <v>313</v>
      </c>
      <c r="H187" s="27">
        <f t="shared" si="47"/>
        <v>14077</v>
      </c>
      <c r="I187" s="27">
        <f t="shared" si="48"/>
        <v>13201</v>
      </c>
      <c r="J187" s="27">
        <f t="shared" si="49"/>
        <v>876</v>
      </c>
      <c r="K187" s="27"/>
      <c r="L187" s="4"/>
      <c r="M187" s="29">
        <v>2008</v>
      </c>
      <c r="N187" s="38" t="s">
        <v>39</v>
      </c>
      <c r="O187" s="35">
        <f>+Tabla4[[#This Row],[Trenes Puntuales]]/Tabla4[[#This Row],[Trenes Programados]]</f>
        <v>0.90625</v>
      </c>
      <c r="P187" s="35">
        <f>+Tabla4[[#This Row],[Trenes Puntuales]]/Tabla4[[#This Row],[Trenes Corridos]]</f>
        <v>0.92768514928266765</v>
      </c>
      <c r="Q187" s="35">
        <f>+Tabla4[[#This Row],[Trenes Corridos]]/Tabla4[[#This Row],[Trenes Programados]]</f>
        <v>0.97689393939393943</v>
      </c>
      <c r="R187" s="20">
        <v>5280</v>
      </c>
      <c r="S187" s="27">
        <f t="shared" si="80"/>
        <v>122</v>
      </c>
      <c r="T187" s="20">
        <v>5158</v>
      </c>
      <c r="U187" s="20">
        <v>4785</v>
      </c>
      <c r="V187" s="20">
        <f t="shared" si="81"/>
        <v>373</v>
      </c>
      <c r="W187" s="20"/>
      <c r="X187" s="5"/>
      <c r="Y187" s="29">
        <v>2008</v>
      </c>
      <c r="Z187" s="38" t="s">
        <v>39</v>
      </c>
      <c r="AA187" s="35">
        <f>+Tabla5[[#This Row],[Trenes Puntuales]]/Tabla5[[#This Row],[Trenes Programados]]</f>
        <v>0.93482880755608033</v>
      </c>
      <c r="AB187" s="35">
        <f>+Tabla5[[#This Row],[Trenes Puntuales]]/Tabla5[[#This Row],[Trenes Corridos]]</f>
        <v>0.94985604606525909</v>
      </c>
      <c r="AC187" s="35">
        <f>+Tabla5[[#This Row],[Trenes Corridos]]/Tabla5[[#This Row],[Trenes Programados]]</f>
        <v>0.98417945690672959</v>
      </c>
      <c r="AD187" s="20">
        <v>4235</v>
      </c>
      <c r="AE187" s="27">
        <f t="shared" si="82"/>
        <v>67</v>
      </c>
      <c r="AF187" s="20">
        <v>4168</v>
      </c>
      <c r="AG187" s="20">
        <v>3959</v>
      </c>
      <c r="AH187" s="20">
        <f t="shared" si="83"/>
        <v>209</v>
      </c>
      <c r="AI187" s="20"/>
      <c r="AJ187" s="5"/>
      <c r="AK187" s="29">
        <v>2008</v>
      </c>
      <c r="AL187" s="38" t="s">
        <v>39</v>
      </c>
      <c r="AM187" s="35">
        <f>+Tabla6[[#This Row],[Trenes Puntuales]]/Tabla6[[#This Row],[Trenes Programados]]</f>
        <v>0.94486629250577747</v>
      </c>
      <c r="AN187" s="35">
        <f>+Tabla6[[#This Row],[Trenes Puntuales]]/Tabla6[[#This Row],[Trenes Corridos]]</f>
        <v>0.97148676171079429</v>
      </c>
      <c r="AO187" s="35">
        <f>+Tabla6[[#This Row],[Trenes Corridos]]/Tabla6[[#This Row],[Trenes Programados]]</f>
        <v>0.97259821723341033</v>
      </c>
      <c r="AP187" s="20">
        <v>3029</v>
      </c>
      <c r="AQ187" s="27">
        <f t="shared" si="84"/>
        <v>83</v>
      </c>
      <c r="AR187" s="20">
        <v>2946</v>
      </c>
      <c r="AS187" s="20">
        <v>2862</v>
      </c>
      <c r="AT187" s="20">
        <f t="shared" si="85"/>
        <v>84</v>
      </c>
      <c r="AU187" s="20"/>
      <c r="AV187" s="5"/>
      <c r="AW187" s="29">
        <v>2008</v>
      </c>
      <c r="AX187" s="38" t="s">
        <v>39</v>
      </c>
      <c r="AY187" s="35">
        <f>+MIT_Vic_Cap[[#This Row],[Trenes Puntuales]]/MIT_Vic_Cap[[#This Row],[Trenes Programados]]</f>
        <v>0.92356687898089174</v>
      </c>
      <c r="AZ187" s="35">
        <f>+MIT_Vic_Cap[[#This Row],[Trenes Puntuales]]/MIT_Vic_Cap[[#This Row],[Trenes Corridos]]</f>
        <v>0.94462540716612375</v>
      </c>
      <c r="BA187" s="35">
        <f>+MIT_Vic_Cap[[#This Row],[Trenes Corridos]]/MIT_Vic_Cap[[#This Row],[Trenes Programados]]</f>
        <v>0.97770700636942676</v>
      </c>
      <c r="BB187" s="20">
        <v>942</v>
      </c>
      <c r="BC187" s="27">
        <f t="shared" si="86"/>
        <v>21</v>
      </c>
      <c r="BD187" s="20">
        <v>921</v>
      </c>
      <c r="BE187" s="20">
        <v>870</v>
      </c>
      <c r="BF187" s="20">
        <f t="shared" si="87"/>
        <v>51</v>
      </c>
      <c r="BG187" s="20"/>
      <c r="BH187" s="5"/>
      <c r="BI187" s="29">
        <v>2008</v>
      </c>
      <c r="BJ187" s="38" t="s">
        <v>39</v>
      </c>
      <c r="BK187" s="35">
        <f>+Tabla8[[#This Row],[Trenes Puntuales]]/Tabla8[[#This Row],[Trenes Programados]]</f>
        <v>0.80199115044247793</v>
      </c>
      <c r="BL187" s="35">
        <f>+Tabla8[[#This Row],[Trenes Puntuales]]/Tabla8[[#This Row],[Trenes Corridos]]</f>
        <v>0.82013574660633481</v>
      </c>
      <c r="BM187" s="35">
        <f>+Tabla8[[#This Row],[Trenes Corridos]]/Tabla8[[#This Row],[Trenes Programados]]</f>
        <v>0.97787610619469023</v>
      </c>
      <c r="BN187" s="20">
        <v>904</v>
      </c>
      <c r="BO187" s="27">
        <f t="shared" si="88"/>
        <v>20</v>
      </c>
      <c r="BP187" s="20">
        <v>884</v>
      </c>
      <c r="BQ187" s="20">
        <v>725</v>
      </c>
      <c r="BR187" s="20">
        <f t="shared" si="89"/>
        <v>159</v>
      </c>
      <c r="BS187" s="29"/>
    </row>
    <row r="188" spans="1:71" s="3" customFormat="1" ht="12.75">
      <c r="A188" s="3">
        <v>2008</v>
      </c>
      <c r="B188" s="38" t="s">
        <v>40</v>
      </c>
      <c r="C188" s="25">
        <f>+MITRE[[#This Row],[Trenes Puntuales]]/MITRE[[#This Row],[Trenes Programados]]</f>
        <v>0.90262782644123041</v>
      </c>
      <c r="D188" s="25">
        <f>+MITRE[[#This Row],[Trenes Puntuales]]/MITRE[[#This Row],[Trenes Corridos]]</f>
        <v>0.92331735778287138</v>
      </c>
      <c r="E188" s="25">
        <f>+MITRE[[#This Row],[Trenes Corridos]]/MITRE[[#This Row],[Trenes Programados]]</f>
        <v>0.97759217763291917</v>
      </c>
      <c r="F188" s="27">
        <f t="shared" si="45"/>
        <v>14727</v>
      </c>
      <c r="G188" s="27">
        <f t="shared" si="46"/>
        <v>330</v>
      </c>
      <c r="H188" s="27">
        <f t="shared" si="47"/>
        <v>14397</v>
      </c>
      <c r="I188" s="27">
        <f t="shared" si="48"/>
        <v>13293</v>
      </c>
      <c r="J188" s="27">
        <f t="shared" si="49"/>
        <v>1104</v>
      </c>
      <c r="K188" s="27"/>
      <c r="L188" s="4"/>
      <c r="M188" s="29">
        <v>2008</v>
      </c>
      <c r="N188" s="38" t="s">
        <v>40</v>
      </c>
      <c r="O188" s="35">
        <f>+Tabla4[[#This Row],[Trenes Puntuales]]/Tabla4[[#This Row],[Trenes Programados]]</f>
        <v>0.87225325884543758</v>
      </c>
      <c r="P188" s="35">
        <f>+Tabla4[[#This Row],[Trenes Puntuales]]/Tabla4[[#This Row],[Trenes Corridos]]</f>
        <v>0.90250481695568396</v>
      </c>
      <c r="Q188" s="35">
        <f>+Tabla4[[#This Row],[Trenes Corridos]]/Tabla4[[#This Row],[Trenes Programados]]</f>
        <v>0.96648044692737434</v>
      </c>
      <c r="R188" s="20">
        <v>5370</v>
      </c>
      <c r="S188" s="27">
        <f t="shared" si="80"/>
        <v>180</v>
      </c>
      <c r="T188" s="20">
        <v>5190</v>
      </c>
      <c r="U188" s="20">
        <v>4684</v>
      </c>
      <c r="V188" s="20">
        <f t="shared" si="81"/>
        <v>506</v>
      </c>
      <c r="W188" s="20"/>
      <c r="X188" s="5"/>
      <c r="Y188" s="29">
        <v>2008</v>
      </c>
      <c r="Z188" s="38" t="s">
        <v>40</v>
      </c>
      <c r="AA188" s="35">
        <f>+Tabla5[[#This Row],[Trenes Puntuales]]/Tabla5[[#This Row],[Trenes Programados]]</f>
        <v>0.91201667052558466</v>
      </c>
      <c r="AB188" s="35">
        <f>+Tabla5[[#This Row],[Trenes Puntuales]]/Tabla5[[#This Row],[Trenes Corridos]]</f>
        <v>0.92660550458715596</v>
      </c>
      <c r="AC188" s="35">
        <f>+Tabla5[[#This Row],[Trenes Corridos]]/Tabla5[[#This Row],[Trenes Programados]]</f>
        <v>0.98425561472563095</v>
      </c>
      <c r="AD188" s="20">
        <v>4319</v>
      </c>
      <c r="AE188" s="27">
        <f t="shared" si="82"/>
        <v>68</v>
      </c>
      <c r="AF188" s="20">
        <v>4251</v>
      </c>
      <c r="AG188" s="20">
        <v>3939</v>
      </c>
      <c r="AH188" s="20">
        <f t="shared" si="83"/>
        <v>312</v>
      </c>
      <c r="AI188" s="20"/>
      <c r="AJ188" s="5"/>
      <c r="AK188" s="29">
        <v>2008</v>
      </c>
      <c r="AL188" s="38" t="s">
        <v>40</v>
      </c>
      <c r="AM188" s="35">
        <f>+Tabla6[[#This Row],[Trenes Puntuales]]/Tabla6[[#This Row],[Trenes Programados]]</f>
        <v>0.9512966476913346</v>
      </c>
      <c r="AN188" s="35">
        <f>+Tabla6[[#This Row],[Trenes Puntuales]]/Tabla6[[#This Row],[Trenes Corridos]]</f>
        <v>0.96472097498396403</v>
      </c>
      <c r="AO188" s="35">
        <f>+Tabla6[[#This Row],[Trenes Corridos]]/Tabla6[[#This Row],[Trenes Programados]]</f>
        <v>0.98608475648323846</v>
      </c>
      <c r="AP188" s="20">
        <v>3162</v>
      </c>
      <c r="AQ188" s="27">
        <f t="shared" si="84"/>
        <v>44</v>
      </c>
      <c r="AR188" s="20">
        <v>3118</v>
      </c>
      <c r="AS188" s="20">
        <v>3008</v>
      </c>
      <c r="AT188" s="20">
        <f t="shared" si="85"/>
        <v>110</v>
      </c>
      <c r="AU188" s="20"/>
      <c r="AV188" s="5"/>
      <c r="AW188" s="29">
        <v>2008</v>
      </c>
      <c r="AX188" s="38" t="s">
        <v>40</v>
      </c>
      <c r="AY188" s="35">
        <f>+MIT_Vic_Cap[[#This Row],[Trenes Puntuales]]/MIT_Vic_Cap[[#This Row],[Trenes Programados]]</f>
        <v>0.88512820512820511</v>
      </c>
      <c r="AZ188" s="35">
        <f>+MIT_Vic_Cap[[#This Row],[Trenes Puntuales]]/MIT_Vic_Cap[[#This Row],[Trenes Corridos]]</f>
        <v>0.91322751322751328</v>
      </c>
      <c r="BA188" s="35">
        <f>+MIT_Vic_Cap[[#This Row],[Trenes Corridos]]/MIT_Vic_Cap[[#This Row],[Trenes Programados]]</f>
        <v>0.96923076923076923</v>
      </c>
      <c r="BB188" s="20">
        <v>975</v>
      </c>
      <c r="BC188" s="27">
        <f t="shared" si="86"/>
        <v>30</v>
      </c>
      <c r="BD188" s="20">
        <v>945</v>
      </c>
      <c r="BE188" s="20">
        <v>863</v>
      </c>
      <c r="BF188" s="20">
        <f t="shared" si="87"/>
        <v>82</v>
      </c>
      <c r="BG188" s="20"/>
      <c r="BH188" s="5"/>
      <c r="BI188" s="29">
        <v>2008</v>
      </c>
      <c r="BJ188" s="38" t="s">
        <v>40</v>
      </c>
      <c r="BK188" s="35">
        <f>+Tabla8[[#This Row],[Trenes Puntuales]]/Tabla8[[#This Row],[Trenes Programados]]</f>
        <v>0.8867924528301887</v>
      </c>
      <c r="BL188" s="35">
        <f>+Tabla8[[#This Row],[Trenes Puntuales]]/Tabla8[[#This Row],[Trenes Corridos]]</f>
        <v>0.89473684210526316</v>
      </c>
      <c r="BM188" s="35">
        <f>+Tabla8[[#This Row],[Trenes Corridos]]/Tabla8[[#This Row],[Trenes Programados]]</f>
        <v>0.99112097669256383</v>
      </c>
      <c r="BN188" s="20">
        <v>901</v>
      </c>
      <c r="BO188" s="27">
        <f t="shared" si="88"/>
        <v>8</v>
      </c>
      <c r="BP188" s="20">
        <v>893</v>
      </c>
      <c r="BQ188" s="20">
        <v>799</v>
      </c>
      <c r="BR188" s="20">
        <f t="shared" si="89"/>
        <v>94</v>
      </c>
      <c r="BS188" s="29"/>
    </row>
    <row r="189" spans="1:71" s="3" customFormat="1" ht="12.75">
      <c r="A189" s="3">
        <v>2008</v>
      </c>
      <c r="B189" s="38" t="s">
        <v>41</v>
      </c>
      <c r="C189" s="25">
        <f>+MITRE[[#This Row],[Trenes Puntuales]]/MITRE[[#This Row],[Trenes Programados]]</f>
        <v>0.86625416468348404</v>
      </c>
      <c r="D189" s="25">
        <f>+MITRE[[#This Row],[Trenes Puntuales]]/MITRE[[#This Row],[Trenes Corridos]]</f>
        <v>0.89573226464177735</v>
      </c>
      <c r="E189" s="25">
        <f>+MITRE[[#This Row],[Trenes Corridos]]/MITRE[[#This Row],[Trenes Programados]]</f>
        <v>0.96709050112191475</v>
      </c>
      <c r="F189" s="27">
        <f t="shared" si="45"/>
        <v>14707</v>
      </c>
      <c r="G189" s="27">
        <f t="shared" si="46"/>
        <v>484</v>
      </c>
      <c r="H189" s="27">
        <f t="shared" si="47"/>
        <v>14223</v>
      </c>
      <c r="I189" s="27">
        <f t="shared" si="48"/>
        <v>12740</v>
      </c>
      <c r="J189" s="27">
        <f t="shared" si="49"/>
        <v>1483</v>
      </c>
      <c r="K189" s="27"/>
      <c r="L189" s="4"/>
      <c r="M189" s="29">
        <v>2008</v>
      </c>
      <c r="N189" s="38" t="s">
        <v>41</v>
      </c>
      <c r="O189" s="35">
        <f>+Tabla4[[#This Row],[Trenes Puntuales]]/Tabla4[[#This Row],[Trenes Programados]]</f>
        <v>0.80983302411873836</v>
      </c>
      <c r="P189" s="35">
        <f>+Tabla4[[#This Row],[Trenes Puntuales]]/Tabla4[[#This Row],[Trenes Corridos]]</f>
        <v>0.85353930387172472</v>
      </c>
      <c r="Q189" s="35">
        <f>+Tabla4[[#This Row],[Trenes Corridos]]/Tabla4[[#This Row],[Trenes Programados]]</f>
        <v>0.94879406307977732</v>
      </c>
      <c r="R189" s="20">
        <v>5390</v>
      </c>
      <c r="S189" s="27">
        <f t="shared" si="80"/>
        <v>276</v>
      </c>
      <c r="T189" s="20">
        <v>5114</v>
      </c>
      <c r="U189" s="20">
        <v>4365</v>
      </c>
      <c r="V189" s="20">
        <f t="shared" si="81"/>
        <v>749</v>
      </c>
      <c r="W189" s="20"/>
      <c r="X189" s="5"/>
      <c r="Y189" s="29">
        <v>2008</v>
      </c>
      <c r="Z189" s="38" t="s">
        <v>41</v>
      </c>
      <c r="AA189" s="35">
        <f>+Tabla5[[#This Row],[Trenes Puntuales]]/Tabla5[[#This Row],[Trenes Programados]]</f>
        <v>0.8837962962962963</v>
      </c>
      <c r="AB189" s="35">
        <f>+Tabla5[[#This Row],[Trenes Puntuales]]/Tabla5[[#This Row],[Trenes Corridos]]</f>
        <v>0.89519343493552173</v>
      </c>
      <c r="AC189" s="35">
        <f>+Tabla5[[#This Row],[Trenes Corridos]]/Tabla5[[#This Row],[Trenes Programados]]</f>
        <v>0.98726851851851849</v>
      </c>
      <c r="AD189" s="20">
        <v>4320</v>
      </c>
      <c r="AE189" s="27">
        <f t="shared" si="82"/>
        <v>55</v>
      </c>
      <c r="AF189" s="20">
        <v>4265</v>
      </c>
      <c r="AG189" s="20">
        <v>3818</v>
      </c>
      <c r="AH189" s="20">
        <f t="shared" si="83"/>
        <v>447</v>
      </c>
      <c r="AI189" s="20"/>
      <c r="AJ189" s="5"/>
      <c r="AK189" s="29">
        <v>2008</v>
      </c>
      <c r="AL189" s="38" t="s">
        <v>41</v>
      </c>
      <c r="AM189" s="35">
        <f>+Tabla6[[#This Row],[Trenes Puntuales]]/Tabla6[[#This Row],[Trenes Programados]]</f>
        <v>0.9177377892030848</v>
      </c>
      <c r="AN189" s="35">
        <f>+Tabla6[[#This Row],[Trenes Puntuales]]/Tabla6[[#This Row],[Trenes Corridos]]</f>
        <v>0.95550351288056201</v>
      </c>
      <c r="AO189" s="35">
        <f>+Tabla6[[#This Row],[Trenes Corridos]]/Tabla6[[#This Row],[Trenes Programados]]</f>
        <v>0.96047557840616971</v>
      </c>
      <c r="AP189" s="20">
        <v>3112</v>
      </c>
      <c r="AQ189" s="27">
        <f t="shared" si="84"/>
        <v>123</v>
      </c>
      <c r="AR189" s="20">
        <v>2989</v>
      </c>
      <c r="AS189" s="20">
        <v>2856</v>
      </c>
      <c r="AT189" s="20">
        <f t="shared" si="85"/>
        <v>133</v>
      </c>
      <c r="AU189" s="20"/>
      <c r="AV189" s="5"/>
      <c r="AW189" s="29">
        <v>2008</v>
      </c>
      <c r="AX189" s="38" t="s">
        <v>41</v>
      </c>
      <c r="AY189" s="35">
        <f>+MIT_Vic_Cap[[#This Row],[Trenes Puntuales]]/MIT_Vic_Cap[[#This Row],[Trenes Programados]]</f>
        <v>0.91398963730569949</v>
      </c>
      <c r="AZ189" s="35">
        <f>+MIT_Vic_Cap[[#This Row],[Trenes Puntuales]]/MIT_Vic_Cap[[#This Row],[Trenes Corridos]]</f>
        <v>0.92647058823529416</v>
      </c>
      <c r="BA189" s="35">
        <f>+MIT_Vic_Cap[[#This Row],[Trenes Corridos]]/MIT_Vic_Cap[[#This Row],[Trenes Programados]]</f>
        <v>0.98652849740932647</v>
      </c>
      <c r="BB189" s="20">
        <v>965</v>
      </c>
      <c r="BC189" s="27">
        <f t="shared" si="86"/>
        <v>13</v>
      </c>
      <c r="BD189" s="20">
        <v>952</v>
      </c>
      <c r="BE189" s="20">
        <v>882</v>
      </c>
      <c r="BF189" s="20">
        <f t="shared" si="87"/>
        <v>70</v>
      </c>
      <c r="BG189" s="20"/>
      <c r="BH189" s="5"/>
      <c r="BI189" s="29">
        <v>2008</v>
      </c>
      <c r="BJ189" s="38" t="s">
        <v>41</v>
      </c>
      <c r="BK189" s="35">
        <f>+Tabla8[[#This Row],[Trenes Puntuales]]/Tabla8[[#This Row],[Trenes Programados]]</f>
        <v>0.89021739130434785</v>
      </c>
      <c r="BL189" s="35">
        <f>+Tabla8[[#This Row],[Trenes Puntuales]]/Tabla8[[#This Row],[Trenes Corridos]]</f>
        <v>0.90697674418604646</v>
      </c>
      <c r="BM189" s="35">
        <f>+Tabla8[[#This Row],[Trenes Corridos]]/Tabla8[[#This Row],[Trenes Programados]]</f>
        <v>0.98152173913043483</v>
      </c>
      <c r="BN189" s="20">
        <v>920</v>
      </c>
      <c r="BO189" s="27">
        <f t="shared" si="88"/>
        <v>17</v>
      </c>
      <c r="BP189" s="20">
        <v>903</v>
      </c>
      <c r="BQ189" s="20">
        <v>819</v>
      </c>
      <c r="BR189" s="20">
        <f t="shared" si="89"/>
        <v>84</v>
      </c>
      <c r="BS189" s="29"/>
    </row>
    <row r="190" spans="1:71" s="3" customFormat="1" ht="12.75">
      <c r="A190" s="3">
        <v>2008</v>
      </c>
      <c r="B190" s="38" t="s">
        <v>42</v>
      </c>
      <c r="C190" s="25">
        <f>+MITRE[[#This Row],[Trenes Puntuales]]/MITRE[[#This Row],[Trenes Programados]]</f>
        <v>0.91310945437751534</v>
      </c>
      <c r="D190" s="25">
        <f>+MITRE[[#This Row],[Trenes Puntuales]]/MITRE[[#This Row],[Trenes Corridos]]</f>
        <v>0.93067043238517921</v>
      </c>
      <c r="E190" s="25">
        <f>+MITRE[[#This Row],[Trenes Corridos]]/MITRE[[#This Row],[Trenes Programados]]</f>
        <v>0.98113083063930862</v>
      </c>
      <c r="F190" s="27">
        <f t="shared" si="45"/>
        <v>15157</v>
      </c>
      <c r="G190" s="27">
        <f t="shared" si="46"/>
        <v>286</v>
      </c>
      <c r="H190" s="27">
        <f t="shared" si="47"/>
        <v>14871</v>
      </c>
      <c r="I190" s="27">
        <f t="shared" si="48"/>
        <v>13840</v>
      </c>
      <c r="J190" s="27">
        <f t="shared" si="49"/>
        <v>1031</v>
      </c>
      <c r="K190" s="27"/>
      <c r="L190" s="4"/>
      <c r="M190" s="29">
        <v>2008</v>
      </c>
      <c r="N190" s="38" t="s">
        <v>42</v>
      </c>
      <c r="O190" s="35">
        <f>+Tabla4[[#This Row],[Trenes Puntuales]]/Tabla4[[#This Row],[Trenes Programados]]</f>
        <v>0.90558558558558555</v>
      </c>
      <c r="P190" s="35">
        <f>+Tabla4[[#This Row],[Trenes Puntuales]]/Tabla4[[#This Row],[Trenes Corridos]]</f>
        <v>0.92169448010269572</v>
      </c>
      <c r="Q190" s="35">
        <f>+Tabla4[[#This Row],[Trenes Corridos]]/Tabla4[[#This Row],[Trenes Programados]]</f>
        <v>0.98252252252252248</v>
      </c>
      <c r="R190" s="20">
        <v>5550</v>
      </c>
      <c r="S190" s="27">
        <f t="shared" si="80"/>
        <v>97</v>
      </c>
      <c r="T190" s="20">
        <v>5453</v>
      </c>
      <c r="U190" s="20">
        <v>5026</v>
      </c>
      <c r="V190" s="20">
        <f t="shared" si="81"/>
        <v>427</v>
      </c>
      <c r="W190" s="20"/>
      <c r="X190" s="5"/>
      <c r="Y190" s="29">
        <v>2008</v>
      </c>
      <c r="Z190" s="38" t="s">
        <v>42</v>
      </c>
      <c r="AA190" s="35">
        <f>+Tabla5[[#This Row],[Trenes Puntuales]]/Tabla5[[#This Row],[Trenes Programados]]</f>
        <v>0.91221374045801529</v>
      </c>
      <c r="AB190" s="35">
        <f>+Tabla5[[#This Row],[Trenes Puntuales]]/Tabla5[[#This Row],[Trenes Corridos]]</f>
        <v>0.92572339940760995</v>
      </c>
      <c r="AC190" s="35">
        <f>+Tabla5[[#This Row],[Trenes Corridos]]/Tabla5[[#This Row],[Trenes Programados]]</f>
        <v>0.98540637629097438</v>
      </c>
      <c r="AD190" s="20">
        <v>4454</v>
      </c>
      <c r="AE190" s="27">
        <f t="shared" si="82"/>
        <v>65</v>
      </c>
      <c r="AF190" s="20">
        <v>4389</v>
      </c>
      <c r="AG190" s="20">
        <v>4063</v>
      </c>
      <c r="AH190" s="20">
        <f t="shared" si="83"/>
        <v>326</v>
      </c>
      <c r="AI190" s="20"/>
      <c r="AJ190" s="5"/>
      <c r="AK190" s="29">
        <v>2008</v>
      </c>
      <c r="AL190" s="38" t="s">
        <v>42</v>
      </c>
      <c r="AM190" s="35">
        <f>+Tabla6[[#This Row],[Trenes Puntuales]]/Tabla6[[#This Row],[Trenes Programados]]</f>
        <v>0.94772868699439949</v>
      </c>
      <c r="AN190" s="35">
        <f>+Tabla6[[#This Row],[Trenes Puntuales]]/Tabla6[[#This Row],[Trenes Corridos]]</f>
        <v>0.97409657818995843</v>
      </c>
      <c r="AO190" s="35">
        <f>+Tabla6[[#This Row],[Trenes Corridos]]/Tabla6[[#This Row],[Trenes Programados]]</f>
        <v>0.97293092719352836</v>
      </c>
      <c r="AP190" s="20">
        <v>3214</v>
      </c>
      <c r="AQ190" s="27">
        <f t="shared" si="84"/>
        <v>87</v>
      </c>
      <c r="AR190" s="20">
        <v>3127</v>
      </c>
      <c r="AS190" s="20">
        <v>3046</v>
      </c>
      <c r="AT190" s="20">
        <f t="shared" si="85"/>
        <v>81</v>
      </c>
      <c r="AU190" s="20"/>
      <c r="AV190" s="5"/>
      <c r="AW190" s="29">
        <v>2008</v>
      </c>
      <c r="AX190" s="38" t="s">
        <v>42</v>
      </c>
      <c r="AY190" s="35">
        <f>+MIT_Vic_Cap[[#This Row],[Trenes Puntuales]]/MIT_Vic_Cap[[#This Row],[Trenes Programados]]</f>
        <v>0.90681362725450898</v>
      </c>
      <c r="AZ190" s="35">
        <f>+MIT_Vic_Cap[[#This Row],[Trenes Puntuales]]/MIT_Vic_Cap[[#This Row],[Trenes Corridos]]</f>
        <v>0.92630501535312182</v>
      </c>
      <c r="BA190" s="35">
        <f>+MIT_Vic_Cap[[#This Row],[Trenes Corridos]]/MIT_Vic_Cap[[#This Row],[Trenes Programados]]</f>
        <v>0.97895791583166336</v>
      </c>
      <c r="BB190" s="20">
        <v>998</v>
      </c>
      <c r="BC190" s="27">
        <f t="shared" si="86"/>
        <v>21</v>
      </c>
      <c r="BD190" s="20">
        <v>977</v>
      </c>
      <c r="BE190" s="20">
        <v>905</v>
      </c>
      <c r="BF190" s="20">
        <f t="shared" si="87"/>
        <v>72</v>
      </c>
      <c r="BG190" s="20"/>
      <c r="BH190" s="5"/>
      <c r="BI190" s="29">
        <v>2008</v>
      </c>
      <c r="BJ190" s="38" t="s">
        <v>42</v>
      </c>
      <c r="BK190" s="35">
        <f>+Tabla8[[#This Row],[Trenes Puntuales]]/Tabla8[[#This Row],[Trenes Programados]]</f>
        <v>0.85015940488841657</v>
      </c>
      <c r="BL190" s="35">
        <f>+Tabla8[[#This Row],[Trenes Puntuales]]/Tabla8[[#This Row],[Trenes Corridos]]</f>
        <v>0.86486486486486491</v>
      </c>
      <c r="BM190" s="35">
        <f>+Tabla8[[#This Row],[Trenes Corridos]]/Tabla8[[#This Row],[Trenes Programados]]</f>
        <v>0.98299681190223165</v>
      </c>
      <c r="BN190" s="20">
        <v>941</v>
      </c>
      <c r="BO190" s="27">
        <f t="shared" si="88"/>
        <v>16</v>
      </c>
      <c r="BP190" s="20">
        <v>925</v>
      </c>
      <c r="BQ190" s="20">
        <v>800</v>
      </c>
      <c r="BR190" s="20">
        <f t="shared" si="89"/>
        <v>125</v>
      </c>
      <c r="BS190" s="29"/>
    </row>
    <row r="191" spans="1:71" s="3" customFormat="1" ht="12.75">
      <c r="A191" s="3">
        <v>2008</v>
      </c>
      <c r="B191" s="38" t="s">
        <v>43</v>
      </c>
      <c r="C191" s="25">
        <f>+MITRE[[#This Row],[Trenes Puntuales]]/MITRE[[#This Row],[Trenes Programados]]</f>
        <v>0.90668783214852644</v>
      </c>
      <c r="D191" s="25">
        <f>+MITRE[[#This Row],[Trenes Puntuales]]/MITRE[[#This Row],[Trenes Corridos]]</f>
        <v>0.92488031540411153</v>
      </c>
      <c r="E191" s="25">
        <f>+MITRE[[#This Row],[Trenes Corridos]]/MITRE[[#This Row],[Trenes Programados]]</f>
        <v>0.98032990544551035</v>
      </c>
      <c r="F191" s="27">
        <f t="shared" si="45"/>
        <v>14489</v>
      </c>
      <c r="G191" s="27">
        <f t="shared" si="46"/>
        <v>285</v>
      </c>
      <c r="H191" s="27">
        <f t="shared" si="47"/>
        <v>14204</v>
      </c>
      <c r="I191" s="27">
        <f t="shared" si="48"/>
        <v>13137</v>
      </c>
      <c r="J191" s="27">
        <f t="shared" si="49"/>
        <v>1067</v>
      </c>
      <c r="K191" s="27"/>
      <c r="L191" s="4"/>
      <c r="M191" s="29">
        <v>2008</v>
      </c>
      <c r="N191" s="38" t="s">
        <v>43</v>
      </c>
      <c r="O191" s="35">
        <f>+Tabla4[[#This Row],[Trenes Puntuales]]/Tabla4[[#This Row],[Trenes Programados]]</f>
        <v>0.87754716981132075</v>
      </c>
      <c r="P191" s="35">
        <f>+Tabla4[[#This Row],[Trenes Puntuales]]/Tabla4[[#This Row],[Trenes Corridos]]</f>
        <v>0.90153130451637919</v>
      </c>
      <c r="Q191" s="35">
        <f>+Tabla4[[#This Row],[Trenes Corridos]]/Tabla4[[#This Row],[Trenes Programados]]</f>
        <v>0.97339622641509438</v>
      </c>
      <c r="R191" s="20">
        <v>5300</v>
      </c>
      <c r="S191" s="27">
        <f t="shared" si="80"/>
        <v>141</v>
      </c>
      <c r="T191" s="20">
        <v>5159</v>
      </c>
      <c r="U191" s="20">
        <v>4651</v>
      </c>
      <c r="V191" s="20">
        <f t="shared" si="81"/>
        <v>508</v>
      </c>
      <c r="W191" s="20"/>
      <c r="X191" s="5"/>
      <c r="Y191" s="29">
        <v>2008</v>
      </c>
      <c r="Z191" s="38" t="s">
        <v>43</v>
      </c>
      <c r="AA191" s="35">
        <f>+Tabla5[[#This Row],[Trenes Puntuales]]/Tabla5[[#This Row],[Trenes Programados]]</f>
        <v>0.91623529411764704</v>
      </c>
      <c r="AB191" s="35">
        <f>+Tabla5[[#This Row],[Trenes Puntuales]]/Tabla5[[#This Row],[Trenes Corridos]]</f>
        <v>0.92538022813688214</v>
      </c>
      <c r="AC191" s="35">
        <f>+Tabla5[[#This Row],[Trenes Corridos]]/Tabla5[[#This Row],[Trenes Programados]]</f>
        <v>0.99011764705882355</v>
      </c>
      <c r="AD191" s="20">
        <v>4250</v>
      </c>
      <c r="AE191" s="27">
        <f t="shared" si="82"/>
        <v>42</v>
      </c>
      <c r="AF191" s="20">
        <v>4208</v>
      </c>
      <c r="AG191" s="20">
        <v>3894</v>
      </c>
      <c r="AH191" s="20">
        <f t="shared" si="83"/>
        <v>314</v>
      </c>
      <c r="AI191" s="20"/>
      <c r="AJ191" s="5"/>
      <c r="AK191" s="29">
        <v>2008</v>
      </c>
      <c r="AL191" s="38" t="s">
        <v>43</v>
      </c>
      <c r="AM191" s="35">
        <f>+Tabla6[[#This Row],[Trenes Puntuales]]/Tabla6[[#This Row],[Trenes Programados]]</f>
        <v>0.94750486066104989</v>
      </c>
      <c r="AN191" s="35">
        <f>+Tabla6[[#This Row],[Trenes Puntuales]]/Tabla6[[#This Row],[Trenes Corridos]]</f>
        <v>0.96374423203691495</v>
      </c>
      <c r="AO191" s="35">
        <f>+Tabla6[[#This Row],[Trenes Corridos]]/Tabla6[[#This Row],[Trenes Programados]]</f>
        <v>0.98314970836033699</v>
      </c>
      <c r="AP191" s="20">
        <v>3086</v>
      </c>
      <c r="AQ191" s="27">
        <f t="shared" si="84"/>
        <v>52</v>
      </c>
      <c r="AR191" s="20">
        <v>3034</v>
      </c>
      <c r="AS191" s="20">
        <v>2924</v>
      </c>
      <c r="AT191" s="20">
        <f t="shared" si="85"/>
        <v>110</v>
      </c>
      <c r="AU191" s="20"/>
      <c r="AV191" s="5"/>
      <c r="AW191" s="29">
        <v>2008</v>
      </c>
      <c r="AX191" s="38" t="s">
        <v>43</v>
      </c>
      <c r="AY191" s="35">
        <f>+MIT_Vic_Cap[[#This Row],[Trenes Puntuales]]/MIT_Vic_Cap[[#This Row],[Trenes Programados]]</f>
        <v>0.9055613850996852</v>
      </c>
      <c r="AZ191" s="35">
        <f>+MIT_Vic_Cap[[#This Row],[Trenes Puntuales]]/MIT_Vic_Cap[[#This Row],[Trenes Corridos]]</f>
        <v>0.93096008629989213</v>
      </c>
      <c r="BA191" s="35">
        <f>+MIT_Vic_Cap[[#This Row],[Trenes Corridos]]/MIT_Vic_Cap[[#This Row],[Trenes Programados]]</f>
        <v>0.97271773347324242</v>
      </c>
      <c r="BB191" s="20">
        <v>953</v>
      </c>
      <c r="BC191" s="27">
        <f t="shared" si="86"/>
        <v>26</v>
      </c>
      <c r="BD191" s="20">
        <v>927</v>
      </c>
      <c r="BE191" s="20">
        <v>863</v>
      </c>
      <c r="BF191" s="20">
        <f t="shared" si="87"/>
        <v>64</v>
      </c>
      <c r="BG191" s="20"/>
      <c r="BH191" s="5"/>
      <c r="BI191" s="29">
        <v>2008</v>
      </c>
      <c r="BJ191" s="38" t="s">
        <v>43</v>
      </c>
      <c r="BK191" s="35">
        <f>+Tabla8[[#This Row],[Trenes Puntuales]]/Tabla8[[#This Row],[Trenes Programados]]</f>
        <v>0.89444444444444449</v>
      </c>
      <c r="BL191" s="35">
        <f>+Tabla8[[#This Row],[Trenes Puntuales]]/Tabla8[[#This Row],[Trenes Corridos]]</f>
        <v>0.91894977168949776</v>
      </c>
      <c r="BM191" s="35">
        <f>+Tabla8[[#This Row],[Trenes Corridos]]/Tabla8[[#This Row],[Trenes Programados]]</f>
        <v>0.97333333333333338</v>
      </c>
      <c r="BN191" s="20">
        <v>900</v>
      </c>
      <c r="BO191" s="27">
        <f t="shared" si="88"/>
        <v>24</v>
      </c>
      <c r="BP191" s="20">
        <v>876</v>
      </c>
      <c r="BQ191" s="20">
        <v>805</v>
      </c>
      <c r="BR191" s="20">
        <f t="shared" si="89"/>
        <v>71</v>
      </c>
      <c r="BS191" s="29"/>
    </row>
    <row r="192" spans="1:71" s="3" customFormat="1" ht="12.75">
      <c r="A192" s="3">
        <v>2008</v>
      </c>
      <c r="B192" s="38" t="s">
        <v>44</v>
      </c>
      <c r="C192" s="25">
        <f>+MITRE[[#This Row],[Trenes Puntuales]]/MITRE[[#This Row],[Trenes Programados]]</f>
        <v>0.89701541489012793</v>
      </c>
      <c r="D192" s="25">
        <f>+MITRE[[#This Row],[Trenes Puntuales]]/MITRE[[#This Row],[Trenes Corridos]]</f>
        <v>0.90936294720042554</v>
      </c>
      <c r="E192" s="25">
        <f>+MITRE[[#This Row],[Trenes Corridos]]/MITRE[[#This Row],[Trenes Programados]]</f>
        <v>0.98642177763201044</v>
      </c>
      <c r="F192" s="27">
        <f t="shared" si="45"/>
        <v>15245</v>
      </c>
      <c r="G192" s="27">
        <f t="shared" si="46"/>
        <v>207</v>
      </c>
      <c r="H192" s="27">
        <f t="shared" si="47"/>
        <v>15038</v>
      </c>
      <c r="I192" s="27">
        <f t="shared" si="48"/>
        <v>13675</v>
      </c>
      <c r="J192" s="27">
        <f t="shared" si="49"/>
        <v>1363</v>
      </c>
      <c r="K192" s="27"/>
      <c r="L192" s="4"/>
      <c r="M192" s="29">
        <v>2008</v>
      </c>
      <c r="N192" s="38" t="s">
        <v>44</v>
      </c>
      <c r="O192" s="35">
        <f>+Tabla4[[#This Row],[Trenes Puntuales]]/Tabla4[[#This Row],[Trenes Programados]]</f>
        <v>0.87745974955277284</v>
      </c>
      <c r="P192" s="35">
        <f>+Tabla4[[#This Row],[Trenes Puntuales]]/Tabla4[[#This Row],[Trenes Corridos]]</f>
        <v>0.8879435191889935</v>
      </c>
      <c r="Q192" s="35">
        <f>+Tabla4[[#This Row],[Trenes Corridos]]/Tabla4[[#This Row],[Trenes Programados]]</f>
        <v>0.98819320214669049</v>
      </c>
      <c r="R192" s="20">
        <v>5590</v>
      </c>
      <c r="S192" s="27">
        <f t="shared" si="80"/>
        <v>66</v>
      </c>
      <c r="T192" s="20">
        <v>5524</v>
      </c>
      <c r="U192" s="20">
        <v>4905</v>
      </c>
      <c r="V192" s="20">
        <f t="shared" si="81"/>
        <v>619</v>
      </c>
      <c r="W192" s="20"/>
      <c r="X192" s="5"/>
      <c r="Y192" s="29">
        <v>2008</v>
      </c>
      <c r="Z192" s="38" t="s">
        <v>44</v>
      </c>
      <c r="AA192" s="35">
        <f>+Tabla5[[#This Row],[Trenes Puntuales]]/Tabla5[[#This Row],[Trenes Programados]]</f>
        <v>0.89662871176601922</v>
      </c>
      <c r="AB192" s="35">
        <f>+Tabla5[[#This Row],[Trenes Puntuales]]/Tabla5[[#This Row],[Trenes Corridos]]</f>
        <v>0.90511606941627221</v>
      </c>
      <c r="AC192" s="35">
        <f>+Tabla5[[#This Row],[Trenes Corridos]]/Tabla5[[#This Row],[Trenes Programados]]</f>
        <v>0.99062290689886134</v>
      </c>
      <c r="AD192" s="20">
        <v>4479</v>
      </c>
      <c r="AE192" s="27">
        <f t="shared" si="82"/>
        <v>42</v>
      </c>
      <c r="AF192" s="20">
        <v>4437</v>
      </c>
      <c r="AG192" s="20">
        <v>4016</v>
      </c>
      <c r="AH192" s="20">
        <f t="shared" si="83"/>
        <v>421</v>
      </c>
      <c r="AI192" s="20"/>
      <c r="AJ192" s="5"/>
      <c r="AK192" s="29">
        <v>2008</v>
      </c>
      <c r="AL192" s="38" t="s">
        <v>44</v>
      </c>
      <c r="AM192" s="35">
        <f>+Tabla6[[#This Row],[Trenes Puntuales]]/Tabla6[[#This Row],[Trenes Programados]]</f>
        <v>0.94101210804098101</v>
      </c>
      <c r="AN192" s="35">
        <f>+Tabla6[[#This Row],[Trenes Puntuales]]/Tabla6[[#This Row],[Trenes Corridos]]</f>
        <v>0.95645313979173241</v>
      </c>
      <c r="AO192" s="35">
        <f>+Tabla6[[#This Row],[Trenes Corridos]]/Tabla6[[#This Row],[Trenes Programados]]</f>
        <v>0.98385594535858434</v>
      </c>
      <c r="AP192" s="20">
        <v>3221</v>
      </c>
      <c r="AQ192" s="27">
        <f t="shared" si="84"/>
        <v>52</v>
      </c>
      <c r="AR192" s="20">
        <v>3169</v>
      </c>
      <c r="AS192" s="20">
        <v>3031</v>
      </c>
      <c r="AT192" s="20">
        <f t="shared" si="85"/>
        <v>138</v>
      </c>
      <c r="AU192" s="20"/>
      <c r="AV192" s="5"/>
      <c r="AW192" s="29">
        <v>2008</v>
      </c>
      <c r="AX192" s="38" t="s">
        <v>44</v>
      </c>
      <c r="AY192" s="35">
        <f>+MIT_Vic_Cap[[#This Row],[Trenes Puntuales]]/MIT_Vic_Cap[[#This Row],[Trenes Programados]]</f>
        <v>0.8808808808808809</v>
      </c>
      <c r="AZ192" s="35">
        <f>+MIT_Vic_Cap[[#This Row],[Trenes Puntuales]]/MIT_Vic_Cap[[#This Row],[Trenes Corridos]]</f>
        <v>0.91571279916753379</v>
      </c>
      <c r="BA192" s="35">
        <f>+MIT_Vic_Cap[[#This Row],[Trenes Corridos]]/MIT_Vic_Cap[[#This Row],[Trenes Programados]]</f>
        <v>0.96196196196196193</v>
      </c>
      <c r="BB192" s="20">
        <v>999</v>
      </c>
      <c r="BC192" s="27">
        <f t="shared" si="86"/>
        <v>38</v>
      </c>
      <c r="BD192" s="20">
        <v>961</v>
      </c>
      <c r="BE192" s="20">
        <v>880</v>
      </c>
      <c r="BF192" s="20">
        <f t="shared" si="87"/>
        <v>81</v>
      </c>
      <c r="BG192" s="20"/>
      <c r="BH192" s="5"/>
      <c r="BI192" s="29">
        <v>2008</v>
      </c>
      <c r="BJ192" s="38" t="s">
        <v>44</v>
      </c>
      <c r="BK192" s="35">
        <f>+Tabla8[[#This Row],[Trenes Puntuales]]/Tabla8[[#This Row],[Trenes Programados]]</f>
        <v>0.88179916317991636</v>
      </c>
      <c r="BL192" s="35">
        <f>+Tabla8[[#This Row],[Trenes Puntuales]]/Tabla8[[#This Row],[Trenes Corridos]]</f>
        <v>0.89017951425554387</v>
      </c>
      <c r="BM192" s="35">
        <f>+Tabla8[[#This Row],[Trenes Corridos]]/Tabla8[[#This Row],[Trenes Programados]]</f>
        <v>0.9905857740585774</v>
      </c>
      <c r="BN192" s="20">
        <v>956</v>
      </c>
      <c r="BO192" s="27">
        <f t="shared" si="88"/>
        <v>9</v>
      </c>
      <c r="BP192" s="20">
        <v>947</v>
      </c>
      <c r="BQ192" s="20">
        <v>843</v>
      </c>
      <c r="BR192" s="20">
        <f t="shared" si="89"/>
        <v>104</v>
      </c>
      <c r="BS192" s="29"/>
    </row>
    <row r="193" spans="1:71" s="3" customFormat="1" ht="12.75">
      <c r="A193" s="3">
        <v>2008</v>
      </c>
      <c r="B193" s="38" t="s">
        <v>45</v>
      </c>
      <c r="C193" s="25">
        <f>+MITRE[[#This Row],[Trenes Puntuales]]/MITRE[[#This Row],[Trenes Programados]]</f>
        <v>0.91880313273980851</v>
      </c>
      <c r="D193" s="25">
        <f>+MITRE[[#This Row],[Trenes Puntuales]]/MITRE[[#This Row],[Trenes Corridos]]</f>
        <v>0.93253617772946529</v>
      </c>
      <c r="E193" s="25">
        <f>+MITRE[[#This Row],[Trenes Corridos]]/MITRE[[#This Row],[Trenes Programados]]</f>
        <v>0.98527344534440053</v>
      </c>
      <c r="F193" s="27">
        <f t="shared" si="45"/>
        <v>14939</v>
      </c>
      <c r="G193" s="27">
        <f t="shared" si="46"/>
        <v>220</v>
      </c>
      <c r="H193" s="27">
        <f t="shared" si="47"/>
        <v>14719</v>
      </c>
      <c r="I193" s="27">
        <f t="shared" si="48"/>
        <v>13726</v>
      </c>
      <c r="J193" s="27">
        <f t="shared" si="49"/>
        <v>993</v>
      </c>
      <c r="K193" s="27"/>
      <c r="L193" s="4"/>
      <c r="M193" s="29">
        <v>2008</v>
      </c>
      <c r="N193" s="38" t="s">
        <v>45</v>
      </c>
      <c r="O193" s="35">
        <f>+Tabla4[[#This Row],[Trenes Puntuales]]/Tabla4[[#This Row],[Trenes Programados]]</f>
        <v>0.89450549450549455</v>
      </c>
      <c r="P193" s="35">
        <f>+Tabla4[[#This Row],[Trenes Puntuales]]/Tabla4[[#This Row],[Trenes Corridos]]</f>
        <v>0.91238557818045951</v>
      </c>
      <c r="Q193" s="35">
        <f>+Tabla4[[#This Row],[Trenes Corridos]]/Tabla4[[#This Row],[Trenes Programados]]</f>
        <v>0.98040293040293036</v>
      </c>
      <c r="R193" s="20">
        <v>5460</v>
      </c>
      <c r="S193" s="27">
        <f t="shared" si="80"/>
        <v>107</v>
      </c>
      <c r="T193" s="20">
        <v>5353</v>
      </c>
      <c r="U193" s="20">
        <v>4884</v>
      </c>
      <c r="V193" s="20">
        <f t="shared" si="81"/>
        <v>469</v>
      </c>
      <c r="W193" s="20"/>
      <c r="X193" s="5"/>
      <c r="Y193" s="29">
        <v>2008</v>
      </c>
      <c r="Z193" s="38" t="s">
        <v>45</v>
      </c>
      <c r="AA193" s="35">
        <f>+Tabla5[[#This Row],[Trenes Puntuales]]/Tabla5[[#This Row],[Trenes Programados]]</f>
        <v>0.91811131386861311</v>
      </c>
      <c r="AB193" s="35">
        <f>+Tabla5[[#This Row],[Trenes Puntuales]]/Tabla5[[#This Row],[Trenes Corridos]]</f>
        <v>0.9282749077490775</v>
      </c>
      <c r="AC193" s="35">
        <f>+Tabla5[[#This Row],[Trenes Corridos]]/Tabla5[[#This Row],[Trenes Programados]]</f>
        <v>0.98905109489051091</v>
      </c>
      <c r="AD193" s="20">
        <v>4384</v>
      </c>
      <c r="AE193" s="27">
        <f t="shared" si="82"/>
        <v>48</v>
      </c>
      <c r="AF193" s="20">
        <v>4336</v>
      </c>
      <c r="AG193" s="20">
        <v>4025</v>
      </c>
      <c r="AH193" s="20">
        <f t="shared" si="83"/>
        <v>311</v>
      </c>
      <c r="AI193" s="20"/>
      <c r="AJ193" s="5"/>
      <c r="AK193" s="29">
        <v>2008</v>
      </c>
      <c r="AL193" s="38" t="s">
        <v>45</v>
      </c>
      <c r="AM193" s="35">
        <f>+Tabla6[[#This Row],[Trenes Puntuales]]/Tabla6[[#This Row],[Trenes Programados]]</f>
        <v>0.96675031367628605</v>
      </c>
      <c r="AN193" s="35">
        <f>+Tabla6[[#This Row],[Trenes Puntuales]]/Tabla6[[#This Row],[Trenes Corridos]]</f>
        <v>0.97562519784742008</v>
      </c>
      <c r="AO193" s="35">
        <f>+Tabla6[[#This Row],[Trenes Corridos]]/Tabla6[[#This Row],[Trenes Programados]]</f>
        <v>0.99090338770388964</v>
      </c>
      <c r="AP193" s="20">
        <v>3188</v>
      </c>
      <c r="AQ193" s="27">
        <f t="shared" si="84"/>
        <v>29</v>
      </c>
      <c r="AR193" s="20">
        <v>3159</v>
      </c>
      <c r="AS193" s="20">
        <v>3082</v>
      </c>
      <c r="AT193" s="20">
        <f t="shared" si="85"/>
        <v>77</v>
      </c>
      <c r="AU193" s="20"/>
      <c r="AV193" s="5"/>
      <c r="AW193" s="29">
        <v>2008</v>
      </c>
      <c r="AX193" s="38" t="s">
        <v>45</v>
      </c>
      <c r="AY193" s="35">
        <f>+MIT_Vic_Cap[[#This Row],[Trenes Puntuales]]/MIT_Vic_Cap[[#This Row],[Trenes Programados]]</f>
        <v>0.93509127789046653</v>
      </c>
      <c r="AZ193" s="35">
        <f>+MIT_Vic_Cap[[#This Row],[Trenes Puntuales]]/MIT_Vic_Cap[[#This Row],[Trenes Corridos]]</f>
        <v>0.95051546391752573</v>
      </c>
      <c r="BA193" s="35">
        <f>+MIT_Vic_Cap[[#This Row],[Trenes Corridos]]/MIT_Vic_Cap[[#This Row],[Trenes Programados]]</f>
        <v>0.98377281947261663</v>
      </c>
      <c r="BB193" s="20">
        <v>986</v>
      </c>
      <c r="BC193" s="27">
        <f t="shared" si="86"/>
        <v>16</v>
      </c>
      <c r="BD193" s="20">
        <v>970</v>
      </c>
      <c r="BE193" s="20">
        <v>922</v>
      </c>
      <c r="BF193" s="20">
        <f t="shared" si="87"/>
        <v>48</v>
      </c>
      <c r="BG193" s="20"/>
      <c r="BH193" s="5"/>
      <c r="BI193" s="29">
        <v>2008</v>
      </c>
      <c r="BJ193" s="38" t="s">
        <v>45</v>
      </c>
      <c r="BK193" s="35">
        <f>+Tabla8[[#This Row],[Trenes Puntuales]]/Tabla8[[#This Row],[Trenes Programados]]</f>
        <v>0.88273615635179148</v>
      </c>
      <c r="BL193" s="35">
        <f>+Tabla8[[#This Row],[Trenes Puntuales]]/Tabla8[[#This Row],[Trenes Corridos]]</f>
        <v>0.90233074361820198</v>
      </c>
      <c r="BM193" s="35">
        <f>+Tabla8[[#This Row],[Trenes Corridos]]/Tabla8[[#This Row],[Trenes Programados]]</f>
        <v>0.9782844733984799</v>
      </c>
      <c r="BN193" s="20">
        <v>921</v>
      </c>
      <c r="BO193" s="27">
        <f t="shared" si="88"/>
        <v>20</v>
      </c>
      <c r="BP193" s="20">
        <v>901</v>
      </c>
      <c r="BQ193" s="20">
        <v>813</v>
      </c>
      <c r="BR193" s="20">
        <f t="shared" si="89"/>
        <v>88</v>
      </c>
      <c r="BS193" s="29"/>
    </row>
    <row r="194" spans="1:71" s="3" customFormat="1" ht="12.75">
      <c r="A194" s="3">
        <v>2008</v>
      </c>
      <c r="B194" s="38" t="s">
        <v>46</v>
      </c>
      <c r="C194" s="25">
        <f>+MITRE[[#This Row],[Trenes Puntuales]]/MITRE[[#This Row],[Trenes Programados]]</f>
        <v>0.89520938023450591</v>
      </c>
      <c r="D194" s="25">
        <f>+MITRE[[#This Row],[Trenes Puntuales]]/MITRE[[#This Row],[Trenes Corridos]]</f>
        <v>0.92367784306947809</v>
      </c>
      <c r="E194" s="25">
        <f>+MITRE[[#This Row],[Trenes Corridos]]/MITRE[[#This Row],[Trenes Programados]]</f>
        <v>0.96917922948073698</v>
      </c>
      <c r="F194" s="27">
        <f t="shared" si="45"/>
        <v>14925</v>
      </c>
      <c r="G194" s="27">
        <f t="shared" si="46"/>
        <v>460</v>
      </c>
      <c r="H194" s="27">
        <f t="shared" si="47"/>
        <v>14465</v>
      </c>
      <c r="I194" s="27">
        <f t="shared" si="48"/>
        <v>13361</v>
      </c>
      <c r="J194" s="27">
        <f t="shared" si="49"/>
        <v>1104</v>
      </c>
      <c r="K194" s="27"/>
      <c r="L194" s="4"/>
      <c r="M194" s="29">
        <v>2008</v>
      </c>
      <c r="N194" s="38" t="s">
        <v>46</v>
      </c>
      <c r="O194" s="35">
        <f>+Tabla4[[#This Row],[Trenes Puntuales]]/Tabla4[[#This Row],[Trenes Programados]]</f>
        <v>0.8978102189781022</v>
      </c>
      <c r="P194" s="35">
        <f>+Tabla4[[#This Row],[Trenes Puntuales]]/Tabla4[[#This Row],[Trenes Corridos]]</f>
        <v>0.92672819740064039</v>
      </c>
      <c r="Q194" s="35">
        <f>+Tabla4[[#This Row],[Trenes Corridos]]/Tabla4[[#This Row],[Trenes Programados]]</f>
        <v>0.9687956204379562</v>
      </c>
      <c r="R194" s="20">
        <v>5480</v>
      </c>
      <c r="S194" s="27">
        <f t="shared" si="80"/>
        <v>171</v>
      </c>
      <c r="T194" s="20">
        <v>5309</v>
      </c>
      <c r="U194" s="20">
        <v>4920</v>
      </c>
      <c r="V194" s="20">
        <f t="shared" si="81"/>
        <v>389</v>
      </c>
      <c r="W194" s="20"/>
      <c r="X194" s="5"/>
      <c r="Y194" s="29">
        <v>2008</v>
      </c>
      <c r="Z194" s="38" t="s">
        <v>46</v>
      </c>
      <c r="AA194" s="35">
        <f>+Tabla5[[#This Row],[Trenes Puntuales]]/Tabla5[[#This Row],[Trenes Programados]]</f>
        <v>0.87357630979498857</v>
      </c>
      <c r="AB194" s="35">
        <f>+Tabla5[[#This Row],[Trenes Puntuales]]/Tabla5[[#This Row],[Trenes Corridos]]</f>
        <v>0.89939024390243905</v>
      </c>
      <c r="AC194" s="35">
        <f>+Tabla5[[#This Row],[Trenes Corridos]]/Tabla5[[#This Row],[Trenes Programados]]</f>
        <v>0.97129840546697044</v>
      </c>
      <c r="AD194" s="20">
        <v>4390</v>
      </c>
      <c r="AE194" s="27">
        <f t="shared" si="82"/>
        <v>126</v>
      </c>
      <c r="AF194" s="20">
        <v>4264</v>
      </c>
      <c r="AG194" s="20">
        <v>3835</v>
      </c>
      <c r="AH194" s="20">
        <f t="shared" si="83"/>
        <v>429</v>
      </c>
      <c r="AI194" s="20"/>
      <c r="AJ194" s="5"/>
      <c r="AK194" s="29">
        <v>2008</v>
      </c>
      <c r="AL194" s="38" t="s">
        <v>46</v>
      </c>
      <c r="AM194" s="35">
        <f>+Tabla6[[#This Row],[Trenes Puntuales]]/Tabla6[[#This Row],[Trenes Programados]]</f>
        <v>0.92989165073295088</v>
      </c>
      <c r="AN194" s="35">
        <f>+Tabla6[[#This Row],[Trenes Puntuales]]/Tabla6[[#This Row],[Trenes Corridos]]</f>
        <v>0.95734908136482944</v>
      </c>
      <c r="AO194" s="35">
        <f>+Tabla6[[#This Row],[Trenes Corridos]]/Tabla6[[#This Row],[Trenes Programados]]</f>
        <v>0.97131931166347996</v>
      </c>
      <c r="AP194" s="20">
        <v>3138</v>
      </c>
      <c r="AQ194" s="27">
        <f t="shared" si="84"/>
        <v>90</v>
      </c>
      <c r="AR194" s="20">
        <v>3048</v>
      </c>
      <c r="AS194" s="20">
        <v>2918</v>
      </c>
      <c r="AT194" s="20">
        <f t="shared" si="85"/>
        <v>130</v>
      </c>
      <c r="AU194" s="20"/>
      <c r="AV194" s="5"/>
      <c r="AW194" s="29">
        <v>2008</v>
      </c>
      <c r="AX194" s="38" t="s">
        <v>46</v>
      </c>
      <c r="AY194" s="35">
        <f>+MIT_Vic_Cap[[#This Row],[Trenes Puntuales]]/MIT_Vic_Cap[[#This Row],[Trenes Programados]]</f>
        <v>0.88945752302968273</v>
      </c>
      <c r="AZ194" s="35">
        <f>+MIT_Vic_Cap[[#This Row],[Trenes Puntuales]]/MIT_Vic_Cap[[#This Row],[Trenes Corridos]]</f>
        <v>0.92841880341880345</v>
      </c>
      <c r="BA194" s="35">
        <f>+MIT_Vic_Cap[[#This Row],[Trenes Corridos]]/MIT_Vic_Cap[[#This Row],[Trenes Programados]]</f>
        <v>0.95803480040941658</v>
      </c>
      <c r="BB194" s="20">
        <v>977</v>
      </c>
      <c r="BC194" s="27">
        <f t="shared" si="86"/>
        <v>41</v>
      </c>
      <c r="BD194" s="20">
        <v>936</v>
      </c>
      <c r="BE194" s="20">
        <v>869</v>
      </c>
      <c r="BF194" s="20">
        <f t="shared" si="87"/>
        <v>67</v>
      </c>
      <c r="BG194" s="20"/>
      <c r="BH194" s="5"/>
      <c r="BI194" s="29">
        <v>2008</v>
      </c>
      <c r="BJ194" s="38" t="s">
        <v>46</v>
      </c>
      <c r="BK194" s="35">
        <f>+Tabla8[[#This Row],[Trenes Puntuales]]/Tabla8[[#This Row],[Trenes Programados]]</f>
        <v>0.87127659574468086</v>
      </c>
      <c r="BL194" s="35">
        <f>+Tabla8[[#This Row],[Trenes Puntuales]]/Tabla8[[#This Row],[Trenes Corridos]]</f>
        <v>0.90198237885462551</v>
      </c>
      <c r="BM194" s="35">
        <f>+Tabla8[[#This Row],[Trenes Corridos]]/Tabla8[[#This Row],[Trenes Programados]]</f>
        <v>0.96595744680851059</v>
      </c>
      <c r="BN194" s="20">
        <v>940</v>
      </c>
      <c r="BO194" s="27">
        <f t="shared" si="88"/>
        <v>32</v>
      </c>
      <c r="BP194" s="20">
        <v>908</v>
      </c>
      <c r="BQ194" s="20">
        <v>819</v>
      </c>
      <c r="BR194" s="20">
        <f t="shared" si="89"/>
        <v>89</v>
      </c>
      <c r="BS194" s="29"/>
    </row>
    <row r="195" spans="1:71" s="3" customFormat="1" ht="12.75">
      <c r="A195" s="3">
        <v>2008</v>
      </c>
      <c r="B195" s="38" t="s">
        <v>47</v>
      </c>
      <c r="C195" s="25">
        <f>+MITRE[[#This Row],[Trenes Puntuales]]/MITRE[[#This Row],[Trenes Programados]]</f>
        <v>0.91137496720020994</v>
      </c>
      <c r="D195" s="25">
        <f>+MITRE[[#This Row],[Trenes Puntuales]]/MITRE[[#This Row],[Trenes Corridos]]</f>
        <v>0.92336833709956134</v>
      </c>
      <c r="E195" s="25">
        <f>+MITRE[[#This Row],[Trenes Corridos]]/MITRE[[#This Row],[Trenes Programados]]</f>
        <v>0.98701128312778796</v>
      </c>
      <c r="F195" s="27">
        <f t="shared" si="45"/>
        <v>15244</v>
      </c>
      <c r="G195" s="27">
        <f t="shared" si="46"/>
        <v>198</v>
      </c>
      <c r="H195" s="27">
        <f t="shared" si="47"/>
        <v>15046</v>
      </c>
      <c r="I195" s="27">
        <f t="shared" si="48"/>
        <v>13893</v>
      </c>
      <c r="J195" s="27">
        <f t="shared" si="49"/>
        <v>1153</v>
      </c>
      <c r="K195" s="27"/>
      <c r="L195" s="4"/>
      <c r="M195" s="29">
        <v>2008</v>
      </c>
      <c r="N195" s="38" t="s">
        <v>47</v>
      </c>
      <c r="O195" s="35">
        <f>+Tabla4[[#This Row],[Trenes Puntuales]]/Tabla4[[#This Row],[Trenes Programados]]</f>
        <v>0.88640429338103754</v>
      </c>
      <c r="P195" s="35">
        <f>+Tabla4[[#This Row],[Trenes Puntuales]]/Tabla4[[#This Row],[Trenes Corridos]]</f>
        <v>0.90222141296431169</v>
      </c>
      <c r="Q195" s="35">
        <f>+Tabla4[[#This Row],[Trenes Corridos]]/Tabla4[[#This Row],[Trenes Programados]]</f>
        <v>0.98246869409660109</v>
      </c>
      <c r="R195" s="20">
        <v>5590</v>
      </c>
      <c r="S195" s="27">
        <f t="shared" si="80"/>
        <v>98</v>
      </c>
      <c r="T195" s="20">
        <v>5492</v>
      </c>
      <c r="U195" s="20">
        <v>4955</v>
      </c>
      <c r="V195" s="20">
        <f t="shared" si="81"/>
        <v>537</v>
      </c>
      <c r="W195" s="20"/>
      <c r="X195" s="5"/>
      <c r="Y195" s="29">
        <v>2008</v>
      </c>
      <c r="Z195" s="38" t="s">
        <v>47</v>
      </c>
      <c r="AA195" s="35">
        <f>+Tabla5[[#This Row],[Trenes Puntuales]]/Tabla5[[#This Row],[Trenes Programados]]</f>
        <v>0.91471310560392949</v>
      </c>
      <c r="AB195" s="35">
        <f>+Tabla5[[#This Row],[Trenes Puntuales]]/Tabla5[[#This Row],[Trenes Corridos]]</f>
        <v>0.92129525522824374</v>
      </c>
      <c r="AC195" s="35">
        <f>+Tabla5[[#This Row],[Trenes Corridos]]/Tabla5[[#This Row],[Trenes Programados]]</f>
        <v>0.99285554811341814</v>
      </c>
      <c r="AD195" s="20">
        <v>4479</v>
      </c>
      <c r="AE195" s="27">
        <f t="shared" si="82"/>
        <v>32</v>
      </c>
      <c r="AF195" s="20">
        <v>4447</v>
      </c>
      <c r="AG195" s="20">
        <v>4097</v>
      </c>
      <c r="AH195" s="20">
        <f t="shared" si="83"/>
        <v>350</v>
      </c>
      <c r="AI195" s="20"/>
      <c r="AJ195" s="5"/>
      <c r="AK195" s="29">
        <v>2008</v>
      </c>
      <c r="AL195" s="38" t="s">
        <v>47</v>
      </c>
      <c r="AM195" s="35">
        <f>+Tabla6[[#This Row],[Trenes Puntuales]]/Tabla6[[#This Row],[Trenes Programados]]</f>
        <v>0.94473765911207697</v>
      </c>
      <c r="AN195" s="35">
        <f>+Tabla6[[#This Row],[Trenes Puntuales]]/Tabla6[[#This Row],[Trenes Corridos]]</f>
        <v>0.95782184450739694</v>
      </c>
      <c r="AO195" s="35">
        <f>+Tabla6[[#This Row],[Trenes Corridos]]/Tabla6[[#This Row],[Trenes Programados]]</f>
        <v>0.98633964607264824</v>
      </c>
      <c r="AP195" s="20">
        <v>3221</v>
      </c>
      <c r="AQ195" s="27">
        <f t="shared" si="84"/>
        <v>44</v>
      </c>
      <c r="AR195" s="20">
        <v>3177</v>
      </c>
      <c r="AS195" s="20">
        <v>3043</v>
      </c>
      <c r="AT195" s="20">
        <f t="shared" si="85"/>
        <v>134</v>
      </c>
      <c r="AU195" s="20"/>
      <c r="AV195" s="5"/>
      <c r="AW195" s="29">
        <v>2008</v>
      </c>
      <c r="AX195" s="38" t="s">
        <v>47</v>
      </c>
      <c r="AY195" s="35">
        <f>+MIT_Vic_Cap[[#This Row],[Trenes Puntuales]]/MIT_Vic_Cap[[#This Row],[Trenes Programados]]</f>
        <v>0.94288577154308617</v>
      </c>
      <c r="AZ195" s="35">
        <f>+MIT_Vic_Cap[[#This Row],[Trenes Puntuales]]/MIT_Vic_Cap[[#This Row],[Trenes Corridos]]</f>
        <v>0.95242914979757087</v>
      </c>
      <c r="BA195" s="35">
        <f>+MIT_Vic_Cap[[#This Row],[Trenes Corridos]]/MIT_Vic_Cap[[#This Row],[Trenes Programados]]</f>
        <v>0.98997995991983967</v>
      </c>
      <c r="BB195" s="20">
        <v>998</v>
      </c>
      <c r="BC195" s="27">
        <f t="shared" si="86"/>
        <v>10</v>
      </c>
      <c r="BD195" s="20">
        <v>988</v>
      </c>
      <c r="BE195" s="20">
        <v>941</v>
      </c>
      <c r="BF195" s="20">
        <f t="shared" si="87"/>
        <v>47</v>
      </c>
      <c r="BG195" s="20"/>
      <c r="BH195" s="5"/>
      <c r="BI195" s="29">
        <v>2008</v>
      </c>
      <c r="BJ195" s="38" t="s">
        <v>47</v>
      </c>
      <c r="BK195" s="35">
        <f>+Tabla8[[#This Row],[Trenes Puntuales]]/Tabla8[[#This Row],[Trenes Programados]]</f>
        <v>0.89644351464435146</v>
      </c>
      <c r="BL195" s="35">
        <f>+Tabla8[[#This Row],[Trenes Puntuales]]/Tabla8[[#This Row],[Trenes Corridos]]</f>
        <v>0.90976645435244163</v>
      </c>
      <c r="BM195" s="35">
        <f>+Tabla8[[#This Row],[Trenes Corridos]]/Tabla8[[#This Row],[Trenes Programados]]</f>
        <v>0.9853556485355649</v>
      </c>
      <c r="BN195" s="20">
        <v>956</v>
      </c>
      <c r="BO195" s="27">
        <f t="shared" si="88"/>
        <v>14</v>
      </c>
      <c r="BP195" s="20">
        <v>942</v>
      </c>
      <c r="BQ195" s="20">
        <v>857</v>
      </c>
      <c r="BR195" s="20">
        <f t="shared" si="89"/>
        <v>85</v>
      </c>
      <c r="BS195" s="29"/>
    </row>
    <row r="196" spans="1:71" s="3" customFormat="1" ht="12.75">
      <c r="A196" s="3">
        <v>2008</v>
      </c>
      <c r="B196" s="38" t="s">
        <v>48</v>
      </c>
      <c r="C196" s="25">
        <f>+MITRE[[#This Row],[Trenes Puntuales]]/MITRE[[#This Row],[Trenes Programados]]</f>
        <v>0.90033518024488679</v>
      </c>
      <c r="D196" s="25">
        <f>+MITRE[[#This Row],[Trenes Puntuales]]/MITRE[[#This Row],[Trenes Corridos]]</f>
        <v>0.916829200334355</v>
      </c>
      <c r="E196" s="25">
        <f>+MITRE[[#This Row],[Trenes Corridos]]/MITRE[[#This Row],[Trenes Programados]]</f>
        <v>0.98200971338668852</v>
      </c>
      <c r="F196" s="27">
        <f t="shared" si="45"/>
        <v>14619</v>
      </c>
      <c r="G196" s="27">
        <f t="shared" si="46"/>
        <v>263</v>
      </c>
      <c r="H196" s="27">
        <f t="shared" si="47"/>
        <v>14356</v>
      </c>
      <c r="I196" s="27">
        <f t="shared" si="48"/>
        <v>13162</v>
      </c>
      <c r="J196" s="27">
        <f t="shared" si="49"/>
        <v>1194</v>
      </c>
      <c r="K196" s="27"/>
      <c r="L196" s="4"/>
      <c r="M196" s="29">
        <v>2008</v>
      </c>
      <c r="N196" s="38" t="s">
        <v>48</v>
      </c>
      <c r="O196" s="35">
        <f>+Tabla4[[#This Row],[Trenes Puntuales]]/Tabla4[[#This Row],[Trenes Programados]]</f>
        <v>0.86280373831775703</v>
      </c>
      <c r="P196" s="35">
        <f>+Tabla4[[#This Row],[Trenes Puntuales]]/Tabla4[[#This Row],[Trenes Corridos]]</f>
        <v>0.88463012648524342</v>
      </c>
      <c r="Q196" s="35">
        <f>+Tabla4[[#This Row],[Trenes Corridos]]/Tabla4[[#This Row],[Trenes Programados]]</f>
        <v>0.97532710280373835</v>
      </c>
      <c r="R196" s="20">
        <v>5350</v>
      </c>
      <c r="S196" s="27">
        <f t="shared" si="80"/>
        <v>132</v>
      </c>
      <c r="T196" s="20">
        <v>5218</v>
      </c>
      <c r="U196" s="20">
        <v>4616</v>
      </c>
      <c r="V196" s="20">
        <f t="shared" si="81"/>
        <v>602</v>
      </c>
      <c r="W196" s="20"/>
      <c r="X196" s="5"/>
      <c r="Y196" s="29">
        <v>2008</v>
      </c>
      <c r="Z196" s="38" t="s">
        <v>48</v>
      </c>
      <c r="AA196" s="35">
        <f>+Tabla5[[#This Row],[Trenes Puntuales]]/Tabla5[[#This Row],[Trenes Programados]]</f>
        <v>0.91362048894062864</v>
      </c>
      <c r="AB196" s="35">
        <f>+Tabla5[[#This Row],[Trenes Puntuales]]/Tabla5[[#This Row],[Trenes Corridos]]</f>
        <v>0.92177589852008457</v>
      </c>
      <c r="AC196" s="35">
        <f>+Tabla5[[#This Row],[Trenes Corridos]]/Tabla5[[#This Row],[Trenes Programados]]</f>
        <v>0.99115250291036083</v>
      </c>
      <c r="AD196" s="20">
        <v>4295</v>
      </c>
      <c r="AE196" s="27">
        <f t="shared" si="82"/>
        <v>38</v>
      </c>
      <c r="AF196" s="20">
        <v>4257</v>
      </c>
      <c r="AG196" s="20">
        <v>3924</v>
      </c>
      <c r="AH196" s="20">
        <f t="shared" si="83"/>
        <v>333</v>
      </c>
      <c r="AI196" s="20"/>
      <c r="AJ196" s="5"/>
      <c r="AK196" s="29">
        <v>2008</v>
      </c>
      <c r="AL196" s="38" t="s">
        <v>48</v>
      </c>
      <c r="AM196" s="35">
        <f>+Tabla6[[#This Row],[Trenes Puntuales]]/Tabla6[[#This Row],[Trenes Programados]]</f>
        <v>0.94943639291465376</v>
      </c>
      <c r="AN196" s="35">
        <f>+Tabla6[[#This Row],[Trenes Puntuales]]/Tabla6[[#This Row],[Trenes Corridos]]</f>
        <v>0.96560759908286931</v>
      </c>
      <c r="AO196" s="35">
        <f>+Tabla6[[#This Row],[Trenes Corridos]]/Tabla6[[#This Row],[Trenes Programados]]</f>
        <v>0.98325281803542675</v>
      </c>
      <c r="AP196" s="20">
        <v>3105</v>
      </c>
      <c r="AQ196" s="27">
        <f t="shared" si="84"/>
        <v>52</v>
      </c>
      <c r="AR196" s="20">
        <v>3053</v>
      </c>
      <c r="AS196" s="20">
        <v>2948</v>
      </c>
      <c r="AT196" s="20">
        <f t="shared" si="85"/>
        <v>105</v>
      </c>
      <c r="AU196" s="20"/>
      <c r="AV196" s="5"/>
      <c r="AW196" s="29">
        <v>2008</v>
      </c>
      <c r="AX196" s="38" t="s">
        <v>48</v>
      </c>
      <c r="AY196" s="35">
        <f>+MIT_Vic_Cap[[#This Row],[Trenes Puntuales]]/MIT_Vic_Cap[[#This Row],[Trenes Programados]]</f>
        <v>0.94605809128630702</v>
      </c>
      <c r="AZ196" s="35">
        <f>+MIT_Vic_Cap[[#This Row],[Trenes Puntuales]]/MIT_Vic_Cap[[#This Row],[Trenes Corridos]]</f>
        <v>0.95697796432318993</v>
      </c>
      <c r="BA196" s="35">
        <f>+MIT_Vic_Cap[[#This Row],[Trenes Corridos]]/MIT_Vic_Cap[[#This Row],[Trenes Programados]]</f>
        <v>0.9885892116182573</v>
      </c>
      <c r="BB196" s="20">
        <v>964</v>
      </c>
      <c r="BC196" s="27">
        <f t="shared" si="86"/>
        <v>11</v>
      </c>
      <c r="BD196" s="20">
        <v>953</v>
      </c>
      <c r="BE196" s="20">
        <v>912</v>
      </c>
      <c r="BF196" s="20">
        <f t="shared" si="87"/>
        <v>41</v>
      </c>
      <c r="BG196" s="20"/>
      <c r="BH196" s="5"/>
      <c r="BI196" s="29">
        <v>2008</v>
      </c>
      <c r="BJ196" s="38" t="s">
        <v>48</v>
      </c>
      <c r="BK196" s="35">
        <f>+Tabla8[[#This Row],[Trenes Puntuales]]/Tabla8[[#This Row],[Trenes Programados]]</f>
        <v>0.8419889502762431</v>
      </c>
      <c r="BL196" s="35">
        <f>+Tabla8[[#This Row],[Trenes Puntuales]]/Tabla8[[#This Row],[Trenes Corridos]]</f>
        <v>0.87085714285714289</v>
      </c>
      <c r="BM196" s="35">
        <f>+Tabla8[[#This Row],[Trenes Corridos]]/Tabla8[[#This Row],[Trenes Programados]]</f>
        <v>0.96685082872928174</v>
      </c>
      <c r="BN196" s="20">
        <v>905</v>
      </c>
      <c r="BO196" s="27">
        <f t="shared" si="88"/>
        <v>30</v>
      </c>
      <c r="BP196" s="20">
        <v>875</v>
      </c>
      <c r="BQ196" s="20">
        <v>762</v>
      </c>
      <c r="BR196" s="20">
        <f t="shared" si="89"/>
        <v>113</v>
      </c>
      <c r="BS196" s="29"/>
    </row>
    <row r="197" spans="1:71" s="3" customFormat="1" ht="12.75">
      <c r="A197" s="3">
        <v>2008</v>
      </c>
      <c r="B197" s="38" t="s">
        <v>49</v>
      </c>
      <c r="C197" s="25">
        <f>+MITRE[[#This Row],[Trenes Puntuales]]/MITRE[[#This Row],[Trenes Programados]]</f>
        <v>0.90374832663989291</v>
      </c>
      <c r="D197" s="25">
        <f>+MITRE[[#This Row],[Trenes Puntuales]]/MITRE[[#This Row],[Trenes Corridos]]</f>
        <v>0.92612662048151451</v>
      </c>
      <c r="E197" s="25">
        <f>+MITRE[[#This Row],[Trenes Corridos]]/MITRE[[#This Row],[Trenes Programados]]</f>
        <v>0.97583668005354751</v>
      </c>
      <c r="F197" s="27">
        <f t="shared" si="45"/>
        <v>14940</v>
      </c>
      <c r="G197" s="27">
        <f t="shared" si="46"/>
        <v>361</v>
      </c>
      <c r="H197" s="27">
        <f t="shared" si="47"/>
        <v>14579</v>
      </c>
      <c r="I197" s="27">
        <f t="shared" si="48"/>
        <v>13502</v>
      </c>
      <c r="J197" s="27">
        <f t="shared" si="49"/>
        <v>1077</v>
      </c>
      <c r="K197" s="27"/>
      <c r="L197" s="4"/>
      <c r="M197" s="29">
        <v>2008</v>
      </c>
      <c r="N197" s="38" t="s">
        <v>49</v>
      </c>
      <c r="O197" s="35">
        <f>+Tabla4[[#This Row],[Trenes Puntuales]]/Tabla4[[#This Row],[Trenes Programados]]</f>
        <v>0.88736263736263732</v>
      </c>
      <c r="P197" s="35">
        <f>+Tabla4[[#This Row],[Trenes Puntuales]]/Tabla4[[#This Row],[Trenes Corridos]]</f>
        <v>0.90798350824587704</v>
      </c>
      <c r="Q197" s="35">
        <f>+Tabla4[[#This Row],[Trenes Corridos]]/Tabla4[[#This Row],[Trenes Programados]]</f>
        <v>0.97728937728937726</v>
      </c>
      <c r="R197" s="20">
        <v>5460</v>
      </c>
      <c r="S197" s="27">
        <f t="shared" si="80"/>
        <v>124</v>
      </c>
      <c r="T197" s="20">
        <v>5336</v>
      </c>
      <c r="U197" s="20">
        <v>4845</v>
      </c>
      <c r="V197" s="20">
        <f t="shared" si="81"/>
        <v>491</v>
      </c>
      <c r="W197" s="20"/>
      <c r="X197" s="5"/>
      <c r="Y197" s="29">
        <v>2008</v>
      </c>
      <c r="Z197" s="38" t="s">
        <v>49</v>
      </c>
      <c r="AA197" s="35">
        <f>+Tabla5[[#This Row],[Trenes Puntuales]]/Tabla5[[#This Row],[Trenes Programados]]</f>
        <v>0.90328467153284675</v>
      </c>
      <c r="AB197" s="35">
        <f>+Tabla5[[#This Row],[Trenes Puntuales]]/Tabla5[[#This Row],[Trenes Corridos]]</f>
        <v>0.92544987146529567</v>
      </c>
      <c r="AC197" s="35">
        <f>+Tabla5[[#This Row],[Trenes Corridos]]/Tabla5[[#This Row],[Trenes Programados]]</f>
        <v>0.97604927007299269</v>
      </c>
      <c r="AD197" s="20">
        <v>4384</v>
      </c>
      <c r="AE197" s="27">
        <f t="shared" si="82"/>
        <v>105</v>
      </c>
      <c r="AF197" s="20">
        <v>4279</v>
      </c>
      <c r="AG197" s="20">
        <v>3960</v>
      </c>
      <c r="AH197" s="20">
        <f t="shared" si="83"/>
        <v>319</v>
      </c>
      <c r="AI197" s="20"/>
      <c r="AJ197" s="5"/>
      <c r="AK197" s="29">
        <v>2008</v>
      </c>
      <c r="AL197" s="38" t="s">
        <v>49</v>
      </c>
      <c r="AM197" s="35">
        <f>+Tabla6[[#This Row],[Trenes Puntuales]]/Tabla6[[#This Row],[Trenes Programados]]</f>
        <v>0.94228356336260977</v>
      </c>
      <c r="AN197" s="35">
        <f>+Tabla6[[#This Row],[Trenes Puntuales]]/Tabla6[[#This Row],[Trenes Corridos]]</f>
        <v>0.96282051282051284</v>
      </c>
      <c r="AO197" s="35">
        <f>+Tabla6[[#This Row],[Trenes Corridos]]/Tabla6[[#This Row],[Trenes Programados]]</f>
        <v>0.97867001254705144</v>
      </c>
      <c r="AP197" s="20">
        <v>3188</v>
      </c>
      <c r="AQ197" s="27">
        <f t="shared" si="84"/>
        <v>68</v>
      </c>
      <c r="AR197" s="20">
        <v>3120</v>
      </c>
      <c r="AS197" s="20">
        <v>3004</v>
      </c>
      <c r="AT197" s="20">
        <f t="shared" si="85"/>
        <v>116</v>
      </c>
      <c r="AU197" s="20"/>
      <c r="AV197" s="5"/>
      <c r="AW197" s="29">
        <v>2008</v>
      </c>
      <c r="AX197" s="38" t="s">
        <v>49</v>
      </c>
      <c r="AY197" s="35">
        <f>+MIT_Vic_Cap[[#This Row],[Trenes Puntuales]]/MIT_Vic_Cap[[#This Row],[Trenes Programados]]</f>
        <v>0.91894630192502536</v>
      </c>
      <c r="AZ197" s="35">
        <f>+MIT_Vic_Cap[[#This Row],[Trenes Puntuales]]/MIT_Vic_Cap[[#This Row],[Trenes Corridos]]</f>
        <v>0.95273109243697474</v>
      </c>
      <c r="BA197" s="35">
        <f>+MIT_Vic_Cap[[#This Row],[Trenes Corridos]]/MIT_Vic_Cap[[#This Row],[Trenes Programados]]</f>
        <v>0.96453900709219853</v>
      </c>
      <c r="BB197" s="20">
        <v>987</v>
      </c>
      <c r="BC197" s="27">
        <f t="shared" si="86"/>
        <v>35</v>
      </c>
      <c r="BD197" s="20">
        <v>952</v>
      </c>
      <c r="BE197" s="20">
        <v>907</v>
      </c>
      <c r="BF197" s="20">
        <f t="shared" si="87"/>
        <v>45</v>
      </c>
      <c r="BG197" s="20"/>
      <c r="BH197" s="5"/>
      <c r="BI197" s="29">
        <v>2008</v>
      </c>
      <c r="BJ197" s="38" t="s">
        <v>49</v>
      </c>
      <c r="BK197" s="35">
        <f>+Tabla8[[#This Row],[Trenes Puntuales]]/Tabla8[[#This Row],[Trenes Programados]]</f>
        <v>0.85342019543973946</v>
      </c>
      <c r="BL197" s="35">
        <f>+Tabla8[[#This Row],[Trenes Puntuales]]/Tabla8[[#This Row],[Trenes Corridos]]</f>
        <v>0.8811659192825112</v>
      </c>
      <c r="BM197" s="35">
        <f>+Tabla8[[#This Row],[Trenes Corridos]]/Tabla8[[#This Row],[Trenes Programados]]</f>
        <v>0.96851248642779586</v>
      </c>
      <c r="BN197" s="20">
        <v>921</v>
      </c>
      <c r="BO197" s="27">
        <f t="shared" si="88"/>
        <v>29</v>
      </c>
      <c r="BP197" s="20">
        <v>892</v>
      </c>
      <c r="BQ197" s="20">
        <v>786</v>
      </c>
      <c r="BR197" s="20">
        <f t="shared" si="89"/>
        <v>106</v>
      </c>
      <c r="BS197" s="29"/>
    </row>
    <row r="198" spans="1:71" s="3" customFormat="1" ht="12.75">
      <c r="A198" s="3">
        <v>2009</v>
      </c>
      <c r="B198" s="38" t="s">
        <v>38</v>
      </c>
      <c r="C198" s="25">
        <f>+MITRE[[#This Row],[Trenes Puntuales]]/MITRE[[#This Row],[Trenes Programados]]</f>
        <v>0.8966157929661579</v>
      </c>
      <c r="D198" s="25">
        <f>+MITRE[[#This Row],[Trenes Puntuales]]/MITRE[[#This Row],[Trenes Corridos]]</f>
        <v>0.91774774162874417</v>
      </c>
      <c r="E198" s="25">
        <f>+MITRE[[#This Row],[Trenes Corridos]]/MITRE[[#This Row],[Trenes Programados]]</f>
        <v>0.97697412076974122</v>
      </c>
      <c r="F198" s="27">
        <f t="shared" si="45"/>
        <v>15070</v>
      </c>
      <c r="G198" s="27">
        <f t="shared" si="46"/>
        <v>347</v>
      </c>
      <c r="H198" s="27">
        <f t="shared" si="47"/>
        <v>14723</v>
      </c>
      <c r="I198" s="27">
        <f t="shared" si="48"/>
        <v>13512</v>
      </c>
      <c r="J198" s="27">
        <f t="shared" si="49"/>
        <v>1211</v>
      </c>
      <c r="K198" s="27"/>
      <c r="L198" s="4"/>
      <c r="M198" s="29">
        <v>2009</v>
      </c>
      <c r="N198" s="38" t="s">
        <v>38</v>
      </c>
      <c r="O198" s="35">
        <f>+Tabla4[[#This Row],[Trenes Puntuales]]/Tabla4[[#This Row],[Trenes Programados]]</f>
        <v>0.85226860254083481</v>
      </c>
      <c r="P198" s="35">
        <f>+Tabla4[[#This Row],[Trenes Puntuales]]/Tabla4[[#This Row],[Trenes Corridos]]</f>
        <v>0.88138138138138133</v>
      </c>
      <c r="Q198" s="35">
        <f>+Tabla4[[#This Row],[Trenes Corridos]]/Tabla4[[#This Row],[Trenes Programados]]</f>
        <v>0.96696914700544467</v>
      </c>
      <c r="R198" s="20">
        <v>5510</v>
      </c>
      <c r="S198" s="27">
        <f t="shared" ref="S198:S209" si="90">R198-T198</f>
        <v>182</v>
      </c>
      <c r="T198" s="20">
        <v>5328</v>
      </c>
      <c r="U198" s="20">
        <v>4696</v>
      </c>
      <c r="V198" s="20">
        <f t="shared" ref="V198:V209" si="91">T198-U198</f>
        <v>632</v>
      </c>
      <c r="W198" s="20"/>
      <c r="X198" s="5"/>
      <c r="Y198" s="29">
        <v>2009</v>
      </c>
      <c r="Z198" s="38" t="s">
        <v>38</v>
      </c>
      <c r="AA198" s="35">
        <f>+Tabla5[[#This Row],[Trenes Puntuales]]/Tabla5[[#This Row],[Trenes Programados]]</f>
        <v>0.92120117407992774</v>
      </c>
      <c r="AB198" s="35">
        <f>+Tabla5[[#This Row],[Trenes Puntuales]]/Tabla5[[#This Row],[Trenes Corridos]]</f>
        <v>0.934493815849748</v>
      </c>
      <c r="AC198" s="35">
        <f>+Tabla5[[#This Row],[Trenes Corridos]]/Tabla5[[#This Row],[Trenes Programados]]</f>
        <v>0.98577557010611871</v>
      </c>
      <c r="AD198" s="20">
        <v>4429</v>
      </c>
      <c r="AE198" s="27">
        <f t="shared" ref="AE198:AE209" si="92">AD198-AF198</f>
        <v>63</v>
      </c>
      <c r="AF198" s="20">
        <v>4366</v>
      </c>
      <c r="AG198" s="20">
        <v>4080</v>
      </c>
      <c r="AH198" s="20">
        <f t="shared" ref="AH198:AH209" si="93">AF198-AG198</f>
        <v>286</v>
      </c>
      <c r="AI198" s="20"/>
      <c r="AJ198" s="5"/>
      <c r="AK198" s="29">
        <v>2009</v>
      </c>
      <c r="AL198" s="38" t="s">
        <v>38</v>
      </c>
      <c r="AM198" s="35">
        <f>+Tabla6[[#This Row],[Trenes Puntuales]]/Tabla6[[#This Row],[Trenes Programados]]</f>
        <v>0.9448082319925164</v>
      </c>
      <c r="AN198" s="35">
        <f>+Tabla6[[#This Row],[Trenes Puntuales]]/Tabla6[[#This Row],[Trenes Corridos]]</f>
        <v>0.96466093600764091</v>
      </c>
      <c r="AO198" s="35">
        <f>+Tabla6[[#This Row],[Trenes Corridos]]/Tabla6[[#This Row],[Trenes Programados]]</f>
        <v>0.97942001870907391</v>
      </c>
      <c r="AP198" s="20">
        <v>3207</v>
      </c>
      <c r="AQ198" s="27">
        <f t="shared" ref="AQ198:AQ209" si="94">AP198-AR198</f>
        <v>66</v>
      </c>
      <c r="AR198" s="20">
        <v>3141</v>
      </c>
      <c r="AS198" s="20">
        <v>3030</v>
      </c>
      <c r="AT198" s="20">
        <f t="shared" ref="AT198:AT209" si="95">AR198-AS198</f>
        <v>111</v>
      </c>
      <c r="AU198" s="20"/>
      <c r="AV198" s="5"/>
      <c r="AW198" s="29">
        <v>2009</v>
      </c>
      <c r="AX198" s="38" t="s">
        <v>38</v>
      </c>
      <c r="AY198" s="35">
        <f>+MIT_Vic_Cap[[#This Row],[Trenes Puntuales]]/MIT_Vic_Cap[[#This Row],[Trenes Programados]]</f>
        <v>0.90080160320641278</v>
      </c>
      <c r="AZ198" s="35">
        <f>+MIT_Vic_Cap[[#This Row],[Trenes Puntuales]]/MIT_Vic_Cap[[#This Row],[Trenes Corridos]]</f>
        <v>0.9182839632277835</v>
      </c>
      <c r="BA198" s="35">
        <f>+MIT_Vic_Cap[[#This Row],[Trenes Corridos]]/MIT_Vic_Cap[[#This Row],[Trenes Programados]]</f>
        <v>0.98096192384769543</v>
      </c>
      <c r="BB198" s="20">
        <v>998</v>
      </c>
      <c r="BC198" s="27">
        <f t="shared" ref="BC198:BC209" si="96">BB198-BD198</f>
        <v>19</v>
      </c>
      <c r="BD198" s="20">
        <v>979</v>
      </c>
      <c r="BE198" s="20">
        <v>899</v>
      </c>
      <c r="BF198" s="20">
        <f t="shared" ref="BF198:BF209" si="97">BD198-BE198</f>
        <v>80</v>
      </c>
      <c r="BG198" s="20"/>
      <c r="BH198" s="5"/>
      <c r="BI198" s="29">
        <v>2009</v>
      </c>
      <c r="BJ198" s="38" t="s">
        <v>38</v>
      </c>
      <c r="BK198" s="35">
        <f>+Tabla8[[#This Row],[Trenes Puntuales]]/Tabla8[[#This Row],[Trenes Programados]]</f>
        <v>0.87149028077753776</v>
      </c>
      <c r="BL198" s="35">
        <f>+Tabla8[[#This Row],[Trenes Puntuales]]/Tabla8[[#This Row],[Trenes Corridos]]</f>
        <v>0.88778877887788776</v>
      </c>
      <c r="BM198" s="35">
        <f>+Tabla8[[#This Row],[Trenes Corridos]]/Tabla8[[#This Row],[Trenes Programados]]</f>
        <v>0.98164146868250535</v>
      </c>
      <c r="BN198" s="20">
        <v>926</v>
      </c>
      <c r="BO198" s="27">
        <f t="shared" ref="BO198:BO209" si="98">BN198-BP198</f>
        <v>17</v>
      </c>
      <c r="BP198" s="20">
        <v>909</v>
      </c>
      <c r="BQ198" s="20">
        <v>807</v>
      </c>
      <c r="BR198" s="20">
        <f t="shared" ref="BR198:BR209" si="99">BP198-BQ198</f>
        <v>102</v>
      </c>
      <c r="BS198" s="29"/>
    </row>
    <row r="199" spans="1:71" s="3" customFormat="1" ht="12.75">
      <c r="A199" s="3">
        <v>2009</v>
      </c>
      <c r="B199" s="38" t="s">
        <v>39</v>
      </c>
      <c r="C199" s="25">
        <f>+MITRE[[#This Row],[Trenes Puntuales]]/MITRE[[#This Row],[Trenes Programados]]</f>
        <v>0.90460716348931258</v>
      </c>
      <c r="D199" s="25">
        <f>+MITRE[[#This Row],[Trenes Puntuales]]/MITRE[[#This Row],[Trenes Corridos]]</f>
        <v>0.9194803288314739</v>
      </c>
      <c r="E199" s="25">
        <f>+MITRE[[#This Row],[Trenes Corridos]]/MITRE[[#This Row],[Trenes Programados]]</f>
        <v>0.98382437897169261</v>
      </c>
      <c r="F199" s="27">
        <f t="shared" si="45"/>
        <v>13848</v>
      </c>
      <c r="G199" s="27">
        <f t="shared" si="46"/>
        <v>224</v>
      </c>
      <c r="H199" s="27">
        <f t="shared" si="47"/>
        <v>13624</v>
      </c>
      <c r="I199" s="27">
        <f t="shared" si="48"/>
        <v>12527</v>
      </c>
      <c r="J199" s="27">
        <f t="shared" si="49"/>
        <v>1097</v>
      </c>
      <c r="K199" s="27"/>
      <c r="L199" s="4"/>
      <c r="M199" s="29">
        <v>2009</v>
      </c>
      <c r="N199" s="38" t="s">
        <v>39</v>
      </c>
      <c r="O199" s="35">
        <f>+Tabla4[[#This Row],[Trenes Puntuales]]/Tabla4[[#This Row],[Trenes Programados]]</f>
        <v>0.89251968503937007</v>
      </c>
      <c r="P199" s="35">
        <f>+Tabla4[[#This Row],[Trenes Puntuales]]/Tabla4[[#This Row],[Trenes Corridos]]</f>
        <v>0.9095285857572718</v>
      </c>
      <c r="Q199" s="35">
        <f>+Tabla4[[#This Row],[Trenes Corridos]]/Tabla4[[#This Row],[Trenes Programados]]</f>
        <v>0.98129921259842523</v>
      </c>
      <c r="R199" s="20">
        <v>5080</v>
      </c>
      <c r="S199" s="27">
        <f t="shared" si="90"/>
        <v>95</v>
      </c>
      <c r="T199" s="20">
        <v>4985</v>
      </c>
      <c r="U199" s="20">
        <v>4534</v>
      </c>
      <c r="V199" s="20">
        <f t="shared" si="91"/>
        <v>451</v>
      </c>
      <c r="W199" s="20"/>
      <c r="X199" s="5"/>
      <c r="Y199" s="29">
        <v>2009</v>
      </c>
      <c r="Z199" s="38" t="s">
        <v>39</v>
      </c>
      <c r="AA199" s="35">
        <f>+Tabla5[[#This Row],[Trenes Puntuales]]/Tabla5[[#This Row],[Trenes Programados]]</f>
        <v>0.89611984282907664</v>
      </c>
      <c r="AB199" s="35">
        <f>+Tabla5[[#This Row],[Trenes Puntuales]]/Tabla5[[#This Row],[Trenes Corridos]]</f>
        <v>0.91156632525605796</v>
      </c>
      <c r="AC199" s="35">
        <f>+Tabla5[[#This Row],[Trenes Corridos]]/Tabla5[[#This Row],[Trenes Programados]]</f>
        <v>0.98305500982318272</v>
      </c>
      <c r="AD199" s="20">
        <v>4072</v>
      </c>
      <c r="AE199" s="27">
        <f t="shared" si="92"/>
        <v>69</v>
      </c>
      <c r="AF199" s="20">
        <v>4003</v>
      </c>
      <c r="AG199" s="20">
        <v>3649</v>
      </c>
      <c r="AH199" s="20">
        <f t="shared" si="93"/>
        <v>354</v>
      </c>
      <c r="AI199" s="20"/>
      <c r="AJ199" s="5"/>
      <c r="AK199" s="29">
        <v>2009</v>
      </c>
      <c r="AL199" s="38" t="s">
        <v>39</v>
      </c>
      <c r="AM199" s="35">
        <f>+Tabla6[[#This Row],[Trenes Puntuales]]/Tabla6[[#This Row],[Trenes Programados]]</f>
        <v>0.95376712328767121</v>
      </c>
      <c r="AN199" s="35">
        <f>+Tabla6[[#This Row],[Trenes Puntuales]]/Tabla6[[#This Row],[Trenes Corridos]]</f>
        <v>0.96500346500346501</v>
      </c>
      <c r="AO199" s="35">
        <f>+Tabla6[[#This Row],[Trenes Corridos]]/Tabla6[[#This Row],[Trenes Programados]]</f>
        <v>0.98835616438356166</v>
      </c>
      <c r="AP199" s="20">
        <v>2920</v>
      </c>
      <c r="AQ199" s="27">
        <f t="shared" si="94"/>
        <v>34</v>
      </c>
      <c r="AR199" s="20">
        <v>2886</v>
      </c>
      <c r="AS199" s="20">
        <v>2785</v>
      </c>
      <c r="AT199" s="20">
        <f t="shared" si="95"/>
        <v>101</v>
      </c>
      <c r="AU199" s="20"/>
      <c r="AV199" s="5"/>
      <c r="AW199" s="29">
        <v>2009</v>
      </c>
      <c r="AX199" s="38" t="s">
        <v>39</v>
      </c>
      <c r="AY199" s="35">
        <f>+MIT_Vic_Cap[[#This Row],[Trenes Puntuales]]/MIT_Vic_Cap[[#This Row],[Trenes Programados]]</f>
        <v>0.92841409691629961</v>
      </c>
      <c r="AZ199" s="35">
        <f>+MIT_Vic_Cap[[#This Row],[Trenes Puntuales]]/MIT_Vic_Cap[[#This Row],[Trenes Corridos]]</f>
        <v>0.9408482142857143</v>
      </c>
      <c r="BA199" s="35">
        <f>+MIT_Vic_Cap[[#This Row],[Trenes Corridos]]/MIT_Vic_Cap[[#This Row],[Trenes Programados]]</f>
        <v>0.986784140969163</v>
      </c>
      <c r="BB199" s="20">
        <v>908</v>
      </c>
      <c r="BC199" s="27">
        <f t="shared" si="96"/>
        <v>12</v>
      </c>
      <c r="BD199" s="20">
        <v>896</v>
      </c>
      <c r="BE199" s="20">
        <v>843</v>
      </c>
      <c r="BF199" s="20">
        <f t="shared" si="97"/>
        <v>53</v>
      </c>
      <c r="BG199" s="20"/>
      <c r="BH199" s="5"/>
      <c r="BI199" s="29">
        <v>2009</v>
      </c>
      <c r="BJ199" s="38" t="s">
        <v>39</v>
      </c>
      <c r="BK199" s="35">
        <f>+Tabla8[[#This Row],[Trenes Puntuales]]/Tabla8[[#This Row],[Trenes Programados]]</f>
        <v>0.82488479262672809</v>
      </c>
      <c r="BL199" s="35">
        <f>+Tabla8[[#This Row],[Trenes Puntuales]]/Tabla8[[#This Row],[Trenes Corridos]]</f>
        <v>0.83840749414519911</v>
      </c>
      <c r="BM199" s="35">
        <f>+Tabla8[[#This Row],[Trenes Corridos]]/Tabla8[[#This Row],[Trenes Programados]]</f>
        <v>0.9838709677419355</v>
      </c>
      <c r="BN199" s="20">
        <v>868</v>
      </c>
      <c r="BO199" s="27">
        <f t="shared" si="98"/>
        <v>14</v>
      </c>
      <c r="BP199" s="20">
        <v>854</v>
      </c>
      <c r="BQ199" s="20">
        <v>716</v>
      </c>
      <c r="BR199" s="20">
        <f t="shared" si="99"/>
        <v>138</v>
      </c>
      <c r="BS199" s="29"/>
    </row>
    <row r="200" spans="1:71" s="3" customFormat="1" ht="12.75">
      <c r="A200" s="3">
        <v>2009</v>
      </c>
      <c r="B200" s="38" t="s">
        <v>40</v>
      </c>
      <c r="C200" s="25">
        <f>+MITRE[[#This Row],[Trenes Puntuales]]/MITRE[[#This Row],[Trenes Programados]]</f>
        <v>0.87456747404844293</v>
      </c>
      <c r="D200" s="25">
        <f>+MITRE[[#This Row],[Trenes Puntuales]]/MITRE[[#This Row],[Trenes Corridos]]</f>
        <v>0.88954314720812178</v>
      </c>
      <c r="E200" s="25">
        <f>+MITRE[[#This Row],[Trenes Corridos]]/MITRE[[#This Row],[Trenes Programados]]</f>
        <v>0.98316475911631618</v>
      </c>
      <c r="F200" s="27">
        <f t="shared" si="45"/>
        <v>15028</v>
      </c>
      <c r="G200" s="27">
        <f t="shared" si="46"/>
        <v>253</v>
      </c>
      <c r="H200" s="27">
        <f t="shared" si="47"/>
        <v>14775</v>
      </c>
      <c r="I200" s="27">
        <f t="shared" si="48"/>
        <v>13143</v>
      </c>
      <c r="J200" s="27">
        <f t="shared" si="49"/>
        <v>1632</v>
      </c>
      <c r="K200" s="27"/>
      <c r="L200" s="4"/>
      <c r="M200" s="29">
        <v>2009</v>
      </c>
      <c r="N200" s="38" t="s">
        <v>40</v>
      </c>
      <c r="O200" s="35">
        <f>+Tabla4[[#This Row],[Trenes Puntuales]]/Tabla4[[#This Row],[Trenes Programados]]</f>
        <v>0.88454545454545452</v>
      </c>
      <c r="P200" s="35">
        <f>+Tabla4[[#This Row],[Trenes Puntuales]]/Tabla4[[#This Row],[Trenes Corridos]]</f>
        <v>0.90326773115484593</v>
      </c>
      <c r="Q200" s="35">
        <f>+Tabla4[[#This Row],[Trenes Corridos]]/Tabla4[[#This Row],[Trenes Programados]]</f>
        <v>0.97927272727272729</v>
      </c>
      <c r="R200" s="20">
        <v>5500</v>
      </c>
      <c r="S200" s="27">
        <f t="shared" si="90"/>
        <v>114</v>
      </c>
      <c r="T200" s="20">
        <v>5386</v>
      </c>
      <c r="U200" s="20">
        <v>4865</v>
      </c>
      <c r="V200" s="20">
        <f t="shared" si="91"/>
        <v>521</v>
      </c>
      <c r="W200" s="20"/>
      <c r="X200" s="5"/>
      <c r="Y200" s="29">
        <v>2009</v>
      </c>
      <c r="Z200" s="38" t="s">
        <v>40</v>
      </c>
      <c r="AA200" s="35">
        <f>+Tabla5[[#This Row],[Trenes Puntuales]]/Tabla5[[#This Row],[Trenes Programados]]</f>
        <v>0.84939895667951915</v>
      </c>
      <c r="AB200" s="35">
        <f>+Tabla5[[#This Row],[Trenes Puntuales]]/Tabla5[[#This Row],[Trenes Corridos]]</f>
        <v>0.85894495412844041</v>
      </c>
      <c r="AC200" s="35">
        <f>+Tabla5[[#This Row],[Trenes Corridos]]/Tabla5[[#This Row],[Trenes Programados]]</f>
        <v>0.98888636879110914</v>
      </c>
      <c r="AD200" s="20">
        <v>4409</v>
      </c>
      <c r="AE200" s="27">
        <f t="shared" si="92"/>
        <v>49</v>
      </c>
      <c r="AF200" s="20">
        <v>4360</v>
      </c>
      <c r="AG200" s="20">
        <v>3745</v>
      </c>
      <c r="AH200" s="20">
        <f t="shared" si="93"/>
        <v>615</v>
      </c>
      <c r="AI200" s="20"/>
      <c r="AJ200" s="5"/>
      <c r="AK200" s="29">
        <v>2009</v>
      </c>
      <c r="AL200" s="38" t="s">
        <v>40</v>
      </c>
      <c r="AM200" s="35">
        <f>+Tabla6[[#This Row],[Trenes Puntuales]]/Tabla6[[#This Row],[Trenes Programados]]</f>
        <v>0.91392801251956179</v>
      </c>
      <c r="AN200" s="35">
        <f>+Tabla6[[#This Row],[Trenes Puntuales]]/Tabla6[[#This Row],[Trenes Corridos]]</f>
        <v>0.92610212496035527</v>
      </c>
      <c r="AO200" s="35">
        <f>+Tabla6[[#This Row],[Trenes Corridos]]/Tabla6[[#This Row],[Trenes Programados]]</f>
        <v>0.98685446009389677</v>
      </c>
      <c r="AP200" s="20">
        <v>3195</v>
      </c>
      <c r="AQ200" s="27">
        <f t="shared" si="94"/>
        <v>42</v>
      </c>
      <c r="AR200" s="20">
        <v>3153</v>
      </c>
      <c r="AS200" s="20">
        <v>2920</v>
      </c>
      <c r="AT200" s="20">
        <f t="shared" si="95"/>
        <v>233</v>
      </c>
      <c r="AU200" s="20"/>
      <c r="AV200" s="5"/>
      <c r="AW200" s="29">
        <v>2009</v>
      </c>
      <c r="AX200" s="38" t="s">
        <v>40</v>
      </c>
      <c r="AY200" s="35">
        <f>+MIT_Vic_Cap[[#This Row],[Trenes Puntuales]]/MIT_Vic_Cap[[#This Row],[Trenes Programados]]</f>
        <v>0.95344129554655865</v>
      </c>
      <c r="AZ200" s="35">
        <f>+MIT_Vic_Cap[[#This Row],[Trenes Puntuales]]/MIT_Vic_Cap[[#This Row],[Trenes Corridos]]</f>
        <v>0.96417604912998978</v>
      </c>
      <c r="BA200" s="35">
        <f>+MIT_Vic_Cap[[#This Row],[Trenes Corridos]]/MIT_Vic_Cap[[#This Row],[Trenes Programados]]</f>
        <v>0.98886639676113364</v>
      </c>
      <c r="BB200" s="20">
        <v>988</v>
      </c>
      <c r="BC200" s="27">
        <f t="shared" si="96"/>
        <v>11</v>
      </c>
      <c r="BD200" s="20">
        <v>977</v>
      </c>
      <c r="BE200" s="20">
        <v>942</v>
      </c>
      <c r="BF200" s="20">
        <f t="shared" si="97"/>
        <v>35</v>
      </c>
      <c r="BG200" s="20"/>
      <c r="BH200" s="5"/>
      <c r="BI200" s="29">
        <v>2009</v>
      </c>
      <c r="BJ200" s="38" t="s">
        <v>40</v>
      </c>
      <c r="BK200" s="35">
        <f>+Tabla8[[#This Row],[Trenes Puntuales]]/Tabla8[[#This Row],[Trenes Programados]]</f>
        <v>0.71688034188034189</v>
      </c>
      <c r="BL200" s="35">
        <f>+Tabla8[[#This Row],[Trenes Puntuales]]/Tabla8[[#This Row],[Trenes Corridos]]</f>
        <v>0.74638487208008897</v>
      </c>
      <c r="BM200" s="35">
        <f>+Tabla8[[#This Row],[Trenes Corridos]]/Tabla8[[#This Row],[Trenes Programados]]</f>
        <v>0.9604700854700855</v>
      </c>
      <c r="BN200" s="20">
        <v>936</v>
      </c>
      <c r="BO200" s="27">
        <f t="shared" si="98"/>
        <v>37</v>
      </c>
      <c r="BP200" s="20">
        <v>899</v>
      </c>
      <c r="BQ200" s="20">
        <v>671</v>
      </c>
      <c r="BR200" s="20">
        <f t="shared" si="99"/>
        <v>228</v>
      </c>
      <c r="BS200" s="29"/>
    </row>
    <row r="201" spans="1:71" s="3" customFormat="1" ht="12.75">
      <c r="A201" s="3">
        <v>2009</v>
      </c>
      <c r="B201" s="38" t="s">
        <v>41</v>
      </c>
      <c r="C201" s="25">
        <f>+MITRE[[#This Row],[Trenes Puntuales]]/MITRE[[#This Row],[Trenes Programados]]</f>
        <v>0.85808945334069575</v>
      </c>
      <c r="D201" s="25">
        <f>+MITRE[[#This Row],[Trenes Puntuales]]/MITRE[[#This Row],[Trenes Corridos]]</f>
        <v>0.8886982629208664</v>
      </c>
      <c r="E201" s="25">
        <f>+MITRE[[#This Row],[Trenes Corridos]]/MITRE[[#This Row],[Trenes Programados]]</f>
        <v>0.96555770292655996</v>
      </c>
      <c r="F201" s="27">
        <f t="shared" si="45"/>
        <v>14488</v>
      </c>
      <c r="G201" s="27">
        <f t="shared" si="46"/>
        <v>499</v>
      </c>
      <c r="H201" s="27">
        <f t="shared" si="47"/>
        <v>13989</v>
      </c>
      <c r="I201" s="27">
        <f t="shared" si="48"/>
        <v>12432</v>
      </c>
      <c r="J201" s="27">
        <f t="shared" si="49"/>
        <v>1557</v>
      </c>
      <c r="K201" s="27"/>
      <c r="L201" s="4"/>
      <c r="M201" s="29">
        <v>2009</v>
      </c>
      <c r="N201" s="38" t="s">
        <v>41</v>
      </c>
      <c r="O201" s="35">
        <f>+Tabla4[[#This Row],[Trenes Puntuales]]/Tabla4[[#This Row],[Trenes Programados]]</f>
        <v>0.82811320754716977</v>
      </c>
      <c r="P201" s="35">
        <f>+Tabla4[[#This Row],[Trenes Puntuales]]/Tabla4[[#This Row],[Trenes Corridos]]</f>
        <v>0.86533911671924291</v>
      </c>
      <c r="Q201" s="35">
        <f>+Tabla4[[#This Row],[Trenes Corridos]]/Tabla4[[#This Row],[Trenes Programados]]</f>
        <v>0.95698113207547175</v>
      </c>
      <c r="R201" s="20">
        <v>5300</v>
      </c>
      <c r="S201" s="27">
        <f t="shared" si="90"/>
        <v>228</v>
      </c>
      <c r="T201" s="20">
        <v>5072</v>
      </c>
      <c r="U201" s="20">
        <v>4389</v>
      </c>
      <c r="V201" s="20">
        <f t="shared" si="91"/>
        <v>683</v>
      </c>
      <c r="W201" s="20"/>
      <c r="X201" s="5"/>
      <c r="Y201" s="29">
        <v>2009</v>
      </c>
      <c r="Z201" s="38" t="s">
        <v>41</v>
      </c>
      <c r="AA201" s="35">
        <f>+Tabla5[[#This Row],[Trenes Puntuales]]/Tabla5[[#This Row],[Trenes Programados]]</f>
        <v>0.85411764705882354</v>
      </c>
      <c r="AB201" s="35">
        <f>+Tabla5[[#This Row],[Trenes Puntuales]]/Tabla5[[#This Row],[Trenes Corridos]]</f>
        <v>0.88</v>
      </c>
      <c r="AC201" s="35">
        <f>+Tabla5[[#This Row],[Trenes Corridos]]/Tabla5[[#This Row],[Trenes Programados]]</f>
        <v>0.97058823529411764</v>
      </c>
      <c r="AD201" s="20">
        <v>4250</v>
      </c>
      <c r="AE201" s="27">
        <f t="shared" si="92"/>
        <v>125</v>
      </c>
      <c r="AF201" s="20">
        <v>4125</v>
      </c>
      <c r="AG201" s="20">
        <v>3630</v>
      </c>
      <c r="AH201" s="20">
        <f t="shared" si="93"/>
        <v>495</v>
      </c>
      <c r="AI201" s="20"/>
      <c r="AJ201" s="5"/>
      <c r="AK201" s="29">
        <v>2009</v>
      </c>
      <c r="AL201" s="38" t="s">
        <v>41</v>
      </c>
      <c r="AM201" s="35">
        <f>+Tabla6[[#This Row],[Trenes Puntuales]]/Tabla6[[#This Row],[Trenes Programados]]</f>
        <v>0.91315618924173692</v>
      </c>
      <c r="AN201" s="35">
        <f>+Tabla6[[#This Row],[Trenes Puntuales]]/Tabla6[[#This Row],[Trenes Corridos]]</f>
        <v>0.93745841650033268</v>
      </c>
      <c r="AO201" s="35">
        <f>+Tabla6[[#This Row],[Trenes Corridos]]/Tabla6[[#This Row],[Trenes Programados]]</f>
        <v>0.97407647440051848</v>
      </c>
      <c r="AP201" s="20">
        <v>3086</v>
      </c>
      <c r="AQ201" s="27">
        <f t="shared" si="94"/>
        <v>80</v>
      </c>
      <c r="AR201" s="20">
        <v>3006</v>
      </c>
      <c r="AS201" s="20">
        <v>2818</v>
      </c>
      <c r="AT201" s="20">
        <f t="shared" si="95"/>
        <v>188</v>
      </c>
      <c r="AU201" s="20"/>
      <c r="AV201" s="5"/>
      <c r="AW201" s="29">
        <v>2009</v>
      </c>
      <c r="AX201" s="38" t="s">
        <v>41</v>
      </c>
      <c r="AY201" s="35">
        <f>+MIT_Vic_Cap[[#This Row],[Trenes Puntuales]]/MIT_Vic_Cap[[#This Row],[Trenes Programados]]</f>
        <v>0.93697478991596639</v>
      </c>
      <c r="AZ201" s="35">
        <f>+MIT_Vic_Cap[[#This Row],[Trenes Puntuales]]/MIT_Vic_Cap[[#This Row],[Trenes Corridos]]</f>
        <v>0.96120689655172409</v>
      </c>
      <c r="BA201" s="35">
        <f>+MIT_Vic_Cap[[#This Row],[Trenes Corridos]]/MIT_Vic_Cap[[#This Row],[Trenes Programados]]</f>
        <v>0.97478991596638653</v>
      </c>
      <c r="BB201" s="20">
        <v>952</v>
      </c>
      <c r="BC201" s="27">
        <f t="shared" si="96"/>
        <v>24</v>
      </c>
      <c r="BD201" s="20">
        <v>928</v>
      </c>
      <c r="BE201" s="20">
        <v>892</v>
      </c>
      <c r="BF201" s="20">
        <f t="shared" si="97"/>
        <v>36</v>
      </c>
      <c r="BG201" s="20"/>
      <c r="BH201" s="5"/>
      <c r="BI201" s="29">
        <v>2009</v>
      </c>
      <c r="BJ201" s="38" t="s">
        <v>41</v>
      </c>
      <c r="BK201" s="35">
        <f>+Tabla8[[#This Row],[Trenes Puntuales]]/Tabla8[[#This Row],[Trenes Programados]]</f>
        <v>0.78111111111111109</v>
      </c>
      <c r="BL201" s="35">
        <f>+Tabla8[[#This Row],[Trenes Puntuales]]/Tabla8[[#This Row],[Trenes Corridos]]</f>
        <v>0.8193473193473193</v>
      </c>
      <c r="BM201" s="35">
        <f>+Tabla8[[#This Row],[Trenes Corridos]]/Tabla8[[#This Row],[Trenes Programados]]</f>
        <v>0.95333333333333337</v>
      </c>
      <c r="BN201" s="20">
        <v>900</v>
      </c>
      <c r="BO201" s="27">
        <f t="shared" si="98"/>
        <v>42</v>
      </c>
      <c r="BP201" s="20">
        <v>858</v>
      </c>
      <c r="BQ201" s="20">
        <v>703</v>
      </c>
      <c r="BR201" s="20">
        <f t="shared" si="99"/>
        <v>155</v>
      </c>
      <c r="BS201" s="29"/>
    </row>
    <row r="202" spans="1:71" s="3" customFormat="1" ht="12.75">
      <c r="A202" s="3">
        <v>2009</v>
      </c>
      <c r="B202" s="38" t="s">
        <v>42</v>
      </c>
      <c r="C202" s="25">
        <f>+MITRE[[#This Row],[Trenes Puntuales]]/MITRE[[#This Row],[Trenes Programados]]</f>
        <v>0.86141304347826086</v>
      </c>
      <c r="D202" s="25">
        <f>+MITRE[[#This Row],[Trenes Puntuales]]/MITRE[[#This Row],[Trenes Corridos]]</f>
        <v>0.87665929203539827</v>
      </c>
      <c r="E202" s="25">
        <f>+MITRE[[#This Row],[Trenes Corridos]]/MITRE[[#This Row],[Trenes Programados]]</f>
        <v>0.9826086956521739</v>
      </c>
      <c r="F202" s="27">
        <f t="shared" si="45"/>
        <v>14720</v>
      </c>
      <c r="G202" s="27">
        <f t="shared" si="46"/>
        <v>256</v>
      </c>
      <c r="H202" s="27">
        <f t="shared" si="47"/>
        <v>14464</v>
      </c>
      <c r="I202" s="27">
        <f t="shared" si="48"/>
        <v>12680</v>
      </c>
      <c r="J202" s="27">
        <f t="shared" si="49"/>
        <v>1784</v>
      </c>
      <c r="K202" s="27"/>
      <c r="L202" s="4"/>
      <c r="M202" s="29">
        <v>2009</v>
      </c>
      <c r="N202" s="38" t="s">
        <v>42</v>
      </c>
      <c r="O202" s="35">
        <f>+Tabla4[[#This Row],[Trenes Puntuales]]/Tabla4[[#This Row],[Trenes Programados]]</f>
        <v>0.84152700186219742</v>
      </c>
      <c r="P202" s="35">
        <f>+Tabla4[[#This Row],[Trenes Puntuales]]/Tabla4[[#This Row],[Trenes Corridos]]</f>
        <v>0.86653883029721956</v>
      </c>
      <c r="Q202" s="35">
        <f>+Tabla4[[#This Row],[Trenes Corridos]]/Tabla4[[#This Row],[Trenes Programados]]</f>
        <v>0.97113594040968343</v>
      </c>
      <c r="R202" s="20">
        <v>5370</v>
      </c>
      <c r="S202" s="27">
        <f t="shared" si="90"/>
        <v>155</v>
      </c>
      <c r="T202" s="20">
        <v>5215</v>
      </c>
      <c r="U202" s="20">
        <v>4519</v>
      </c>
      <c r="V202" s="20">
        <f t="shared" si="91"/>
        <v>696</v>
      </c>
      <c r="W202" s="20"/>
      <c r="X202" s="5"/>
      <c r="Y202" s="29">
        <v>2009</v>
      </c>
      <c r="Z202" s="38" t="s">
        <v>42</v>
      </c>
      <c r="AA202" s="35">
        <f>+Tabla5[[#This Row],[Trenes Puntuales]]/Tabla5[[#This Row],[Trenes Programados]]</f>
        <v>0.84214186369958277</v>
      </c>
      <c r="AB202" s="35">
        <f>+Tabla5[[#This Row],[Trenes Puntuales]]/Tabla5[[#This Row],[Trenes Corridos]]</f>
        <v>0.85022232623449567</v>
      </c>
      <c r="AC202" s="35">
        <f>+Tabla5[[#This Row],[Trenes Corridos]]/Tabla5[[#This Row],[Trenes Programados]]</f>
        <v>0.99049605934167828</v>
      </c>
      <c r="AD202" s="20">
        <v>4314</v>
      </c>
      <c r="AE202" s="27">
        <f t="shared" si="92"/>
        <v>41</v>
      </c>
      <c r="AF202" s="20">
        <v>4273</v>
      </c>
      <c r="AG202" s="20">
        <v>3633</v>
      </c>
      <c r="AH202" s="20">
        <f t="shared" si="93"/>
        <v>640</v>
      </c>
      <c r="AI202" s="20"/>
      <c r="AJ202" s="5"/>
      <c r="AK202" s="29">
        <v>2009</v>
      </c>
      <c r="AL202" s="38" t="s">
        <v>42</v>
      </c>
      <c r="AM202" s="35">
        <f>+Tabla6[[#This Row],[Trenes Puntuales]]/Tabla6[[#This Row],[Trenes Programados]]</f>
        <v>0.92283364958886782</v>
      </c>
      <c r="AN202" s="35">
        <f>+Tabla6[[#This Row],[Trenes Puntuales]]/Tabla6[[#This Row],[Trenes Corridos]]</f>
        <v>0.92693773824650572</v>
      </c>
      <c r="AO202" s="35">
        <f>+Tabla6[[#This Row],[Trenes Corridos]]/Tabla6[[#This Row],[Trenes Programados]]</f>
        <v>0.99557242251739408</v>
      </c>
      <c r="AP202" s="20">
        <v>3162</v>
      </c>
      <c r="AQ202" s="27">
        <f t="shared" si="94"/>
        <v>14</v>
      </c>
      <c r="AR202" s="20">
        <v>3148</v>
      </c>
      <c r="AS202" s="20">
        <v>2918</v>
      </c>
      <c r="AT202" s="20">
        <f t="shared" si="95"/>
        <v>230</v>
      </c>
      <c r="AU202" s="20"/>
      <c r="AV202" s="5"/>
      <c r="AW202" s="29">
        <v>2009</v>
      </c>
      <c r="AX202" s="38" t="s">
        <v>42</v>
      </c>
      <c r="AY202" s="35">
        <f>+MIT_Vic_Cap[[#This Row],[Trenes Puntuales]]/MIT_Vic_Cap[[#This Row],[Trenes Programados]]</f>
        <v>0.91058581706063724</v>
      </c>
      <c r="AZ202" s="35">
        <f>+MIT_Vic_Cap[[#This Row],[Trenes Puntuales]]/MIT_Vic_Cap[[#This Row],[Trenes Corridos]]</f>
        <v>0.92677824267782427</v>
      </c>
      <c r="BA202" s="35">
        <f>+MIT_Vic_Cap[[#This Row],[Trenes Corridos]]/MIT_Vic_Cap[[#This Row],[Trenes Programados]]</f>
        <v>0.9825282631038027</v>
      </c>
      <c r="BB202" s="20">
        <v>973</v>
      </c>
      <c r="BC202" s="27">
        <f t="shared" si="96"/>
        <v>17</v>
      </c>
      <c r="BD202" s="20">
        <v>956</v>
      </c>
      <c r="BE202" s="20">
        <v>886</v>
      </c>
      <c r="BF202" s="20">
        <f t="shared" si="97"/>
        <v>70</v>
      </c>
      <c r="BG202" s="20"/>
      <c r="BH202" s="5"/>
      <c r="BI202" s="29">
        <v>2009</v>
      </c>
      <c r="BJ202" s="38" t="s">
        <v>42</v>
      </c>
      <c r="BK202" s="35">
        <f>+Tabla8[[#This Row],[Trenes Puntuales]]/Tabla8[[#This Row],[Trenes Programados]]</f>
        <v>0.80355160932297442</v>
      </c>
      <c r="BL202" s="35">
        <f>+Tabla8[[#This Row],[Trenes Puntuales]]/Tabla8[[#This Row],[Trenes Corridos]]</f>
        <v>0.83027522935779818</v>
      </c>
      <c r="BM202" s="35">
        <f>+Tabla8[[#This Row],[Trenes Corridos]]/Tabla8[[#This Row],[Trenes Programados]]</f>
        <v>0.9678135405105438</v>
      </c>
      <c r="BN202" s="20">
        <v>901</v>
      </c>
      <c r="BO202" s="27">
        <f t="shared" si="98"/>
        <v>29</v>
      </c>
      <c r="BP202" s="20">
        <v>872</v>
      </c>
      <c r="BQ202" s="20">
        <v>724</v>
      </c>
      <c r="BR202" s="20">
        <f t="shared" si="99"/>
        <v>148</v>
      </c>
      <c r="BS202" s="29"/>
    </row>
    <row r="203" spans="1:71" s="3" customFormat="1" ht="12.75">
      <c r="A203" s="3">
        <v>2009</v>
      </c>
      <c r="B203" s="38" t="s">
        <v>43</v>
      </c>
      <c r="C203" s="25">
        <f>+MITRE[[#This Row],[Trenes Puntuales]]/MITRE[[#This Row],[Trenes Programados]]</f>
        <v>0.84706922344621238</v>
      </c>
      <c r="D203" s="25">
        <f>+MITRE[[#This Row],[Trenes Puntuales]]/MITRE[[#This Row],[Trenes Corridos]]</f>
        <v>0.86639310057031571</v>
      </c>
      <c r="E203" s="25">
        <f>+MITRE[[#This Row],[Trenes Corridos]]/MITRE[[#This Row],[Trenes Programados]]</f>
        <v>0.97769617843057255</v>
      </c>
      <c r="F203" s="27">
        <f t="shared" ref="F203:F266" si="100">+R203+AD203+AP203+BB203+BN203</f>
        <v>14706</v>
      </c>
      <c r="G203" s="27">
        <f t="shared" ref="G203:G266" si="101">F203-H203</f>
        <v>328</v>
      </c>
      <c r="H203" s="27">
        <f t="shared" ref="H203:H266" si="102">+T203+AF203+AR203+BD203+BP203</f>
        <v>14378</v>
      </c>
      <c r="I203" s="27">
        <f t="shared" ref="I203:I266" si="103">+U203+AG203+AS203+BE203+BQ203</f>
        <v>12457</v>
      </c>
      <c r="J203" s="27">
        <f t="shared" ref="J203:J266" si="104">H203-I203</f>
        <v>1921</v>
      </c>
      <c r="K203" s="27"/>
      <c r="L203" s="4"/>
      <c r="M203" s="29">
        <v>2009</v>
      </c>
      <c r="N203" s="38" t="s">
        <v>43</v>
      </c>
      <c r="O203" s="35">
        <f>+Tabla4[[#This Row],[Trenes Puntuales]]/Tabla4[[#This Row],[Trenes Programados]]</f>
        <v>0.80853432282003712</v>
      </c>
      <c r="P203" s="35">
        <f>+Tabla4[[#This Row],[Trenes Puntuales]]/Tabla4[[#This Row],[Trenes Corridos]]</f>
        <v>0.83566634707574305</v>
      </c>
      <c r="Q203" s="35">
        <f>+Tabla4[[#This Row],[Trenes Corridos]]/Tabla4[[#This Row],[Trenes Programados]]</f>
        <v>0.96753246753246758</v>
      </c>
      <c r="R203" s="20">
        <v>5390</v>
      </c>
      <c r="S203" s="27">
        <f t="shared" si="90"/>
        <v>175</v>
      </c>
      <c r="T203" s="20">
        <v>5215</v>
      </c>
      <c r="U203" s="20">
        <v>4358</v>
      </c>
      <c r="V203" s="20">
        <f t="shared" si="91"/>
        <v>857</v>
      </c>
      <c r="W203" s="20"/>
      <c r="X203" s="5"/>
      <c r="Y203" s="29">
        <v>2009</v>
      </c>
      <c r="Z203" s="38" t="s">
        <v>43</v>
      </c>
      <c r="AA203" s="35">
        <f>+Tabla5[[#This Row],[Trenes Puntuales]]/Tabla5[[#This Row],[Trenes Programados]]</f>
        <v>0.84467592592592589</v>
      </c>
      <c r="AB203" s="35">
        <f>+Tabla5[[#This Row],[Trenes Puntuales]]/Tabla5[[#This Row],[Trenes Corridos]]</f>
        <v>0.85798260051728192</v>
      </c>
      <c r="AC203" s="35">
        <f>+Tabla5[[#This Row],[Trenes Corridos]]/Tabla5[[#This Row],[Trenes Programados]]</f>
        <v>0.98449074074074072</v>
      </c>
      <c r="AD203" s="20">
        <v>4320</v>
      </c>
      <c r="AE203" s="27">
        <f t="shared" si="92"/>
        <v>67</v>
      </c>
      <c r="AF203" s="20">
        <v>4253</v>
      </c>
      <c r="AG203" s="20">
        <v>3649</v>
      </c>
      <c r="AH203" s="20">
        <f t="shared" si="93"/>
        <v>604</v>
      </c>
      <c r="AI203" s="20"/>
      <c r="AJ203" s="5"/>
      <c r="AK203" s="29">
        <v>2009</v>
      </c>
      <c r="AL203" s="38" t="s">
        <v>43</v>
      </c>
      <c r="AM203" s="35">
        <f>+Tabla6[[#This Row],[Trenes Puntuales]]/Tabla6[[#This Row],[Trenes Programados]]</f>
        <v>0.90520565552699228</v>
      </c>
      <c r="AN203" s="35">
        <f>+Tabla6[[#This Row],[Trenes Puntuales]]/Tabla6[[#This Row],[Trenes Corridos]]</f>
        <v>0.92239685658153237</v>
      </c>
      <c r="AO203" s="35">
        <f>+Tabla6[[#This Row],[Trenes Corridos]]/Tabla6[[#This Row],[Trenes Programados]]</f>
        <v>0.98136246786632386</v>
      </c>
      <c r="AP203" s="20">
        <v>3112</v>
      </c>
      <c r="AQ203" s="27">
        <f t="shared" si="94"/>
        <v>58</v>
      </c>
      <c r="AR203" s="20">
        <v>3054</v>
      </c>
      <c r="AS203" s="20">
        <v>2817</v>
      </c>
      <c r="AT203" s="20">
        <f t="shared" si="95"/>
        <v>237</v>
      </c>
      <c r="AU203" s="20"/>
      <c r="AV203" s="5"/>
      <c r="AW203" s="29">
        <v>2009</v>
      </c>
      <c r="AX203" s="38" t="s">
        <v>43</v>
      </c>
      <c r="AY203" s="35">
        <f>+MIT_Vic_Cap[[#This Row],[Trenes Puntuales]]/MIT_Vic_Cap[[#This Row],[Trenes Programados]]</f>
        <v>0.91286307053941906</v>
      </c>
      <c r="AZ203" s="35">
        <f>+MIT_Vic_Cap[[#This Row],[Trenes Puntuales]]/MIT_Vic_Cap[[#This Row],[Trenes Corridos]]</f>
        <v>0.92729188619599578</v>
      </c>
      <c r="BA203" s="35">
        <f>+MIT_Vic_Cap[[#This Row],[Trenes Corridos]]/MIT_Vic_Cap[[#This Row],[Trenes Programados]]</f>
        <v>0.98443983402489632</v>
      </c>
      <c r="BB203" s="20">
        <v>964</v>
      </c>
      <c r="BC203" s="27">
        <f t="shared" si="96"/>
        <v>15</v>
      </c>
      <c r="BD203" s="20">
        <v>949</v>
      </c>
      <c r="BE203" s="20">
        <v>880</v>
      </c>
      <c r="BF203" s="20">
        <f t="shared" si="97"/>
        <v>69</v>
      </c>
      <c r="BG203" s="20"/>
      <c r="BH203" s="5"/>
      <c r="BI203" s="29">
        <v>2009</v>
      </c>
      <c r="BJ203" s="38" t="s">
        <v>43</v>
      </c>
      <c r="BK203" s="35">
        <f>+Tabla8[[#This Row],[Trenes Puntuales]]/Tabla8[[#This Row],[Trenes Programados]]</f>
        <v>0.81847826086956521</v>
      </c>
      <c r="BL203" s="35">
        <f>+Tabla8[[#This Row],[Trenes Puntuales]]/Tabla8[[#This Row],[Trenes Corridos]]</f>
        <v>0.83020948180815879</v>
      </c>
      <c r="BM203" s="35">
        <f>+Tabla8[[#This Row],[Trenes Corridos]]/Tabla8[[#This Row],[Trenes Programados]]</f>
        <v>0.98586956521739133</v>
      </c>
      <c r="BN203" s="20">
        <v>920</v>
      </c>
      <c r="BO203" s="27">
        <f t="shared" si="98"/>
        <v>13</v>
      </c>
      <c r="BP203" s="20">
        <v>907</v>
      </c>
      <c r="BQ203" s="20">
        <v>753</v>
      </c>
      <c r="BR203" s="20">
        <f t="shared" si="99"/>
        <v>154</v>
      </c>
      <c r="BS203" s="29"/>
    </row>
    <row r="204" spans="1:71" s="3" customFormat="1" ht="12.75">
      <c r="A204" s="3">
        <v>2009</v>
      </c>
      <c r="B204" s="38" t="s">
        <v>44</v>
      </c>
      <c r="C204" s="25">
        <f>+MITRE[[#This Row],[Trenes Puntuales]]/MITRE[[#This Row],[Trenes Programados]]</f>
        <v>0.85782146862835651</v>
      </c>
      <c r="D204" s="25">
        <f>+MITRE[[#This Row],[Trenes Puntuales]]/MITRE[[#This Row],[Trenes Corridos]]</f>
        <v>0.88981658910484529</v>
      </c>
      <c r="E204" s="25">
        <f>+MITRE[[#This Row],[Trenes Corridos]]/MITRE[[#This Row],[Trenes Programados]]</f>
        <v>0.96404301642805301</v>
      </c>
      <c r="F204" s="27">
        <f t="shared" si="100"/>
        <v>15157</v>
      </c>
      <c r="G204" s="27">
        <f t="shared" si="101"/>
        <v>545</v>
      </c>
      <c r="H204" s="27">
        <f t="shared" si="102"/>
        <v>14612</v>
      </c>
      <c r="I204" s="27">
        <f t="shared" si="103"/>
        <v>13002</v>
      </c>
      <c r="J204" s="27">
        <f t="shared" si="104"/>
        <v>1610</v>
      </c>
      <c r="K204" s="27"/>
      <c r="L204" s="4"/>
      <c r="M204" s="29">
        <v>2009</v>
      </c>
      <c r="N204" s="38" t="s">
        <v>44</v>
      </c>
      <c r="O204" s="35">
        <f>+Tabla4[[#This Row],[Trenes Puntuales]]/Tabla4[[#This Row],[Trenes Programados]]</f>
        <v>0.87693693693693697</v>
      </c>
      <c r="P204" s="35">
        <f>+Tabla4[[#This Row],[Trenes Puntuales]]/Tabla4[[#This Row],[Trenes Corridos]]</f>
        <v>0.90447872142724406</v>
      </c>
      <c r="Q204" s="35">
        <f>+Tabla4[[#This Row],[Trenes Corridos]]/Tabla4[[#This Row],[Trenes Programados]]</f>
        <v>0.96954954954954953</v>
      </c>
      <c r="R204" s="20">
        <v>5550</v>
      </c>
      <c r="S204" s="27">
        <f t="shared" si="90"/>
        <v>169</v>
      </c>
      <c r="T204" s="20">
        <v>5381</v>
      </c>
      <c r="U204" s="20">
        <v>4867</v>
      </c>
      <c r="V204" s="20">
        <f t="shared" si="91"/>
        <v>514</v>
      </c>
      <c r="W204" s="20"/>
      <c r="X204" s="5"/>
      <c r="Y204" s="29">
        <v>2009</v>
      </c>
      <c r="Z204" s="38" t="s">
        <v>44</v>
      </c>
      <c r="AA204" s="35">
        <f>+Tabla5[[#This Row],[Trenes Puntuales]]/Tabla5[[#This Row],[Trenes Programados]]</f>
        <v>0.84463403682083515</v>
      </c>
      <c r="AB204" s="35">
        <f>+Tabla5[[#This Row],[Trenes Puntuales]]/Tabla5[[#This Row],[Trenes Corridos]]</f>
        <v>0.87692307692307692</v>
      </c>
      <c r="AC204" s="35">
        <f>+Tabla5[[#This Row],[Trenes Corridos]]/Tabla5[[#This Row],[Trenes Programados]]</f>
        <v>0.96317916479568921</v>
      </c>
      <c r="AD204" s="20">
        <v>4454</v>
      </c>
      <c r="AE204" s="27">
        <f t="shared" si="92"/>
        <v>164</v>
      </c>
      <c r="AF204" s="20">
        <v>4290</v>
      </c>
      <c r="AG204" s="20">
        <v>3762</v>
      </c>
      <c r="AH204" s="20">
        <f t="shared" si="93"/>
        <v>528</v>
      </c>
      <c r="AI204" s="20"/>
      <c r="AJ204" s="5"/>
      <c r="AK204" s="29">
        <v>2009</v>
      </c>
      <c r="AL204" s="38" t="s">
        <v>44</v>
      </c>
      <c r="AM204" s="35">
        <f>+Tabla6[[#This Row],[Trenes Puntuales]]/Tabla6[[#This Row],[Trenes Programados]]</f>
        <v>0.89265712507778472</v>
      </c>
      <c r="AN204" s="35">
        <f>+Tabla6[[#This Row],[Trenes Puntuales]]/Tabla6[[#This Row],[Trenes Corridos]]</f>
        <v>0.92399355877616751</v>
      </c>
      <c r="AO204" s="35">
        <f>+Tabla6[[#This Row],[Trenes Corridos]]/Tabla6[[#This Row],[Trenes Programados]]</f>
        <v>0.96608587429993775</v>
      </c>
      <c r="AP204" s="20">
        <v>3214</v>
      </c>
      <c r="AQ204" s="27">
        <f t="shared" si="94"/>
        <v>109</v>
      </c>
      <c r="AR204" s="20">
        <v>3105</v>
      </c>
      <c r="AS204" s="20">
        <v>2869</v>
      </c>
      <c r="AT204" s="20">
        <f t="shared" si="95"/>
        <v>236</v>
      </c>
      <c r="AU204" s="20"/>
      <c r="AV204" s="5"/>
      <c r="AW204" s="29">
        <v>2009</v>
      </c>
      <c r="AX204" s="38" t="s">
        <v>44</v>
      </c>
      <c r="AY204" s="35">
        <f>+MIT_Vic_Cap[[#This Row],[Trenes Puntuales]]/MIT_Vic_Cap[[#This Row],[Trenes Programados]]</f>
        <v>0.85971943887775548</v>
      </c>
      <c r="AZ204" s="35">
        <f>+MIT_Vic_Cap[[#This Row],[Trenes Puntuales]]/MIT_Vic_Cap[[#This Row],[Trenes Corridos]]</f>
        <v>0.90126050420168069</v>
      </c>
      <c r="BA204" s="35">
        <f>+MIT_Vic_Cap[[#This Row],[Trenes Corridos]]/MIT_Vic_Cap[[#This Row],[Trenes Programados]]</f>
        <v>0.95390781563126248</v>
      </c>
      <c r="BB204" s="20">
        <v>998</v>
      </c>
      <c r="BC204" s="27">
        <f t="shared" si="96"/>
        <v>46</v>
      </c>
      <c r="BD204" s="20">
        <v>952</v>
      </c>
      <c r="BE204" s="20">
        <v>858</v>
      </c>
      <c r="BF204" s="20">
        <f t="shared" si="97"/>
        <v>94</v>
      </c>
      <c r="BG204" s="20"/>
      <c r="BH204" s="5"/>
      <c r="BI204" s="29">
        <v>2009</v>
      </c>
      <c r="BJ204" s="38" t="s">
        <v>44</v>
      </c>
      <c r="BK204" s="35">
        <f>+Tabla8[[#This Row],[Trenes Puntuales]]/Tabla8[[#This Row],[Trenes Programados]]</f>
        <v>0.68650371944739641</v>
      </c>
      <c r="BL204" s="35">
        <f>+Tabla8[[#This Row],[Trenes Puntuales]]/Tabla8[[#This Row],[Trenes Corridos]]</f>
        <v>0.73076923076923073</v>
      </c>
      <c r="BM204" s="35">
        <f>+Tabla8[[#This Row],[Trenes Corridos]]/Tabla8[[#This Row],[Trenes Programados]]</f>
        <v>0.9394261424017003</v>
      </c>
      <c r="BN204" s="20">
        <v>941</v>
      </c>
      <c r="BO204" s="27">
        <f t="shared" si="98"/>
        <v>57</v>
      </c>
      <c r="BP204" s="20">
        <v>884</v>
      </c>
      <c r="BQ204" s="20">
        <v>646</v>
      </c>
      <c r="BR204" s="20">
        <f t="shared" si="99"/>
        <v>238</v>
      </c>
      <c r="BS204" s="29"/>
    </row>
    <row r="205" spans="1:71" s="3" customFormat="1" ht="12.75">
      <c r="A205" s="3">
        <v>2009</v>
      </c>
      <c r="B205" s="38" t="s">
        <v>45</v>
      </c>
      <c r="C205" s="25">
        <f>+MITRE[[#This Row],[Trenes Puntuales]]/MITRE[[#This Row],[Trenes Programados]]</f>
        <v>0.83051074369101008</v>
      </c>
      <c r="D205" s="25">
        <f>+MITRE[[#This Row],[Trenes Puntuales]]/MITRE[[#This Row],[Trenes Corridos]]</f>
        <v>0.85242184816214361</v>
      </c>
      <c r="E205" s="25">
        <f>+MITRE[[#This Row],[Trenes Corridos]]/MITRE[[#This Row],[Trenes Programados]]</f>
        <v>0.97429546823749913</v>
      </c>
      <c r="F205" s="27">
        <f t="shared" si="100"/>
        <v>14939</v>
      </c>
      <c r="G205" s="27">
        <f t="shared" si="101"/>
        <v>384</v>
      </c>
      <c r="H205" s="27">
        <f t="shared" si="102"/>
        <v>14555</v>
      </c>
      <c r="I205" s="27">
        <f t="shared" si="103"/>
        <v>12407</v>
      </c>
      <c r="J205" s="27">
        <f t="shared" si="104"/>
        <v>2148</v>
      </c>
      <c r="K205" s="27"/>
      <c r="L205" s="4"/>
      <c r="M205" s="29">
        <v>2009</v>
      </c>
      <c r="N205" s="38" t="s">
        <v>45</v>
      </c>
      <c r="O205" s="35">
        <f>+Tabla4[[#This Row],[Trenes Puntuales]]/Tabla4[[#This Row],[Trenes Programados]]</f>
        <v>0.86336996336996341</v>
      </c>
      <c r="P205" s="35">
        <f>+Tabla4[[#This Row],[Trenes Puntuales]]/Tabla4[[#This Row],[Trenes Corridos]]</f>
        <v>0.88079222720478323</v>
      </c>
      <c r="Q205" s="35">
        <f>+Tabla4[[#This Row],[Trenes Corridos]]/Tabla4[[#This Row],[Trenes Programados]]</f>
        <v>0.98021978021978018</v>
      </c>
      <c r="R205" s="20">
        <v>5460</v>
      </c>
      <c r="S205" s="27">
        <f t="shared" si="90"/>
        <v>108</v>
      </c>
      <c r="T205" s="20">
        <v>5352</v>
      </c>
      <c r="U205" s="20">
        <v>4714</v>
      </c>
      <c r="V205" s="20">
        <f t="shared" si="91"/>
        <v>638</v>
      </c>
      <c r="W205" s="20"/>
      <c r="X205" s="5"/>
      <c r="Y205" s="29">
        <v>2009</v>
      </c>
      <c r="Z205" s="38" t="s">
        <v>45</v>
      </c>
      <c r="AA205" s="35">
        <f>+Tabla5[[#This Row],[Trenes Puntuales]]/Tabla5[[#This Row],[Trenes Programados]]</f>
        <v>0.77965328467153283</v>
      </c>
      <c r="AB205" s="35">
        <f>+Tabla5[[#This Row],[Trenes Puntuales]]/Tabla5[[#This Row],[Trenes Corridos]]</f>
        <v>0.80310150375939848</v>
      </c>
      <c r="AC205" s="35">
        <f>+Tabla5[[#This Row],[Trenes Corridos]]/Tabla5[[#This Row],[Trenes Programados]]</f>
        <v>0.97080291970802923</v>
      </c>
      <c r="AD205" s="20">
        <v>4384</v>
      </c>
      <c r="AE205" s="27">
        <f t="shared" si="92"/>
        <v>128</v>
      </c>
      <c r="AF205" s="20">
        <v>4256</v>
      </c>
      <c r="AG205" s="20">
        <v>3418</v>
      </c>
      <c r="AH205" s="20">
        <f t="shared" si="93"/>
        <v>838</v>
      </c>
      <c r="AI205" s="20"/>
      <c r="AJ205" s="5"/>
      <c r="AK205" s="29">
        <v>2009</v>
      </c>
      <c r="AL205" s="38" t="s">
        <v>45</v>
      </c>
      <c r="AM205" s="35">
        <f>+Tabla6[[#This Row],[Trenes Puntuales]]/Tabla6[[#This Row],[Trenes Programados]]</f>
        <v>0.87170639899623592</v>
      </c>
      <c r="AN205" s="35">
        <f>+Tabla6[[#This Row],[Trenes Puntuales]]/Tabla6[[#This Row],[Trenes Corridos]]</f>
        <v>0.89964389770152153</v>
      </c>
      <c r="AO205" s="35">
        <f>+Tabla6[[#This Row],[Trenes Corridos]]/Tabla6[[#This Row],[Trenes Programados]]</f>
        <v>0.96894604767879544</v>
      </c>
      <c r="AP205" s="20">
        <v>3188</v>
      </c>
      <c r="AQ205" s="27">
        <f t="shared" si="94"/>
        <v>99</v>
      </c>
      <c r="AR205" s="20">
        <v>3089</v>
      </c>
      <c r="AS205" s="20">
        <v>2779</v>
      </c>
      <c r="AT205" s="20">
        <f t="shared" si="95"/>
        <v>310</v>
      </c>
      <c r="AU205" s="20"/>
      <c r="AV205" s="5"/>
      <c r="AW205" s="29">
        <v>2009</v>
      </c>
      <c r="AX205" s="38" t="s">
        <v>45</v>
      </c>
      <c r="AY205" s="35">
        <f>+MIT_Vic_Cap[[#This Row],[Trenes Puntuales]]/MIT_Vic_Cap[[#This Row],[Trenes Programados]]</f>
        <v>0.92900608519269778</v>
      </c>
      <c r="AZ205" s="35">
        <f>+MIT_Vic_Cap[[#This Row],[Trenes Puntuales]]/MIT_Vic_Cap[[#This Row],[Trenes Corridos]]</f>
        <v>0.93660531697341509</v>
      </c>
      <c r="BA205" s="35">
        <f>+MIT_Vic_Cap[[#This Row],[Trenes Corridos]]/MIT_Vic_Cap[[#This Row],[Trenes Programados]]</f>
        <v>0.99188640973630826</v>
      </c>
      <c r="BB205" s="20">
        <v>986</v>
      </c>
      <c r="BC205" s="27">
        <f t="shared" si="96"/>
        <v>8</v>
      </c>
      <c r="BD205" s="20">
        <v>978</v>
      </c>
      <c r="BE205" s="20">
        <v>916</v>
      </c>
      <c r="BF205" s="20">
        <f t="shared" si="97"/>
        <v>62</v>
      </c>
      <c r="BG205" s="20"/>
      <c r="BH205" s="5"/>
      <c r="BI205" s="29">
        <v>2009</v>
      </c>
      <c r="BJ205" s="38" t="s">
        <v>45</v>
      </c>
      <c r="BK205" s="35">
        <f>+Tabla8[[#This Row],[Trenes Puntuales]]/Tabla8[[#This Row],[Trenes Programados]]</f>
        <v>0.62975027144408247</v>
      </c>
      <c r="BL205" s="35">
        <f>+Tabla8[[#This Row],[Trenes Puntuales]]/Tabla8[[#This Row],[Trenes Corridos]]</f>
        <v>0.65909090909090906</v>
      </c>
      <c r="BM205" s="35">
        <f>+Tabla8[[#This Row],[Trenes Corridos]]/Tabla8[[#This Row],[Trenes Programados]]</f>
        <v>0.9554831704668838</v>
      </c>
      <c r="BN205" s="20">
        <v>921</v>
      </c>
      <c r="BO205" s="27">
        <f t="shared" si="98"/>
        <v>41</v>
      </c>
      <c r="BP205" s="20">
        <v>880</v>
      </c>
      <c r="BQ205" s="20">
        <v>580</v>
      </c>
      <c r="BR205" s="20">
        <f t="shared" si="99"/>
        <v>300</v>
      </c>
      <c r="BS205" s="29"/>
    </row>
    <row r="206" spans="1:71" s="3" customFormat="1" ht="12.75">
      <c r="A206" s="3">
        <v>2009</v>
      </c>
      <c r="B206" s="38" t="s">
        <v>46</v>
      </c>
      <c r="C206" s="25">
        <f>+MITRE[[#This Row],[Trenes Puntuales]]/MITRE[[#This Row],[Trenes Programados]]</f>
        <v>0.85861699276333425</v>
      </c>
      <c r="D206" s="25">
        <f>+MITRE[[#This Row],[Trenes Puntuales]]/MITRE[[#This Row],[Trenes Corridos]]</f>
        <v>0.86968915433690785</v>
      </c>
      <c r="E206" s="25">
        <f>+MITRE[[#This Row],[Trenes Corridos]]/MITRE[[#This Row],[Trenes Programados]]</f>
        <v>0.98726882873224342</v>
      </c>
      <c r="F206" s="27">
        <f t="shared" si="100"/>
        <v>14924</v>
      </c>
      <c r="G206" s="27">
        <f t="shared" si="101"/>
        <v>190</v>
      </c>
      <c r="H206" s="27">
        <f t="shared" si="102"/>
        <v>14734</v>
      </c>
      <c r="I206" s="27">
        <f t="shared" si="103"/>
        <v>12814</v>
      </c>
      <c r="J206" s="27">
        <f t="shared" si="104"/>
        <v>1920</v>
      </c>
      <c r="K206" s="27"/>
      <c r="L206" s="4"/>
      <c r="M206" s="29">
        <v>2009</v>
      </c>
      <c r="N206" s="38" t="s">
        <v>46</v>
      </c>
      <c r="O206" s="35">
        <f>+Tabla4[[#This Row],[Trenes Puntuales]]/Tabla4[[#This Row],[Trenes Programados]]</f>
        <v>0.86240875912408754</v>
      </c>
      <c r="P206" s="35">
        <f>+Tabla4[[#This Row],[Trenes Puntuales]]/Tabla4[[#This Row],[Trenes Corridos]]</f>
        <v>0.87115207373271886</v>
      </c>
      <c r="Q206" s="35">
        <f>+Tabla4[[#This Row],[Trenes Corridos]]/Tabla4[[#This Row],[Trenes Programados]]</f>
        <v>0.98996350364963503</v>
      </c>
      <c r="R206" s="20">
        <v>5480</v>
      </c>
      <c r="S206" s="27">
        <f t="shared" si="90"/>
        <v>55</v>
      </c>
      <c r="T206" s="20">
        <v>5425</v>
      </c>
      <c r="U206" s="20">
        <v>4726</v>
      </c>
      <c r="V206" s="20">
        <f t="shared" si="91"/>
        <v>699</v>
      </c>
      <c r="W206" s="20"/>
      <c r="X206" s="5"/>
      <c r="Y206" s="29">
        <v>2009</v>
      </c>
      <c r="Z206" s="38" t="s">
        <v>46</v>
      </c>
      <c r="AA206" s="35">
        <f>+Tabla5[[#This Row],[Trenes Puntuales]]/Tabla5[[#This Row],[Trenes Programados]]</f>
        <v>0.84236902050113893</v>
      </c>
      <c r="AB206" s="35">
        <f>+Tabla5[[#This Row],[Trenes Puntuales]]/Tabla5[[#This Row],[Trenes Corridos]]</f>
        <v>0.85031041618762937</v>
      </c>
      <c r="AC206" s="35">
        <f>+Tabla5[[#This Row],[Trenes Corridos]]/Tabla5[[#This Row],[Trenes Programados]]</f>
        <v>0.99066059225512526</v>
      </c>
      <c r="AD206" s="20">
        <v>4390</v>
      </c>
      <c r="AE206" s="27">
        <f t="shared" si="92"/>
        <v>41</v>
      </c>
      <c r="AF206" s="20">
        <v>4349</v>
      </c>
      <c r="AG206" s="20">
        <v>3698</v>
      </c>
      <c r="AH206" s="20">
        <f t="shared" si="93"/>
        <v>651</v>
      </c>
      <c r="AI206" s="20"/>
      <c r="AJ206" s="5"/>
      <c r="AK206" s="29">
        <v>2009</v>
      </c>
      <c r="AL206" s="38" t="s">
        <v>46</v>
      </c>
      <c r="AM206" s="35">
        <f>+Tabla6[[#This Row],[Trenes Puntuales]]/Tabla6[[#This Row],[Trenes Programados]]</f>
        <v>0.8989802421924793</v>
      </c>
      <c r="AN206" s="35">
        <f>+Tabla6[[#This Row],[Trenes Puntuales]]/Tabla6[[#This Row],[Trenes Corridos]]</f>
        <v>0.90882731958762886</v>
      </c>
      <c r="AO206" s="35">
        <f>+Tabla6[[#This Row],[Trenes Corridos]]/Tabla6[[#This Row],[Trenes Programados]]</f>
        <v>0.9891650732950924</v>
      </c>
      <c r="AP206" s="20">
        <v>3138</v>
      </c>
      <c r="AQ206" s="27">
        <f t="shared" si="94"/>
        <v>34</v>
      </c>
      <c r="AR206" s="20">
        <v>3104</v>
      </c>
      <c r="AS206" s="20">
        <v>2821</v>
      </c>
      <c r="AT206" s="20">
        <f t="shared" si="95"/>
        <v>283</v>
      </c>
      <c r="AU206" s="20"/>
      <c r="AV206" s="5"/>
      <c r="AW206" s="29">
        <v>2009</v>
      </c>
      <c r="AX206" s="38" t="s">
        <v>46</v>
      </c>
      <c r="AY206" s="35">
        <f>+MIT_Vic_Cap[[#This Row],[Trenes Puntuales]]/MIT_Vic_Cap[[#This Row],[Trenes Programados]]</f>
        <v>0.91086065573770492</v>
      </c>
      <c r="AZ206" s="35">
        <f>+MIT_Vic_Cap[[#This Row],[Trenes Puntuales]]/MIT_Vic_Cap[[#This Row],[Trenes Corridos]]</f>
        <v>0.92991631799163177</v>
      </c>
      <c r="BA206" s="35">
        <f>+MIT_Vic_Cap[[#This Row],[Trenes Corridos]]/MIT_Vic_Cap[[#This Row],[Trenes Programados]]</f>
        <v>0.97950819672131151</v>
      </c>
      <c r="BB206" s="20">
        <v>976</v>
      </c>
      <c r="BC206" s="27">
        <f t="shared" si="96"/>
        <v>20</v>
      </c>
      <c r="BD206" s="20">
        <v>956</v>
      </c>
      <c r="BE206" s="20">
        <v>889</v>
      </c>
      <c r="BF206" s="20">
        <f t="shared" si="97"/>
        <v>67</v>
      </c>
      <c r="BG206" s="20"/>
      <c r="BH206" s="5"/>
      <c r="BI206" s="29">
        <v>2009</v>
      </c>
      <c r="BJ206" s="38" t="s">
        <v>46</v>
      </c>
      <c r="BK206" s="35">
        <f>+Tabla8[[#This Row],[Trenes Puntuales]]/Tabla8[[#This Row],[Trenes Programados]]</f>
        <v>0.72340425531914898</v>
      </c>
      <c r="BL206" s="35">
        <f>+Tabla8[[#This Row],[Trenes Puntuales]]/Tabla8[[#This Row],[Trenes Corridos]]</f>
        <v>0.75555555555555554</v>
      </c>
      <c r="BM206" s="35">
        <f>+Tabla8[[#This Row],[Trenes Corridos]]/Tabla8[[#This Row],[Trenes Programados]]</f>
        <v>0.95744680851063835</v>
      </c>
      <c r="BN206" s="20">
        <v>940</v>
      </c>
      <c r="BO206" s="27">
        <f t="shared" si="98"/>
        <v>40</v>
      </c>
      <c r="BP206" s="20">
        <v>900</v>
      </c>
      <c r="BQ206" s="20">
        <v>680</v>
      </c>
      <c r="BR206" s="20">
        <f t="shared" si="99"/>
        <v>220</v>
      </c>
      <c r="BS206" s="29"/>
    </row>
    <row r="207" spans="1:71" s="3" customFormat="1" ht="12.75">
      <c r="A207" s="3">
        <v>2009</v>
      </c>
      <c r="B207" s="38" t="s">
        <v>47</v>
      </c>
      <c r="C207" s="25">
        <f>+MITRE[[#This Row],[Trenes Puntuales]]/MITRE[[#This Row],[Trenes Programados]]</f>
        <v>0.85451306413301664</v>
      </c>
      <c r="D207" s="25">
        <f>+MITRE[[#This Row],[Trenes Puntuales]]/MITRE[[#This Row],[Trenes Corridos]]</f>
        <v>0.86948640483383688</v>
      </c>
      <c r="E207" s="25">
        <f>+MITRE[[#This Row],[Trenes Corridos]]/MITRE[[#This Row],[Trenes Programados]]</f>
        <v>0.98277909738717339</v>
      </c>
      <c r="F207" s="27">
        <f t="shared" si="100"/>
        <v>15156</v>
      </c>
      <c r="G207" s="27">
        <f t="shared" si="101"/>
        <v>261</v>
      </c>
      <c r="H207" s="27">
        <f t="shared" si="102"/>
        <v>14895</v>
      </c>
      <c r="I207" s="27">
        <f t="shared" si="103"/>
        <v>12951</v>
      </c>
      <c r="J207" s="27">
        <f t="shared" si="104"/>
        <v>1944</v>
      </c>
      <c r="K207" s="27"/>
      <c r="L207" s="4"/>
      <c r="M207" s="29">
        <v>2009</v>
      </c>
      <c r="N207" s="38" t="s">
        <v>47</v>
      </c>
      <c r="O207" s="35">
        <f>+Tabla4[[#This Row],[Trenes Puntuales]]/Tabla4[[#This Row],[Trenes Programados]]</f>
        <v>0.83657657657657658</v>
      </c>
      <c r="P207" s="35">
        <f>+Tabla4[[#This Row],[Trenes Puntuales]]/Tabla4[[#This Row],[Trenes Corridos]]</f>
        <v>0.85333578386326048</v>
      </c>
      <c r="Q207" s="35">
        <f>+Tabla4[[#This Row],[Trenes Corridos]]/Tabla4[[#This Row],[Trenes Programados]]</f>
        <v>0.98036036036036034</v>
      </c>
      <c r="R207" s="20">
        <v>5550</v>
      </c>
      <c r="S207" s="27">
        <f t="shared" si="90"/>
        <v>109</v>
      </c>
      <c r="T207" s="20">
        <v>5441</v>
      </c>
      <c r="U207" s="20">
        <v>4643</v>
      </c>
      <c r="V207" s="20">
        <f t="shared" si="91"/>
        <v>798</v>
      </c>
      <c r="W207" s="20"/>
      <c r="X207" s="5"/>
      <c r="Y207" s="29">
        <v>2009</v>
      </c>
      <c r="Z207" s="38" t="s">
        <v>47</v>
      </c>
      <c r="AA207" s="35">
        <f>+Tabla5[[#This Row],[Trenes Puntuales]]/Tabla5[[#This Row],[Trenes Programados]]</f>
        <v>0.85496183206106868</v>
      </c>
      <c r="AB207" s="35">
        <f>+Tabla5[[#This Row],[Trenes Puntuales]]/Tabla5[[#This Row],[Trenes Corridos]]</f>
        <v>0.86861313868613144</v>
      </c>
      <c r="AC207" s="35">
        <f>+Tabla5[[#This Row],[Trenes Corridos]]/Tabla5[[#This Row],[Trenes Programados]]</f>
        <v>0.98428378985181864</v>
      </c>
      <c r="AD207" s="20">
        <v>4454</v>
      </c>
      <c r="AE207" s="27">
        <f t="shared" si="92"/>
        <v>70</v>
      </c>
      <c r="AF207" s="20">
        <v>4384</v>
      </c>
      <c r="AG207" s="20">
        <v>3808</v>
      </c>
      <c r="AH207" s="20">
        <f t="shared" si="93"/>
        <v>576</v>
      </c>
      <c r="AI207" s="20"/>
      <c r="AJ207" s="5"/>
      <c r="AK207" s="29">
        <v>2009</v>
      </c>
      <c r="AL207" s="38" t="s">
        <v>47</v>
      </c>
      <c r="AM207" s="35">
        <f>+Tabla6[[#This Row],[Trenes Puntuales]]/Tabla6[[#This Row],[Trenes Programados]]</f>
        <v>0.9013690105787181</v>
      </c>
      <c r="AN207" s="35">
        <f>+Tabla6[[#This Row],[Trenes Puntuales]]/Tabla6[[#This Row],[Trenes Corridos]]</f>
        <v>0.9121536523929471</v>
      </c>
      <c r="AO207" s="35">
        <f>+Tabla6[[#This Row],[Trenes Corridos]]/Tabla6[[#This Row],[Trenes Programados]]</f>
        <v>0.98817672682016178</v>
      </c>
      <c r="AP207" s="20">
        <v>3214</v>
      </c>
      <c r="AQ207" s="27">
        <f t="shared" si="94"/>
        <v>38</v>
      </c>
      <c r="AR207" s="20">
        <v>3176</v>
      </c>
      <c r="AS207" s="20">
        <v>2897</v>
      </c>
      <c r="AT207" s="20">
        <f t="shared" si="95"/>
        <v>279</v>
      </c>
      <c r="AU207" s="20"/>
      <c r="AV207" s="5"/>
      <c r="AW207" s="29">
        <v>2009</v>
      </c>
      <c r="AX207" s="38" t="s">
        <v>47</v>
      </c>
      <c r="AY207" s="35">
        <f>+MIT_Vic_Cap[[#This Row],[Trenes Puntuales]]/MIT_Vic_Cap[[#This Row],[Trenes Programados]]</f>
        <v>0.93279839518555663</v>
      </c>
      <c r="AZ207" s="35">
        <f>+MIT_Vic_Cap[[#This Row],[Trenes Puntuales]]/MIT_Vic_Cap[[#This Row],[Trenes Corridos]]</f>
        <v>0.94512195121951215</v>
      </c>
      <c r="BA207" s="35">
        <f>+MIT_Vic_Cap[[#This Row],[Trenes Corridos]]/MIT_Vic_Cap[[#This Row],[Trenes Programados]]</f>
        <v>0.98696088264794379</v>
      </c>
      <c r="BB207" s="20">
        <v>997</v>
      </c>
      <c r="BC207" s="27">
        <f t="shared" si="96"/>
        <v>13</v>
      </c>
      <c r="BD207" s="20">
        <v>984</v>
      </c>
      <c r="BE207" s="20">
        <v>930</v>
      </c>
      <c r="BF207" s="20">
        <f t="shared" si="97"/>
        <v>54</v>
      </c>
      <c r="BG207" s="20"/>
      <c r="BH207" s="5"/>
      <c r="BI207" s="29">
        <v>2009</v>
      </c>
      <c r="BJ207" s="38" t="s">
        <v>47</v>
      </c>
      <c r="BK207" s="35">
        <f>+Tabla8[[#This Row],[Trenes Puntuales]]/Tabla8[[#This Row],[Trenes Programados]]</f>
        <v>0.71519659936238045</v>
      </c>
      <c r="BL207" s="35">
        <f>+Tabla8[[#This Row],[Trenes Puntuales]]/Tabla8[[#This Row],[Trenes Corridos]]</f>
        <v>0.7395604395604396</v>
      </c>
      <c r="BM207" s="35">
        <f>+Tabla8[[#This Row],[Trenes Corridos]]/Tabla8[[#This Row],[Trenes Programados]]</f>
        <v>0.96705632306057387</v>
      </c>
      <c r="BN207" s="20">
        <v>941</v>
      </c>
      <c r="BO207" s="27">
        <f t="shared" si="98"/>
        <v>31</v>
      </c>
      <c r="BP207" s="20">
        <v>910</v>
      </c>
      <c r="BQ207" s="20">
        <v>673</v>
      </c>
      <c r="BR207" s="20">
        <f t="shared" si="99"/>
        <v>237</v>
      </c>
      <c r="BS207" s="29"/>
    </row>
    <row r="208" spans="1:71" s="3" customFormat="1" ht="12.75">
      <c r="A208" s="3">
        <v>2009</v>
      </c>
      <c r="B208" s="38" t="s">
        <v>48</v>
      </c>
      <c r="C208" s="25">
        <f>+MITRE[[#This Row],[Trenes Puntuales]]/MITRE[[#This Row],[Trenes Programados]]</f>
        <v>0.83606445910110827</v>
      </c>
      <c r="D208" s="25">
        <f>+MITRE[[#This Row],[Trenes Puntuales]]/MITRE[[#This Row],[Trenes Corridos]]</f>
        <v>0.85794027351381519</v>
      </c>
      <c r="E208" s="25">
        <f>+MITRE[[#This Row],[Trenes Corridos]]/MITRE[[#This Row],[Trenes Programados]]</f>
        <v>0.97450193785272321</v>
      </c>
      <c r="F208" s="27">
        <f t="shared" si="100"/>
        <v>14707</v>
      </c>
      <c r="G208" s="27">
        <f t="shared" si="101"/>
        <v>375</v>
      </c>
      <c r="H208" s="27">
        <f t="shared" si="102"/>
        <v>14332</v>
      </c>
      <c r="I208" s="27">
        <f t="shared" si="103"/>
        <v>12296</v>
      </c>
      <c r="J208" s="27">
        <f t="shared" si="104"/>
        <v>2036</v>
      </c>
      <c r="K208" s="27"/>
      <c r="L208" s="4"/>
      <c r="M208" s="29">
        <v>2009</v>
      </c>
      <c r="N208" s="38" t="s">
        <v>48</v>
      </c>
      <c r="O208" s="35">
        <f>+Tabla4[[#This Row],[Trenes Puntuales]]/Tabla4[[#This Row],[Trenes Programados]]</f>
        <v>0.80408163265306121</v>
      </c>
      <c r="P208" s="35">
        <f>+Tabla4[[#This Row],[Trenes Puntuales]]/Tabla4[[#This Row],[Trenes Corridos]]</f>
        <v>0.82631077216396565</v>
      </c>
      <c r="Q208" s="35">
        <f>+Tabla4[[#This Row],[Trenes Corridos]]/Tabla4[[#This Row],[Trenes Programados]]</f>
        <v>0.97309833024118741</v>
      </c>
      <c r="R208" s="20">
        <v>5390</v>
      </c>
      <c r="S208" s="27">
        <f t="shared" si="90"/>
        <v>145</v>
      </c>
      <c r="T208" s="20">
        <v>5245</v>
      </c>
      <c r="U208" s="20">
        <v>4334</v>
      </c>
      <c r="V208" s="20">
        <f t="shared" si="91"/>
        <v>911</v>
      </c>
      <c r="W208" s="20"/>
      <c r="X208" s="5"/>
      <c r="Y208" s="29">
        <v>2009</v>
      </c>
      <c r="Z208" s="38" t="s">
        <v>48</v>
      </c>
      <c r="AA208" s="35">
        <f>+Tabla5[[#This Row],[Trenes Puntuales]]/Tabla5[[#This Row],[Trenes Programados]]</f>
        <v>0.843287037037037</v>
      </c>
      <c r="AB208" s="35">
        <f>+Tabla5[[#This Row],[Trenes Puntuales]]/Tabla5[[#This Row],[Trenes Corridos]]</f>
        <v>0.86388427792269384</v>
      </c>
      <c r="AC208" s="35">
        <f>+Tabla5[[#This Row],[Trenes Corridos]]/Tabla5[[#This Row],[Trenes Programados]]</f>
        <v>0.97615740740740742</v>
      </c>
      <c r="AD208" s="20">
        <v>4320</v>
      </c>
      <c r="AE208" s="27">
        <f t="shared" si="92"/>
        <v>103</v>
      </c>
      <c r="AF208" s="20">
        <v>4217</v>
      </c>
      <c r="AG208" s="20">
        <v>3643</v>
      </c>
      <c r="AH208" s="20">
        <f t="shared" si="93"/>
        <v>574</v>
      </c>
      <c r="AI208" s="20"/>
      <c r="AJ208" s="5"/>
      <c r="AK208" s="29">
        <v>2009</v>
      </c>
      <c r="AL208" s="38" t="s">
        <v>48</v>
      </c>
      <c r="AM208" s="35">
        <f>+Tabla6[[#This Row],[Trenes Puntuales]]/Tabla6[[#This Row],[Trenes Programados]]</f>
        <v>0.89170951156812339</v>
      </c>
      <c r="AN208" s="35">
        <f>+Tabla6[[#This Row],[Trenes Puntuales]]/Tabla6[[#This Row],[Trenes Corridos]]</f>
        <v>0.91765873015873012</v>
      </c>
      <c r="AO208" s="35">
        <f>+Tabla6[[#This Row],[Trenes Corridos]]/Tabla6[[#This Row],[Trenes Programados]]</f>
        <v>0.97172236503856046</v>
      </c>
      <c r="AP208" s="20">
        <v>3112</v>
      </c>
      <c r="AQ208" s="27">
        <f t="shared" si="94"/>
        <v>88</v>
      </c>
      <c r="AR208" s="20">
        <v>3024</v>
      </c>
      <c r="AS208" s="20">
        <v>2775</v>
      </c>
      <c r="AT208" s="20">
        <f t="shared" si="95"/>
        <v>249</v>
      </c>
      <c r="AU208" s="20"/>
      <c r="AV208" s="5"/>
      <c r="AW208" s="29">
        <v>2009</v>
      </c>
      <c r="AX208" s="38" t="s">
        <v>48</v>
      </c>
      <c r="AY208" s="35">
        <f>+MIT_Vic_Cap[[#This Row],[Trenes Puntuales]]/MIT_Vic_Cap[[#This Row],[Trenes Programados]]</f>
        <v>0.91088082901554401</v>
      </c>
      <c r="AZ208" s="35">
        <f>+MIT_Vic_Cap[[#This Row],[Trenes Puntuales]]/MIT_Vic_Cap[[#This Row],[Trenes Corridos]]</f>
        <v>0.93213149522799577</v>
      </c>
      <c r="BA208" s="35">
        <f>+MIT_Vic_Cap[[#This Row],[Trenes Corridos]]/MIT_Vic_Cap[[#This Row],[Trenes Programados]]</f>
        <v>0.97720207253886016</v>
      </c>
      <c r="BB208" s="20">
        <v>965</v>
      </c>
      <c r="BC208" s="27">
        <f t="shared" si="96"/>
        <v>22</v>
      </c>
      <c r="BD208" s="20">
        <v>943</v>
      </c>
      <c r="BE208" s="20">
        <v>879</v>
      </c>
      <c r="BF208" s="20">
        <f t="shared" si="97"/>
        <v>64</v>
      </c>
      <c r="BG208" s="20"/>
      <c r="BH208" s="5"/>
      <c r="BI208" s="29">
        <v>2009</v>
      </c>
      <c r="BJ208" s="38" t="s">
        <v>48</v>
      </c>
      <c r="BK208" s="35">
        <f>+Tabla8[[#This Row],[Trenes Puntuales]]/Tabla8[[#This Row],[Trenes Programados]]</f>
        <v>0.72282608695652173</v>
      </c>
      <c r="BL208" s="35">
        <f>+Tabla8[[#This Row],[Trenes Puntuales]]/Tabla8[[#This Row],[Trenes Corridos]]</f>
        <v>0.73643410852713176</v>
      </c>
      <c r="BM208" s="35">
        <f>+Tabla8[[#This Row],[Trenes Corridos]]/Tabla8[[#This Row],[Trenes Programados]]</f>
        <v>0.98152173913043483</v>
      </c>
      <c r="BN208" s="20">
        <v>920</v>
      </c>
      <c r="BO208" s="27">
        <f t="shared" si="98"/>
        <v>17</v>
      </c>
      <c r="BP208" s="20">
        <v>903</v>
      </c>
      <c r="BQ208" s="20">
        <v>665</v>
      </c>
      <c r="BR208" s="20">
        <f t="shared" si="99"/>
        <v>238</v>
      </c>
      <c r="BS208" s="29"/>
    </row>
    <row r="209" spans="1:71" s="3" customFormat="1" ht="12.75">
      <c r="A209" s="3">
        <v>2009</v>
      </c>
      <c r="B209" s="38" t="s">
        <v>49</v>
      </c>
      <c r="C209" s="25">
        <f>+MITRE[[#This Row],[Trenes Puntuales]]/MITRE[[#This Row],[Trenes Programados]]</f>
        <v>0.79603380581619754</v>
      </c>
      <c r="D209" s="25">
        <f>+MITRE[[#This Row],[Trenes Puntuales]]/MITRE[[#This Row],[Trenes Corridos]]</f>
        <v>0.82382920110192837</v>
      </c>
      <c r="E209" s="25">
        <f>+MITRE[[#This Row],[Trenes Corridos]]/MITRE[[#This Row],[Trenes Programados]]</f>
        <v>0.96626073068476737</v>
      </c>
      <c r="F209" s="27">
        <f t="shared" si="100"/>
        <v>15027</v>
      </c>
      <c r="G209" s="27">
        <f t="shared" si="101"/>
        <v>507</v>
      </c>
      <c r="H209" s="27">
        <f t="shared" si="102"/>
        <v>14520</v>
      </c>
      <c r="I209" s="27">
        <f t="shared" si="103"/>
        <v>11962</v>
      </c>
      <c r="J209" s="27">
        <f t="shared" si="104"/>
        <v>2558</v>
      </c>
      <c r="K209" s="27"/>
      <c r="L209" s="4"/>
      <c r="M209" s="29">
        <v>2009</v>
      </c>
      <c r="N209" s="38" t="s">
        <v>49</v>
      </c>
      <c r="O209" s="35">
        <f>+Tabla4[[#This Row],[Trenes Puntuales]]/Tabla4[[#This Row],[Trenes Programados]]</f>
        <v>0.74272727272727268</v>
      </c>
      <c r="P209" s="35">
        <f>+Tabla4[[#This Row],[Trenes Puntuales]]/Tabla4[[#This Row],[Trenes Corridos]]</f>
        <v>0.7729422894985809</v>
      </c>
      <c r="Q209" s="35">
        <f>+Tabla4[[#This Row],[Trenes Corridos]]/Tabla4[[#This Row],[Trenes Programados]]</f>
        <v>0.96090909090909093</v>
      </c>
      <c r="R209" s="20">
        <v>5500</v>
      </c>
      <c r="S209" s="27">
        <f t="shared" si="90"/>
        <v>215</v>
      </c>
      <c r="T209" s="20">
        <v>5285</v>
      </c>
      <c r="U209" s="20">
        <v>4085</v>
      </c>
      <c r="V209" s="20">
        <f t="shared" si="91"/>
        <v>1200</v>
      </c>
      <c r="W209" s="20"/>
      <c r="X209" s="5"/>
      <c r="Y209" s="29">
        <v>2009</v>
      </c>
      <c r="Z209" s="38" t="s">
        <v>49</v>
      </c>
      <c r="AA209" s="35">
        <f>+Tabla5[[#This Row],[Trenes Puntuales]]/Tabla5[[#This Row],[Trenes Programados]]</f>
        <v>0.83080063506464052</v>
      </c>
      <c r="AB209" s="35">
        <f>+Tabla5[[#This Row],[Trenes Puntuales]]/Tabla5[[#This Row],[Trenes Corridos]]</f>
        <v>0.84948979591836737</v>
      </c>
      <c r="AC209" s="35">
        <f>+Tabla5[[#This Row],[Trenes Corridos]]/Tabla5[[#This Row],[Trenes Programados]]</f>
        <v>0.97799954638239961</v>
      </c>
      <c r="AD209" s="20">
        <v>4409</v>
      </c>
      <c r="AE209" s="27">
        <f t="shared" si="92"/>
        <v>97</v>
      </c>
      <c r="AF209" s="20">
        <v>4312</v>
      </c>
      <c r="AG209" s="20">
        <v>3663</v>
      </c>
      <c r="AH209" s="20">
        <f t="shared" si="93"/>
        <v>649</v>
      </c>
      <c r="AI209" s="20"/>
      <c r="AJ209" s="5"/>
      <c r="AK209" s="29">
        <v>2009</v>
      </c>
      <c r="AL209" s="38" t="s">
        <v>49</v>
      </c>
      <c r="AM209" s="35">
        <f>+Tabla6[[#This Row],[Trenes Puntuales]]/Tabla6[[#This Row],[Trenes Programados]]</f>
        <v>0.85226917057902973</v>
      </c>
      <c r="AN209" s="35">
        <f>+Tabla6[[#This Row],[Trenes Puntuales]]/Tabla6[[#This Row],[Trenes Corridos]]</f>
        <v>0.88065976714100902</v>
      </c>
      <c r="AO209" s="35">
        <f>+Tabla6[[#This Row],[Trenes Corridos]]/Tabla6[[#This Row],[Trenes Programados]]</f>
        <v>0.96776212832550856</v>
      </c>
      <c r="AP209" s="20">
        <v>3195</v>
      </c>
      <c r="AQ209" s="27">
        <f t="shared" si="94"/>
        <v>103</v>
      </c>
      <c r="AR209" s="20">
        <v>3092</v>
      </c>
      <c r="AS209" s="20">
        <v>2723</v>
      </c>
      <c r="AT209" s="20">
        <f t="shared" si="95"/>
        <v>369</v>
      </c>
      <c r="AU209" s="20"/>
      <c r="AV209" s="5"/>
      <c r="AW209" s="29">
        <v>2009</v>
      </c>
      <c r="AX209" s="38" t="s">
        <v>49</v>
      </c>
      <c r="AY209" s="35">
        <f>+MIT_Vic_Cap[[#This Row],[Trenes Puntuales]]/MIT_Vic_Cap[[#This Row],[Trenes Programados]]</f>
        <v>0.86018237082066873</v>
      </c>
      <c r="AZ209" s="35">
        <f>+MIT_Vic_Cap[[#This Row],[Trenes Puntuales]]/MIT_Vic_Cap[[#This Row],[Trenes Corridos]]</f>
        <v>0.89556962025316456</v>
      </c>
      <c r="BA209" s="35">
        <f>+MIT_Vic_Cap[[#This Row],[Trenes Corridos]]/MIT_Vic_Cap[[#This Row],[Trenes Programados]]</f>
        <v>0.96048632218844987</v>
      </c>
      <c r="BB209" s="20">
        <v>987</v>
      </c>
      <c r="BC209" s="27">
        <f t="shared" si="96"/>
        <v>39</v>
      </c>
      <c r="BD209" s="20">
        <v>948</v>
      </c>
      <c r="BE209" s="20">
        <v>849</v>
      </c>
      <c r="BF209" s="20">
        <f t="shared" si="97"/>
        <v>99</v>
      </c>
      <c r="BG209" s="20"/>
      <c r="BH209" s="5"/>
      <c r="BI209" s="29">
        <v>2009</v>
      </c>
      <c r="BJ209" s="38" t="s">
        <v>49</v>
      </c>
      <c r="BK209" s="35">
        <f>+Tabla8[[#This Row],[Trenes Puntuales]]/Tabla8[[#This Row],[Trenes Programados]]</f>
        <v>0.6858974358974359</v>
      </c>
      <c r="BL209" s="35">
        <f>+Tabla8[[#This Row],[Trenes Puntuales]]/Tabla8[[#This Row],[Trenes Corridos]]</f>
        <v>0.72706681766704417</v>
      </c>
      <c r="BM209" s="35">
        <f>+Tabla8[[#This Row],[Trenes Corridos]]/Tabla8[[#This Row],[Trenes Programados]]</f>
        <v>0.94337606837606836</v>
      </c>
      <c r="BN209" s="20">
        <v>936</v>
      </c>
      <c r="BO209" s="27">
        <f t="shared" si="98"/>
        <v>53</v>
      </c>
      <c r="BP209" s="20">
        <v>883</v>
      </c>
      <c r="BQ209" s="20">
        <v>642</v>
      </c>
      <c r="BR209" s="20">
        <f t="shared" si="99"/>
        <v>241</v>
      </c>
      <c r="BS209" s="29"/>
    </row>
    <row r="210" spans="1:71" s="3" customFormat="1" ht="12.75">
      <c r="A210" s="3">
        <v>2010</v>
      </c>
      <c r="B210" s="38" t="s">
        <v>38</v>
      </c>
      <c r="C210" s="25">
        <f>+MITRE[[#This Row],[Trenes Puntuales]]/MITRE[[#This Row],[Trenes Programados]]</f>
        <v>0.83312136019813909</v>
      </c>
      <c r="D210" s="25">
        <f>+MITRE[[#This Row],[Trenes Puntuales]]/MITRE[[#This Row],[Trenes Corridos]]</f>
        <v>0.85970850314291636</v>
      </c>
      <c r="E210" s="25">
        <f>+MITRE[[#This Row],[Trenes Corridos]]/MITRE[[#This Row],[Trenes Programados]]</f>
        <v>0.96907423522324121</v>
      </c>
      <c r="F210" s="27">
        <f t="shared" si="100"/>
        <v>14939</v>
      </c>
      <c r="G210" s="27">
        <f t="shared" si="101"/>
        <v>462</v>
      </c>
      <c r="H210" s="27">
        <f t="shared" si="102"/>
        <v>14477</v>
      </c>
      <c r="I210" s="27">
        <f t="shared" si="103"/>
        <v>12446</v>
      </c>
      <c r="J210" s="27">
        <f t="shared" si="104"/>
        <v>2031</v>
      </c>
      <c r="K210" s="27"/>
      <c r="L210" s="4"/>
      <c r="M210" s="29">
        <v>2010</v>
      </c>
      <c r="N210" s="38" t="s">
        <v>38</v>
      </c>
      <c r="O210" s="35">
        <f>+Tabla4[[#This Row],[Trenes Puntuales]]/Tabla4[[#This Row],[Trenes Programados]]</f>
        <v>0.78919413919413917</v>
      </c>
      <c r="P210" s="35">
        <f>+Tabla4[[#This Row],[Trenes Puntuales]]/Tabla4[[#This Row],[Trenes Corridos]]</f>
        <v>0.83410762679055361</v>
      </c>
      <c r="Q210" s="35">
        <f>+Tabla4[[#This Row],[Trenes Corridos]]/Tabla4[[#This Row],[Trenes Programados]]</f>
        <v>0.94615384615384612</v>
      </c>
      <c r="R210" s="20">
        <v>5460</v>
      </c>
      <c r="S210" s="27">
        <f t="shared" ref="S210:S221" si="105">R210-T210</f>
        <v>294</v>
      </c>
      <c r="T210" s="20">
        <v>5166</v>
      </c>
      <c r="U210" s="20">
        <v>4309</v>
      </c>
      <c r="V210" s="20">
        <f t="shared" ref="V210:V221" si="106">T210-U210</f>
        <v>857</v>
      </c>
      <c r="W210" s="20"/>
      <c r="X210" s="5"/>
      <c r="Y210" s="29">
        <v>2010</v>
      </c>
      <c r="Z210" s="38" t="s">
        <v>38</v>
      </c>
      <c r="AA210" s="35">
        <f>+Tabla5[[#This Row],[Trenes Puntuales]]/Tabla5[[#This Row],[Trenes Programados]]</f>
        <v>0.85355839416058399</v>
      </c>
      <c r="AB210" s="35">
        <f>+Tabla5[[#This Row],[Trenes Puntuales]]/Tabla5[[#This Row],[Trenes Corridos]]</f>
        <v>0.86962584243551011</v>
      </c>
      <c r="AC210" s="35">
        <f>+Tabla5[[#This Row],[Trenes Corridos]]/Tabla5[[#This Row],[Trenes Programados]]</f>
        <v>0.98152372262773724</v>
      </c>
      <c r="AD210" s="20">
        <v>4384</v>
      </c>
      <c r="AE210" s="27">
        <f t="shared" ref="AE210:AE221" si="107">AD210-AF210</f>
        <v>81</v>
      </c>
      <c r="AF210" s="20">
        <v>4303</v>
      </c>
      <c r="AG210" s="20">
        <v>3742</v>
      </c>
      <c r="AH210" s="20">
        <f t="shared" ref="AH210:AH221" si="108">AF210-AG210</f>
        <v>561</v>
      </c>
      <c r="AI210" s="20"/>
      <c r="AJ210" s="5"/>
      <c r="AK210" s="29">
        <v>2010</v>
      </c>
      <c r="AL210" s="38" t="s">
        <v>38</v>
      </c>
      <c r="AM210" s="35">
        <f>+Tabla6[[#This Row],[Trenes Puntuales]]/Tabla6[[#This Row],[Trenes Programados]]</f>
        <v>0.88958594730238394</v>
      </c>
      <c r="AN210" s="35">
        <f>+Tabla6[[#This Row],[Trenes Puntuales]]/Tabla6[[#This Row],[Trenes Corridos]]</f>
        <v>0.9031847133757962</v>
      </c>
      <c r="AO210" s="35">
        <f>+Tabla6[[#This Row],[Trenes Corridos]]/Tabla6[[#This Row],[Trenes Programados]]</f>
        <v>0.98494353826850689</v>
      </c>
      <c r="AP210" s="20">
        <v>3188</v>
      </c>
      <c r="AQ210" s="27">
        <f t="shared" ref="AQ210:AQ221" si="109">AP210-AR210</f>
        <v>48</v>
      </c>
      <c r="AR210" s="20">
        <v>3140</v>
      </c>
      <c r="AS210" s="20">
        <v>2836</v>
      </c>
      <c r="AT210" s="20">
        <f t="shared" ref="AT210:AT221" si="110">AR210-AS210</f>
        <v>304</v>
      </c>
      <c r="AU210" s="20"/>
      <c r="AV210" s="5"/>
      <c r="AW210" s="29">
        <v>2010</v>
      </c>
      <c r="AX210" s="38" t="s">
        <v>38</v>
      </c>
      <c r="AY210" s="35">
        <f>+MIT_Vic_Cap[[#This Row],[Trenes Puntuales]]/MIT_Vic_Cap[[#This Row],[Trenes Programados]]</f>
        <v>0.86916835699797157</v>
      </c>
      <c r="AZ210" s="35">
        <f>+MIT_Vic_Cap[[#This Row],[Trenes Puntuales]]/MIT_Vic_Cap[[#This Row],[Trenes Corridos]]</f>
        <v>0.88992731048805818</v>
      </c>
      <c r="BA210" s="35">
        <f>+MIT_Vic_Cap[[#This Row],[Trenes Corridos]]/MIT_Vic_Cap[[#This Row],[Trenes Programados]]</f>
        <v>0.97667342799188639</v>
      </c>
      <c r="BB210" s="20">
        <v>986</v>
      </c>
      <c r="BC210" s="27">
        <f t="shared" ref="BC210:BC221" si="111">BB210-BD210</f>
        <v>23</v>
      </c>
      <c r="BD210" s="20">
        <v>963</v>
      </c>
      <c r="BE210" s="20">
        <v>857</v>
      </c>
      <c r="BF210" s="20">
        <f t="shared" ref="BF210:BF221" si="112">BD210-BE210</f>
        <v>106</v>
      </c>
      <c r="BG210" s="20"/>
      <c r="BH210" s="5"/>
      <c r="BI210" s="29">
        <v>2010</v>
      </c>
      <c r="BJ210" s="38" t="s">
        <v>38</v>
      </c>
      <c r="BK210" s="35">
        <f>+Tabla8[[#This Row],[Trenes Puntuales]]/Tabla8[[#This Row],[Trenes Programados]]</f>
        <v>0.76221498371335505</v>
      </c>
      <c r="BL210" s="35">
        <f>+Tabla8[[#This Row],[Trenes Puntuales]]/Tabla8[[#This Row],[Trenes Corridos]]</f>
        <v>0.77569060773480658</v>
      </c>
      <c r="BM210" s="35">
        <f>+Tabla8[[#This Row],[Trenes Corridos]]/Tabla8[[#This Row],[Trenes Programados]]</f>
        <v>0.98262757871878392</v>
      </c>
      <c r="BN210" s="20">
        <v>921</v>
      </c>
      <c r="BO210" s="20">
        <v>57</v>
      </c>
      <c r="BP210" s="20">
        <v>905</v>
      </c>
      <c r="BQ210" s="20">
        <v>702</v>
      </c>
      <c r="BR210" s="20">
        <f t="shared" ref="BR210:BR221" si="113">BP210-BQ210</f>
        <v>203</v>
      </c>
      <c r="BS210" s="29"/>
    </row>
    <row r="211" spans="1:71" s="3" customFormat="1" ht="12.75">
      <c r="A211" s="3">
        <v>2010</v>
      </c>
      <c r="B211" s="38" t="s">
        <v>39</v>
      </c>
      <c r="C211" s="25">
        <f>+MITRE[[#This Row],[Trenes Puntuales]]/MITRE[[#This Row],[Trenes Programados]]</f>
        <v>0.82733968804159441</v>
      </c>
      <c r="D211" s="25">
        <f>+MITRE[[#This Row],[Trenes Puntuales]]/MITRE[[#This Row],[Trenes Corridos]]</f>
        <v>0.85499999999999998</v>
      </c>
      <c r="E211" s="25">
        <f>+MITRE[[#This Row],[Trenes Corridos]]/MITRE[[#This Row],[Trenes Programados]]</f>
        <v>0.96764875794338534</v>
      </c>
      <c r="F211" s="27">
        <f t="shared" si="100"/>
        <v>13848</v>
      </c>
      <c r="G211" s="27">
        <f t="shared" si="101"/>
        <v>448</v>
      </c>
      <c r="H211" s="27">
        <f t="shared" si="102"/>
        <v>13400</v>
      </c>
      <c r="I211" s="27">
        <f t="shared" si="103"/>
        <v>11457</v>
      </c>
      <c r="J211" s="27">
        <f t="shared" si="104"/>
        <v>1943</v>
      </c>
      <c r="K211" s="27"/>
      <c r="L211" s="4"/>
      <c r="M211" s="29">
        <v>2010</v>
      </c>
      <c r="N211" s="38" t="s">
        <v>39</v>
      </c>
      <c r="O211" s="35">
        <f>+Tabla4[[#This Row],[Trenes Puntuales]]/Tabla4[[#This Row],[Trenes Programados]]</f>
        <v>0.79566929133858266</v>
      </c>
      <c r="P211" s="35">
        <f>+Tabla4[[#This Row],[Trenes Puntuales]]/Tabla4[[#This Row],[Trenes Corridos]]</f>
        <v>0.83168724279835393</v>
      </c>
      <c r="Q211" s="35">
        <f>+Tabla4[[#This Row],[Trenes Corridos]]/Tabla4[[#This Row],[Trenes Programados]]</f>
        <v>0.95669291338582674</v>
      </c>
      <c r="R211" s="20">
        <v>5080</v>
      </c>
      <c r="S211" s="27">
        <f t="shared" si="105"/>
        <v>220</v>
      </c>
      <c r="T211" s="20">
        <v>4860</v>
      </c>
      <c r="U211" s="20">
        <v>4042</v>
      </c>
      <c r="V211" s="20">
        <f t="shared" si="106"/>
        <v>818</v>
      </c>
      <c r="W211" s="20"/>
      <c r="X211" s="5"/>
      <c r="Y211" s="29">
        <v>2010</v>
      </c>
      <c r="Z211" s="38" t="s">
        <v>39</v>
      </c>
      <c r="AA211" s="35">
        <f>+Tabla5[[#This Row],[Trenes Puntuales]]/Tabla5[[#This Row],[Trenes Programados]]</f>
        <v>0.84503929273084477</v>
      </c>
      <c r="AB211" s="35">
        <f>+Tabla5[[#This Row],[Trenes Puntuales]]/Tabla5[[#This Row],[Trenes Corridos]]</f>
        <v>0.86522504400301736</v>
      </c>
      <c r="AC211" s="35">
        <f>+Tabla5[[#This Row],[Trenes Corridos]]/Tabla5[[#This Row],[Trenes Programados]]</f>
        <v>0.97666994106090377</v>
      </c>
      <c r="AD211" s="20">
        <v>4072</v>
      </c>
      <c r="AE211" s="27">
        <f t="shared" si="107"/>
        <v>95</v>
      </c>
      <c r="AF211" s="20">
        <v>3977</v>
      </c>
      <c r="AG211" s="20">
        <v>3441</v>
      </c>
      <c r="AH211" s="20">
        <f t="shared" si="108"/>
        <v>536</v>
      </c>
      <c r="AI211" s="20"/>
      <c r="AJ211" s="5"/>
      <c r="AK211" s="29">
        <v>2010</v>
      </c>
      <c r="AL211" s="38" t="s">
        <v>39</v>
      </c>
      <c r="AM211" s="35">
        <f>+Tabla6[[#This Row],[Trenes Puntuales]]/Tabla6[[#This Row],[Trenes Programados]]</f>
        <v>0.84452054794520548</v>
      </c>
      <c r="AN211" s="35">
        <f>+Tabla6[[#This Row],[Trenes Puntuales]]/Tabla6[[#This Row],[Trenes Corridos]]</f>
        <v>0.87322946175637395</v>
      </c>
      <c r="AO211" s="35">
        <f>+Tabla6[[#This Row],[Trenes Corridos]]/Tabla6[[#This Row],[Trenes Programados]]</f>
        <v>0.9671232876712329</v>
      </c>
      <c r="AP211" s="20">
        <v>2920</v>
      </c>
      <c r="AQ211" s="27">
        <f t="shared" si="109"/>
        <v>96</v>
      </c>
      <c r="AR211" s="20">
        <v>2824</v>
      </c>
      <c r="AS211" s="20">
        <v>2466</v>
      </c>
      <c r="AT211" s="20">
        <f t="shared" si="110"/>
        <v>358</v>
      </c>
      <c r="AU211" s="20"/>
      <c r="AV211" s="5"/>
      <c r="AW211" s="29">
        <v>2010</v>
      </c>
      <c r="AX211" s="38" t="s">
        <v>39</v>
      </c>
      <c r="AY211" s="35">
        <f>+MIT_Vic_Cap[[#This Row],[Trenes Puntuales]]/MIT_Vic_Cap[[#This Row],[Trenes Programados]]</f>
        <v>0.85682819383259912</v>
      </c>
      <c r="AZ211" s="35">
        <f>+MIT_Vic_Cap[[#This Row],[Trenes Puntuales]]/MIT_Vic_Cap[[#This Row],[Trenes Corridos]]</f>
        <v>0.88208616780045357</v>
      </c>
      <c r="BA211" s="35">
        <f>+MIT_Vic_Cap[[#This Row],[Trenes Corridos]]/MIT_Vic_Cap[[#This Row],[Trenes Programados]]</f>
        <v>0.97136563876651982</v>
      </c>
      <c r="BB211" s="20">
        <v>908</v>
      </c>
      <c r="BC211" s="27">
        <f t="shared" si="111"/>
        <v>26</v>
      </c>
      <c r="BD211" s="20">
        <v>882</v>
      </c>
      <c r="BE211" s="20">
        <v>778</v>
      </c>
      <c r="BF211" s="20">
        <f t="shared" si="112"/>
        <v>104</v>
      </c>
      <c r="BG211" s="20"/>
      <c r="BH211" s="5"/>
      <c r="BI211" s="29">
        <v>2010</v>
      </c>
      <c r="BJ211" s="38" t="s">
        <v>39</v>
      </c>
      <c r="BK211" s="35">
        <f>+Tabla8[[#This Row],[Trenes Puntuales]]/Tabla8[[#This Row],[Trenes Programados]]</f>
        <v>0.84101382488479259</v>
      </c>
      <c r="BL211" s="35">
        <f>+Tabla8[[#This Row],[Trenes Puntuales]]/Tabla8[[#This Row],[Trenes Corridos]]</f>
        <v>0.85180863477246205</v>
      </c>
      <c r="BM211" s="35">
        <f>+Tabla8[[#This Row],[Trenes Corridos]]/Tabla8[[#This Row],[Trenes Programados]]</f>
        <v>0.98732718894009219</v>
      </c>
      <c r="BN211" s="20">
        <v>868</v>
      </c>
      <c r="BO211" s="20">
        <v>75</v>
      </c>
      <c r="BP211" s="20">
        <v>857</v>
      </c>
      <c r="BQ211" s="20">
        <v>730</v>
      </c>
      <c r="BR211" s="20">
        <f t="shared" si="113"/>
        <v>127</v>
      </c>
      <c r="BS211" s="29"/>
    </row>
    <row r="212" spans="1:71" s="3" customFormat="1" ht="12.75">
      <c r="A212" s="3">
        <v>2010</v>
      </c>
      <c r="B212" s="38" t="s">
        <v>40</v>
      </c>
      <c r="C212" s="25">
        <f>+MITRE[[#This Row],[Trenes Puntuales]]/MITRE[[#This Row],[Trenes Programados]]</f>
        <v>0.83673335519842573</v>
      </c>
      <c r="D212" s="25">
        <f>+MITRE[[#This Row],[Trenes Puntuales]]/MITRE[[#This Row],[Trenes Corridos]]</f>
        <v>0.85702768073098634</v>
      </c>
      <c r="E212" s="25">
        <f>+MITRE[[#This Row],[Trenes Corridos]]/MITRE[[#This Row],[Trenes Programados]]</f>
        <v>0.97632010495244348</v>
      </c>
      <c r="F212" s="27">
        <f t="shared" si="100"/>
        <v>15245</v>
      </c>
      <c r="G212" s="27">
        <f t="shared" si="101"/>
        <v>361</v>
      </c>
      <c r="H212" s="27">
        <f t="shared" si="102"/>
        <v>14884</v>
      </c>
      <c r="I212" s="27">
        <f t="shared" si="103"/>
        <v>12756</v>
      </c>
      <c r="J212" s="27">
        <f t="shared" si="104"/>
        <v>2128</v>
      </c>
      <c r="K212" s="27"/>
      <c r="L212" s="4"/>
      <c r="M212" s="29">
        <v>2010</v>
      </c>
      <c r="N212" s="38" t="s">
        <v>40</v>
      </c>
      <c r="O212" s="35">
        <f>+Tabla4[[#This Row],[Trenes Puntuales]]/Tabla4[[#This Row],[Trenes Programados]]</f>
        <v>0.79856887298747758</v>
      </c>
      <c r="P212" s="35">
        <f>+Tabla4[[#This Row],[Trenes Puntuales]]/Tabla4[[#This Row],[Trenes Corridos]]</f>
        <v>0.8272794662713121</v>
      </c>
      <c r="Q212" s="35">
        <f>+Tabla4[[#This Row],[Trenes Corridos]]/Tabla4[[#This Row],[Trenes Programados]]</f>
        <v>0.96529516994633269</v>
      </c>
      <c r="R212" s="20">
        <v>5590</v>
      </c>
      <c r="S212" s="27">
        <f t="shared" si="105"/>
        <v>194</v>
      </c>
      <c r="T212" s="20">
        <v>5396</v>
      </c>
      <c r="U212" s="20">
        <v>4464</v>
      </c>
      <c r="V212" s="20">
        <f t="shared" si="106"/>
        <v>932</v>
      </c>
      <c r="W212" s="20"/>
      <c r="X212" s="5"/>
      <c r="Y212" s="29">
        <v>2010</v>
      </c>
      <c r="Z212" s="38" t="s">
        <v>40</v>
      </c>
      <c r="AA212" s="35">
        <f>+Tabla5[[#This Row],[Trenes Puntuales]]/Tabla5[[#This Row],[Trenes Programados]]</f>
        <v>0.84706407680285778</v>
      </c>
      <c r="AB212" s="35">
        <f>+Tabla5[[#This Row],[Trenes Puntuales]]/Tabla5[[#This Row],[Trenes Corridos]]</f>
        <v>0.85875961973743775</v>
      </c>
      <c r="AC212" s="35">
        <f>+Tabla5[[#This Row],[Trenes Corridos]]/Tabla5[[#This Row],[Trenes Programados]]</f>
        <v>0.98638088859120343</v>
      </c>
      <c r="AD212" s="20">
        <v>4479</v>
      </c>
      <c r="AE212" s="27">
        <f t="shared" si="107"/>
        <v>61</v>
      </c>
      <c r="AF212" s="20">
        <v>4418</v>
      </c>
      <c r="AG212" s="20">
        <v>3794</v>
      </c>
      <c r="AH212" s="20">
        <f t="shared" si="108"/>
        <v>624</v>
      </c>
      <c r="AI212" s="20"/>
      <c r="AJ212" s="5"/>
      <c r="AK212" s="29">
        <v>2010</v>
      </c>
      <c r="AL212" s="38" t="s">
        <v>40</v>
      </c>
      <c r="AM212" s="35">
        <f>+Tabla6[[#This Row],[Trenes Puntuales]]/Tabla6[[#This Row],[Trenes Programados]]</f>
        <v>0.89102763117044392</v>
      </c>
      <c r="AN212" s="35">
        <f>+Tabla6[[#This Row],[Trenes Puntuales]]/Tabla6[[#This Row],[Trenes Corridos]]</f>
        <v>0.90966719492868464</v>
      </c>
      <c r="AO212" s="35">
        <f>+Tabla6[[#This Row],[Trenes Corridos]]/Tabla6[[#This Row],[Trenes Programados]]</f>
        <v>0.97950946910897241</v>
      </c>
      <c r="AP212" s="20">
        <v>3221</v>
      </c>
      <c r="AQ212" s="27">
        <f t="shared" si="109"/>
        <v>66</v>
      </c>
      <c r="AR212" s="20">
        <v>3155</v>
      </c>
      <c r="AS212" s="20">
        <v>2870</v>
      </c>
      <c r="AT212" s="20">
        <f t="shared" si="110"/>
        <v>285</v>
      </c>
      <c r="AU212" s="20"/>
      <c r="AV212" s="5"/>
      <c r="AW212" s="29">
        <v>2010</v>
      </c>
      <c r="AX212" s="38" t="s">
        <v>40</v>
      </c>
      <c r="AY212" s="35">
        <f>+MIT_Vic_Cap[[#This Row],[Trenes Puntuales]]/MIT_Vic_Cap[[#This Row],[Trenes Programados]]</f>
        <v>0.8858858858858859</v>
      </c>
      <c r="AZ212" s="35">
        <f>+MIT_Vic_Cap[[#This Row],[Trenes Puntuales]]/MIT_Vic_Cap[[#This Row],[Trenes Corridos]]</f>
        <v>0.91143151390319255</v>
      </c>
      <c r="BA212" s="35">
        <f>+MIT_Vic_Cap[[#This Row],[Trenes Corridos]]/MIT_Vic_Cap[[#This Row],[Trenes Programados]]</f>
        <v>0.97197197197197194</v>
      </c>
      <c r="BB212" s="20">
        <v>999</v>
      </c>
      <c r="BC212" s="27">
        <f t="shared" si="111"/>
        <v>28</v>
      </c>
      <c r="BD212" s="20">
        <v>971</v>
      </c>
      <c r="BE212" s="20">
        <v>885</v>
      </c>
      <c r="BF212" s="20">
        <f t="shared" si="112"/>
        <v>86</v>
      </c>
      <c r="BG212" s="20"/>
      <c r="BH212" s="5"/>
      <c r="BI212" s="29">
        <v>2010</v>
      </c>
      <c r="BJ212" s="38" t="s">
        <v>40</v>
      </c>
      <c r="BK212" s="35">
        <f>+Tabla8[[#This Row],[Trenes Puntuales]]/Tabla8[[#This Row],[Trenes Programados]]</f>
        <v>0.77719665271966532</v>
      </c>
      <c r="BL212" s="35">
        <f>+Tabla8[[#This Row],[Trenes Puntuales]]/Tabla8[[#This Row],[Trenes Corridos]]</f>
        <v>0.78707627118644063</v>
      </c>
      <c r="BM212" s="35">
        <f>+Tabla8[[#This Row],[Trenes Corridos]]/Tabla8[[#This Row],[Trenes Programados]]</f>
        <v>0.9874476987447699</v>
      </c>
      <c r="BN212" s="20">
        <v>956</v>
      </c>
      <c r="BO212" s="20">
        <v>14</v>
      </c>
      <c r="BP212" s="20">
        <v>944</v>
      </c>
      <c r="BQ212" s="20">
        <v>743</v>
      </c>
      <c r="BR212" s="20">
        <f t="shared" si="113"/>
        <v>201</v>
      </c>
      <c r="BS212" s="29"/>
    </row>
    <row r="213" spans="1:71" s="3" customFormat="1" ht="12.75">
      <c r="A213" s="3">
        <v>2010</v>
      </c>
      <c r="B213" s="38" t="s">
        <v>41</v>
      </c>
      <c r="C213" s="25">
        <f>+MITRE[[#This Row],[Trenes Puntuales]]/MITRE[[#This Row],[Trenes Programados]]</f>
        <v>0.83190534475724198</v>
      </c>
      <c r="D213" s="25">
        <f>+MITRE[[#This Row],[Trenes Puntuales]]/MITRE[[#This Row],[Trenes Corridos]]</f>
        <v>0.84576564120290354</v>
      </c>
      <c r="E213" s="25">
        <f>+MITRE[[#This Row],[Trenes Corridos]]/MITRE[[#This Row],[Trenes Programados]]</f>
        <v>0.9836121311029512</v>
      </c>
      <c r="F213" s="27">
        <f t="shared" si="100"/>
        <v>14706</v>
      </c>
      <c r="G213" s="27">
        <f t="shared" si="101"/>
        <v>241</v>
      </c>
      <c r="H213" s="27">
        <f t="shared" si="102"/>
        <v>14465</v>
      </c>
      <c r="I213" s="27">
        <f t="shared" si="103"/>
        <v>12234</v>
      </c>
      <c r="J213" s="27">
        <f t="shared" si="104"/>
        <v>2231</v>
      </c>
      <c r="K213" s="27"/>
      <c r="L213" s="4"/>
      <c r="M213" s="29">
        <v>2010</v>
      </c>
      <c r="N213" s="38" t="s">
        <v>41</v>
      </c>
      <c r="O213" s="35">
        <f>+Tabla4[[#This Row],[Trenes Puntuales]]/Tabla4[[#This Row],[Trenes Programados]]</f>
        <v>0.81391465677179964</v>
      </c>
      <c r="P213" s="35">
        <f>+Tabla4[[#This Row],[Trenes Puntuales]]/Tabla4[[#This Row],[Trenes Corridos]]</f>
        <v>0.83213201820940819</v>
      </c>
      <c r="Q213" s="35">
        <f>+Tabla4[[#This Row],[Trenes Corridos]]/Tabla4[[#This Row],[Trenes Programados]]</f>
        <v>0.97810760667903529</v>
      </c>
      <c r="R213" s="20">
        <v>5390</v>
      </c>
      <c r="S213" s="27">
        <f t="shared" si="105"/>
        <v>118</v>
      </c>
      <c r="T213" s="20">
        <v>5272</v>
      </c>
      <c r="U213" s="20">
        <v>4387</v>
      </c>
      <c r="V213" s="20">
        <f t="shared" si="106"/>
        <v>885</v>
      </c>
      <c r="W213" s="20"/>
      <c r="X213" s="5"/>
      <c r="Y213" s="29">
        <v>2010</v>
      </c>
      <c r="Z213" s="38" t="s">
        <v>41</v>
      </c>
      <c r="AA213" s="35">
        <f>+Tabla5[[#This Row],[Trenes Puntuales]]/Tabla5[[#This Row],[Trenes Programados]]</f>
        <v>0.80740740740740746</v>
      </c>
      <c r="AB213" s="35">
        <f>+Tabla5[[#This Row],[Trenes Puntuales]]/Tabla5[[#This Row],[Trenes Corridos]]</f>
        <v>0.817244611059044</v>
      </c>
      <c r="AC213" s="35">
        <f>+Tabla5[[#This Row],[Trenes Corridos]]/Tabla5[[#This Row],[Trenes Programados]]</f>
        <v>0.98796296296296293</v>
      </c>
      <c r="AD213" s="20">
        <v>4320</v>
      </c>
      <c r="AE213" s="27">
        <f t="shared" si="107"/>
        <v>52</v>
      </c>
      <c r="AF213" s="20">
        <v>4268</v>
      </c>
      <c r="AG213" s="20">
        <v>3488</v>
      </c>
      <c r="AH213" s="20">
        <f t="shared" si="108"/>
        <v>780</v>
      </c>
      <c r="AI213" s="20"/>
      <c r="AJ213" s="5"/>
      <c r="AK213" s="29">
        <v>2010</v>
      </c>
      <c r="AL213" s="38" t="s">
        <v>41</v>
      </c>
      <c r="AM213" s="35">
        <f>+Tabla6[[#This Row],[Trenes Puntuales]]/Tabla6[[#This Row],[Trenes Programados]]</f>
        <v>0.88913881748071977</v>
      </c>
      <c r="AN213" s="35">
        <f>+Tabla6[[#This Row],[Trenes Puntuales]]/Tabla6[[#This Row],[Trenes Corridos]]</f>
        <v>0.89837662337662338</v>
      </c>
      <c r="AO213" s="35">
        <f>+Tabla6[[#This Row],[Trenes Corridos]]/Tabla6[[#This Row],[Trenes Programados]]</f>
        <v>0.98971722365038561</v>
      </c>
      <c r="AP213" s="20">
        <v>3112</v>
      </c>
      <c r="AQ213" s="27">
        <f t="shared" si="109"/>
        <v>32</v>
      </c>
      <c r="AR213" s="20">
        <v>3080</v>
      </c>
      <c r="AS213" s="20">
        <v>2767</v>
      </c>
      <c r="AT213" s="20">
        <f t="shared" si="110"/>
        <v>313</v>
      </c>
      <c r="AU213" s="20"/>
      <c r="AV213" s="5"/>
      <c r="AW213" s="29">
        <v>2010</v>
      </c>
      <c r="AX213" s="38" t="s">
        <v>41</v>
      </c>
      <c r="AY213" s="35">
        <f>+MIT_Vic_Cap[[#This Row],[Trenes Puntuales]]/MIT_Vic_Cap[[#This Row],[Trenes Programados]]</f>
        <v>0.86618257261410792</v>
      </c>
      <c r="AZ213" s="35">
        <f>+MIT_Vic_Cap[[#This Row],[Trenes Puntuales]]/MIT_Vic_Cap[[#This Row],[Trenes Corridos]]</f>
        <v>0.8835978835978836</v>
      </c>
      <c r="BA213" s="35">
        <f>+MIT_Vic_Cap[[#This Row],[Trenes Corridos]]/MIT_Vic_Cap[[#This Row],[Trenes Programados]]</f>
        <v>0.98029045643153523</v>
      </c>
      <c r="BB213" s="20">
        <v>964</v>
      </c>
      <c r="BC213" s="27">
        <f t="shared" si="111"/>
        <v>19</v>
      </c>
      <c r="BD213" s="20">
        <v>945</v>
      </c>
      <c r="BE213" s="20">
        <v>835</v>
      </c>
      <c r="BF213" s="20">
        <f t="shared" si="112"/>
        <v>110</v>
      </c>
      <c r="BG213" s="20"/>
      <c r="BH213" s="5"/>
      <c r="BI213" s="29">
        <v>2010</v>
      </c>
      <c r="BJ213" s="38" t="s">
        <v>41</v>
      </c>
      <c r="BK213" s="35">
        <f>+Tabla8[[#This Row],[Trenes Puntuales]]/Tabla8[[#This Row],[Trenes Programados]]</f>
        <v>0.82282608695652171</v>
      </c>
      <c r="BL213" s="35">
        <f>+Tabla8[[#This Row],[Trenes Puntuales]]/Tabla8[[#This Row],[Trenes Corridos]]</f>
        <v>0.84111111111111114</v>
      </c>
      <c r="BM213" s="35">
        <f>+Tabla8[[#This Row],[Trenes Corridos]]/Tabla8[[#This Row],[Trenes Programados]]</f>
        <v>0.97826086956521741</v>
      </c>
      <c r="BN213" s="20">
        <v>920</v>
      </c>
      <c r="BO213" s="20">
        <v>54</v>
      </c>
      <c r="BP213" s="20">
        <v>900</v>
      </c>
      <c r="BQ213" s="20">
        <v>757</v>
      </c>
      <c r="BR213" s="20">
        <f t="shared" si="113"/>
        <v>143</v>
      </c>
      <c r="BS213" s="29"/>
    </row>
    <row r="214" spans="1:71" s="3" customFormat="1" ht="12.75">
      <c r="A214" s="3">
        <v>2010</v>
      </c>
      <c r="B214" s="38" t="s">
        <v>42</v>
      </c>
      <c r="C214" s="25">
        <f>+MITRE[[#This Row],[Trenes Puntuales]]/MITRE[[#This Row],[Trenes Programados]]</f>
        <v>0.82734749828649756</v>
      </c>
      <c r="D214" s="25">
        <f>+MITRE[[#This Row],[Trenes Puntuales]]/MITRE[[#This Row],[Trenes Corridos]]</f>
        <v>0.85181003457765858</v>
      </c>
      <c r="E214" s="25">
        <f>+MITRE[[#This Row],[Trenes Corridos]]/MITRE[[#This Row],[Trenes Programados]]</f>
        <v>0.97128169979437973</v>
      </c>
      <c r="F214" s="27">
        <f t="shared" si="100"/>
        <v>14590</v>
      </c>
      <c r="G214" s="27">
        <f t="shared" si="101"/>
        <v>419</v>
      </c>
      <c r="H214" s="27">
        <f t="shared" si="102"/>
        <v>14171</v>
      </c>
      <c r="I214" s="27">
        <f t="shared" si="103"/>
        <v>12071</v>
      </c>
      <c r="J214" s="27">
        <f t="shared" si="104"/>
        <v>2100</v>
      </c>
      <c r="K214" s="27"/>
      <c r="L214" s="4"/>
      <c r="M214" s="29">
        <v>2010</v>
      </c>
      <c r="N214" s="38" t="s">
        <v>42</v>
      </c>
      <c r="O214" s="35">
        <f>+Tabla4[[#This Row],[Trenes Puntuales]]/Tabla4[[#This Row],[Trenes Programados]]</f>
        <v>0.80225563909774433</v>
      </c>
      <c r="P214" s="35">
        <f>+Tabla4[[#This Row],[Trenes Puntuales]]/Tabla4[[#This Row],[Trenes Corridos]]</f>
        <v>0.82857697534459329</v>
      </c>
      <c r="Q214" s="35">
        <f>+Tabla4[[#This Row],[Trenes Corridos]]/Tabla4[[#This Row],[Trenes Programados]]</f>
        <v>0.96823308270676689</v>
      </c>
      <c r="R214" s="20">
        <v>5320</v>
      </c>
      <c r="S214" s="27">
        <f t="shared" si="105"/>
        <v>169</v>
      </c>
      <c r="T214" s="20">
        <v>5151</v>
      </c>
      <c r="U214" s="20">
        <v>4268</v>
      </c>
      <c r="V214" s="20">
        <f t="shared" si="106"/>
        <v>883</v>
      </c>
      <c r="W214" s="20"/>
      <c r="X214" s="5"/>
      <c r="Y214" s="29">
        <v>2010</v>
      </c>
      <c r="Z214" s="38" t="s">
        <v>42</v>
      </c>
      <c r="AA214" s="35">
        <f>+Tabla5[[#This Row],[Trenes Puntuales]]/Tabla5[[#This Row],[Trenes Programados]]</f>
        <v>0.80698055750761299</v>
      </c>
      <c r="AB214" s="35">
        <f>+Tabla5[[#This Row],[Trenes Puntuales]]/Tabla5[[#This Row],[Trenes Corridos]]</f>
        <v>0.82992050108407611</v>
      </c>
      <c r="AC214" s="35">
        <f>+Tabla5[[#This Row],[Trenes Corridos]]/Tabla5[[#This Row],[Trenes Programados]]</f>
        <v>0.97235886624502221</v>
      </c>
      <c r="AD214" s="20">
        <v>4269</v>
      </c>
      <c r="AE214" s="27">
        <f t="shared" si="107"/>
        <v>118</v>
      </c>
      <c r="AF214" s="20">
        <v>4151</v>
      </c>
      <c r="AG214" s="20">
        <v>3445</v>
      </c>
      <c r="AH214" s="20">
        <f t="shared" si="108"/>
        <v>706</v>
      </c>
      <c r="AI214" s="20"/>
      <c r="AJ214" s="5"/>
      <c r="AK214" s="29">
        <v>2010</v>
      </c>
      <c r="AL214" s="38" t="s">
        <v>42</v>
      </c>
      <c r="AM214" s="35">
        <f>+Tabla6[[#This Row],[Trenes Puntuales]]/Tabla6[[#This Row],[Trenes Programados]]</f>
        <v>0.88545975182946235</v>
      </c>
      <c r="AN214" s="35">
        <f>+Tabla6[[#This Row],[Trenes Puntuales]]/Tabla6[[#This Row],[Trenes Corridos]]</f>
        <v>0.91066753926701571</v>
      </c>
      <c r="AO214" s="35">
        <f>+Tabla6[[#This Row],[Trenes Corridos]]/Tabla6[[#This Row],[Trenes Programados]]</f>
        <v>0.97231944002545334</v>
      </c>
      <c r="AP214" s="20">
        <v>3143</v>
      </c>
      <c r="AQ214" s="27">
        <f t="shared" si="109"/>
        <v>87</v>
      </c>
      <c r="AR214" s="20">
        <v>3056</v>
      </c>
      <c r="AS214" s="20">
        <v>2783</v>
      </c>
      <c r="AT214" s="20">
        <f t="shared" si="110"/>
        <v>273</v>
      </c>
      <c r="AU214" s="20"/>
      <c r="AV214" s="5"/>
      <c r="AW214" s="29">
        <v>2010</v>
      </c>
      <c r="AX214" s="38" t="s">
        <v>42</v>
      </c>
      <c r="AY214" s="35">
        <f>+MIT_Vic_Cap[[#This Row],[Trenes Puntuales]]/MIT_Vic_Cap[[#This Row],[Trenes Programados]]</f>
        <v>0.93243243243243246</v>
      </c>
      <c r="AZ214" s="35">
        <f>+MIT_Vic_Cap[[#This Row],[Trenes Puntuales]]/MIT_Vic_Cap[[#This Row],[Trenes Corridos]]</f>
        <v>0.93437499999999996</v>
      </c>
      <c r="BA214" s="35">
        <f>+MIT_Vic_Cap[[#This Row],[Trenes Corridos]]/MIT_Vic_Cap[[#This Row],[Trenes Programados]]</f>
        <v>0.99792099792099798</v>
      </c>
      <c r="BB214" s="20">
        <v>962</v>
      </c>
      <c r="BC214" s="27">
        <f t="shared" si="111"/>
        <v>2</v>
      </c>
      <c r="BD214" s="20">
        <v>960</v>
      </c>
      <c r="BE214" s="20">
        <v>897</v>
      </c>
      <c r="BF214" s="20">
        <f t="shared" si="112"/>
        <v>63</v>
      </c>
      <c r="BG214" s="20"/>
      <c r="BH214" s="5"/>
      <c r="BI214" s="29">
        <v>2010</v>
      </c>
      <c r="BJ214" s="38" t="s">
        <v>42</v>
      </c>
      <c r="BK214" s="35">
        <f>+Tabla8[[#This Row],[Trenes Puntuales]]/Tabla8[[#This Row],[Trenes Programados]]</f>
        <v>0.7566964285714286</v>
      </c>
      <c r="BL214" s="35">
        <f>+Tabla8[[#This Row],[Trenes Puntuales]]/Tabla8[[#This Row],[Trenes Corridos]]</f>
        <v>0.79484173505275502</v>
      </c>
      <c r="BM214" s="35">
        <f>+Tabla8[[#This Row],[Trenes Corridos]]/Tabla8[[#This Row],[Trenes Programados]]</f>
        <v>0.9520089285714286</v>
      </c>
      <c r="BN214" s="20">
        <v>896</v>
      </c>
      <c r="BO214" s="20">
        <v>84</v>
      </c>
      <c r="BP214" s="20">
        <v>853</v>
      </c>
      <c r="BQ214" s="20">
        <v>678</v>
      </c>
      <c r="BR214" s="20">
        <f t="shared" si="113"/>
        <v>175</v>
      </c>
      <c r="BS214" s="29"/>
    </row>
    <row r="215" spans="1:71" s="3" customFormat="1" ht="12.75">
      <c r="A215" s="3">
        <v>2010</v>
      </c>
      <c r="B215" s="38" t="s">
        <v>43</v>
      </c>
      <c r="C215" s="25">
        <f>+MITRE[[#This Row],[Trenes Puntuales]]/MITRE[[#This Row],[Trenes Programados]]</f>
        <v>0.84659322725418196</v>
      </c>
      <c r="D215" s="25">
        <f>+MITRE[[#This Row],[Trenes Puntuales]]/MITRE[[#This Row],[Trenes Corridos]]</f>
        <v>0.87123862841147659</v>
      </c>
      <c r="E215" s="25">
        <f>+MITRE[[#This Row],[Trenes Corridos]]/MITRE[[#This Row],[Trenes Programados]]</f>
        <v>0.97171222630218956</v>
      </c>
      <c r="F215" s="27">
        <f t="shared" si="100"/>
        <v>14706</v>
      </c>
      <c r="G215" s="27">
        <f t="shared" si="101"/>
        <v>416</v>
      </c>
      <c r="H215" s="27">
        <f t="shared" si="102"/>
        <v>14290</v>
      </c>
      <c r="I215" s="27">
        <f t="shared" si="103"/>
        <v>12450</v>
      </c>
      <c r="J215" s="27">
        <f t="shared" si="104"/>
        <v>1840</v>
      </c>
      <c r="K215" s="27"/>
      <c r="L215" s="4"/>
      <c r="M215" s="29">
        <v>2010</v>
      </c>
      <c r="N215" s="38" t="s">
        <v>43</v>
      </c>
      <c r="O215" s="35">
        <f>+Tabla4[[#This Row],[Trenes Puntuales]]/Tabla4[[#This Row],[Trenes Programados]]</f>
        <v>0.85083487940630798</v>
      </c>
      <c r="P215" s="35">
        <f>+Tabla4[[#This Row],[Trenes Puntuales]]/Tabla4[[#This Row],[Trenes Corridos]]</f>
        <v>0.87252663622526638</v>
      </c>
      <c r="Q215" s="35">
        <f>+Tabla4[[#This Row],[Trenes Corridos]]/Tabla4[[#This Row],[Trenes Programados]]</f>
        <v>0.97513914656771805</v>
      </c>
      <c r="R215" s="20">
        <v>5390</v>
      </c>
      <c r="S215" s="27">
        <f t="shared" si="105"/>
        <v>134</v>
      </c>
      <c r="T215" s="20">
        <v>5256</v>
      </c>
      <c r="U215" s="20">
        <v>4586</v>
      </c>
      <c r="V215" s="20">
        <f t="shared" si="106"/>
        <v>670</v>
      </c>
      <c r="W215" s="20"/>
      <c r="X215" s="5"/>
      <c r="Y215" s="29">
        <v>2010</v>
      </c>
      <c r="Z215" s="38" t="s">
        <v>43</v>
      </c>
      <c r="AA215" s="35">
        <f>+Tabla5[[#This Row],[Trenes Puntuales]]/Tabla5[[#This Row],[Trenes Programados]]</f>
        <v>0.8349537037037037</v>
      </c>
      <c r="AB215" s="35">
        <f>+Tabla5[[#This Row],[Trenes Puntuales]]/Tabla5[[#This Row],[Trenes Corridos]]</f>
        <v>0.86003814973772053</v>
      </c>
      <c r="AC215" s="35">
        <f>+Tabla5[[#This Row],[Trenes Corridos]]/Tabla5[[#This Row],[Trenes Programados]]</f>
        <v>0.97083333333333333</v>
      </c>
      <c r="AD215" s="20">
        <v>4320</v>
      </c>
      <c r="AE215" s="27">
        <f t="shared" si="107"/>
        <v>126</v>
      </c>
      <c r="AF215" s="20">
        <v>4194</v>
      </c>
      <c r="AG215" s="20">
        <v>3607</v>
      </c>
      <c r="AH215" s="20">
        <f t="shared" si="108"/>
        <v>587</v>
      </c>
      <c r="AI215" s="20"/>
      <c r="AJ215" s="5"/>
      <c r="AK215" s="29">
        <v>2010</v>
      </c>
      <c r="AL215" s="38" t="s">
        <v>43</v>
      </c>
      <c r="AM215" s="35">
        <f>+Tabla6[[#This Row],[Trenes Puntuales]]/Tabla6[[#This Row],[Trenes Programados]]</f>
        <v>0.87371465295629824</v>
      </c>
      <c r="AN215" s="35">
        <f>+Tabla6[[#This Row],[Trenes Puntuales]]/Tabla6[[#This Row],[Trenes Corridos]]</f>
        <v>0.90122638382499176</v>
      </c>
      <c r="AO215" s="35">
        <f>+Tabla6[[#This Row],[Trenes Corridos]]/Tabla6[[#This Row],[Trenes Programados]]</f>
        <v>0.96947300771208222</v>
      </c>
      <c r="AP215" s="20">
        <v>3112</v>
      </c>
      <c r="AQ215" s="27">
        <f t="shared" si="109"/>
        <v>95</v>
      </c>
      <c r="AR215" s="20">
        <v>3017</v>
      </c>
      <c r="AS215" s="20">
        <v>2719</v>
      </c>
      <c r="AT215" s="20">
        <f t="shared" si="110"/>
        <v>298</v>
      </c>
      <c r="AU215" s="20"/>
      <c r="AV215" s="5"/>
      <c r="AW215" s="29">
        <v>2010</v>
      </c>
      <c r="AX215" s="38" t="s">
        <v>43</v>
      </c>
      <c r="AY215" s="35">
        <f>+MIT_Vic_Cap[[#This Row],[Trenes Puntuales]]/MIT_Vic_Cap[[#This Row],[Trenes Programados]]</f>
        <v>0.89419087136929465</v>
      </c>
      <c r="AZ215" s="35">
        <f>+MIT_Vic_Cap[[#This Row],[Trenes Puntuales]]/MIT_Vic_Cap[[#This Row],[Trenes Corridos]]</f>
        <v>0.93088552915766742</v>
      </c>
      <c r="BA215" s="35">
        <f>+MIT_Vic_Cap[[#This Row],[Trenes Corridos]]/MIT_Vic_Cap[[#This Row],[Trenes Programados]]</f>
        <v>0.96058091286307057</v>
      </c>
      <c r="BB215" s="20">
        <v>964</v>
      </c>
      <c r="BC215" s="27">
        <f t="shared" si="111"/>
        <v>38</v>
      </c>
      <c r="BD215" s="20">
        <v>926</v>
      </c>
      <c r="BE215" s="20">
        <v>862</v>
      </c>
      <c r="BF215" s="20">
        <f t="shared" si="112"/>
        <v>64</v>
      </c>
      <c r="BG215" s="20"/>
      <c r="BH215" s="5"/>
      <c r="BI215" s="29">
        <v>2010</v>
      </c>
      <c r="BJ215" s="38" t="s">
        <v>43</v>
      </c>
      <c r="BK215" s="35">
        <f>+Tabla8[[#This Row],[Trenes Puntuales]]/Tabla8[[#This Row],[Trenes Programados]]</f>
        <v>0.73478260869565215</v>
      </c>
      <c r="BL215" s="35">
        <f>+Tabla8[[#This Row],[Trenes Puntuales]]/Tabla8[[#This Row],[Trenes Corridos]]</f>
        <v>0.75362318840579712</v>
      </c>
      <c r="BM215" s="35">
        <f>+Tabla8[[#This Row],[Trenes Corridos]]/Tabla8[[#This Row],[Trenes Programados]]</f>
        <v>0.97499999999999998</v>
      </c>
      <c r="BN215" s="20">
        <v>920</v>
      </c>
      <c r="BO215" s="20">
        <v>46</v>
      </c>
      <c r="BP215" s="20">
        <v>897</v>
      </c>
      <c r="BQ215" s="20">
        <v>676</v>
      </c>
      <c r="BR215" s="20">
        <f t="shared" si="113"/>
        <v>221</v>
      </c>
      <c r="BS215" s="29"/>
    </row>
    <row r="216" spans="1:71" s="3" customFormat="1" ht="12.75">
      <c r="A216" s="3">
        <v>2010</v>
      </c>
      <c r="B216" s="38" t="s">
        <v>44</v>
      </c>
      <c r="C216" s="25">
        <f>+MITRE[[#This Row],[Trenes Puntuales]]/MITRE[[#This Row],[Trenes Programados]]</f>
        <v>0.87442259469447015</v>
      </c>
      <c r="D216" s="25">
        <f>+MITRE[[#This Row],[Trenes Puntuales]]/MITRE[[#This Row],[Trenes Corridos]]</f>
        <v>0.89533783783783782</v>
      </c>
      <c r="E216" s="25">
        <f>+MITRE[[#This Row],[Trenes Corridos]]/MITRE[[#This Row],[Trenes Programados]]</f>
        <v>0.97663983106770491</v>
      </c>
      <c r="F216" s="27">
        <f t="shared" si="100"/>
        <v>15154</v>
      </c>
      <c r="G216" s="27">
        <f t="shared" si="101"/>
        <v>354</v>
      </c>
      <c r="H216" s="27">
        <f t="shared" si="102"/>
        <v>14800</v>
      </c>
      <c r="I216" s="27">
        <f t="shared" si="103"/>
        <v>13251</v>
      </c>
      <c r="J216" s="27">
        <f t="shared" si="104"/>
        <v>1549</v>
      </c>
      <c r="K216" s="27"/>
      <c r="L216" s="4"/>
      <c r="M216" s="29">
        <v>2010</v>
      </c>
      <c r="N216" s="38" t="s">
        <v>44</v>
      </c>
      <c r="O216" s="35">
        <f>+Tabla4[[#This Row],[Trenes Puntuales]]/Tabla4[[#This Row],[Trenes Programados]]</f>
        <v>0.86594594594594598</v>
      </c>
      <c r="P216" s="35">
        <f>+Tabla4[[#This Row],[Trenes Puntuales]]/Tabla4[[#This Row],[Trenes Corridos]]</f>
        <v>0.89497206703910615</v>
      </c>
      <c r="Q216" s="35">
        <f>+Tabla4[[#This Row],[Trenes Corridos]]/Tabla4[[#This Row],[Trenes Programados]]</f>
        <v>0.96756756756756757</v>
      </c>
      <c r="R216" s="20">
        <v>5550</v>
      </c>
      <c r="S216" s="27">
        <f t="shared" si="105"/>
        <v>180</v>
      </c>
      <c r="T216" s="20">
        <v>5370</v>
      </c>
      <c r="U216" s="20">
        <v>4806</v>
      </c>
      <c r="V216" s="20">
        <f t="shared" si="106"/>
        <v>564</v>
      </c>
      <c r="W216" s="20"/>
      <c r="X216" s="5"/>
      <c r="Y216" s="29">
        <v>2010</v>
      </c>
      <c r="Z216" s="38" t="s">
        <v>44</v>
      </c>
      <c r="AA216" s="35">
        <f>+Tabla5[[#This Row],[Trenes Puntuales]]/Tabla5[[#This Row],[Trenes Programados]]</f>
        <v>0.87876066457117197</v>
      </c>
      <c r="AB216" s="35">
        <f>+Tabla5[[#This Row],[Trenes Puntuales]]/Tabla5[[#This Row],[Trenes Corridos]]</f>
        <v>0.88873751135331513</v>
      </c>
      <c r="AC216" s="35">
        <f>+Tabla5[[#This Row],[Trenes Corridos]]/Tabla5[[#This Row],[Trenes Programados]]</f>
        <v>0.98877413560844185</v>
      </c>
      <c r="AD216" s="20">
        <v>4454</v>
      </c>
      <c r="AE216" s="27">
        <f t="shared" si="107"/>
        <v>50</v>
      </c>
      <c r="AF216" s="20">
        <v>4404</v>
      </c>
      <c r="AG216" s="20">
        <v>3914</v>
      </c>
      <c r="AH216" s="20">
        <f t="shared" si="108"/>
        <v>490</v>
      </c>
      <c r="AI216" s="20"/>
      <c r="AJ216" s="5"/>
      <c r="AK216" s="29">
        <v>2010</v>
      </c>
      <c r="AL216" s="38" t="s">
        <v>44</v>
      </c>
      <c r="AM216" s="35">
        <f>+Tabla6[[#This Row],[Trenes Puntuales]]/Tabla6[[#This Row],[Trenes Programados]]</f>
        <v>0.91039203484754205</v>
      </c>
      <c r="AN216" s="35">
        <f>+Tabla6[[#This Row],[Trenes Puntuales]]/Tabla6[[#This Row],[Trenes Corridos]]</f>
        <v>0.92361111111111116</v>
      </c>
      <c r="AO216" s="35">
        <f>+Tabla6[[#This Row],[Trenes Corridos]]/Tabla6[[#This Row],[Trenes Programados]]</f>
        <v>0.98568761667703797</v>
      </c>
      <c r="AP216" s="20">
        <v>3214</v>
      </c>
      <c r="AQ216" s="27">
        <f t="shared" si="109"/>
        <v>46</v>
      </c>
      <c r="AR216" s="20">
        <v>3168</v>
      </c>
      <c r="AS216" s="20">
        <v>2926</v>
      </c>
      <c r="AT216" s="20">
        <f t="shared" si="110"/>
        <v>242</v>
      </c>
      <c r="AU216" s="20"/>
      <c r="AV216" s="5"/>
      <c r="AW216" s="29">
        <v>2010</v>
      </c>
      <c r="AX216" s="38" t="s">
        <v>44</v>
      </c>
      <c r="AY216" s="35">
        <f>+MIT_Vic_Cap[[#This Row],[Trenes Puntuales]]/MIT_Vic_Cap[[#This Row],[Trenes Programados]]</f>
        <v>0.82512562814070356</v>
      </c>
      <c r="AZ216" s="35">
        <f>+MIT_Vic_Cap[[#This Row],[Trenes Puntuales]]/MIT_Vic_Cap[[#This Row],[Trenes Corridos]]</f>
        <v>0.86694825765575501</v>
      </c>
      <c r="BA216" s="35">
        <f>+MIT_Vic_Cap[[#This Row],[Trenes Corridos]]/MIT_Vic_Cap[[#This Row],[Trenes Programados]]</f>
        <v>0.95175879396984919</v>
      </c>
      <c r="BB216" s="20">
        <v>995</v>
      </c>
      <c r="BC216" s="27">
        <f t="shared" si="111"/>
        <v>48</v>
      </c>
      <c r="BD216" s="20">
        <v>947</v>
      </c>
      <c r="BE216" s="20">
        <v>821</v>
      </c>
      <c r="BF216" s="20">
        <f t="shared" si="112"/>
        <v>126</v>
      </c>
      <c r="BG216" s="20"/>
      <c r="BH216" s="5"/>
      <c r="BI216" s="29">
        <v>2010</v>
      </c>
      <c r="BJ216" s="38" t="s">
        <v>44</v>
      </c>
      <c r="BK216" s="35">
        <f>+Tabla8[[#This Row],[Trenes Puntuales]]/Tabla8[[#This Row],[Trenes Programados]]</f>
        <v>0.83315621679064822</v>
      </c>
      <c r="BL216" s="35">
        <f>+Tabla8[[#This Row],[Trenes Puntuales]]/Tabla8[[#This Row],[Trenes Corridos]]</f>
        <v>0.86059275521405054</v>
      </c>
      <c r="BM216" s="35">
        <f>+Tabla8[[#This Row],[Trenes Corridos]]/Tabla8[[#This Row],[Trenes Programados]]</f>
        <v>0.96811902231668434</v>
      </c>
      <c r="BN216" s="20">
        <v>941</v>
      </c>
      <c r="BO216" s="20">
        <v>95</v>
      </c>
      <c r="BP216" s="20">
        <v>911</v>
      </c>
      <c r="BQ216" s="20">
        <v>784</v>
      </c>
      <c r="BR216" s="20">
        <f t="shared" si="113"/>
        <v>127</v>
      </c>
      <c r="BS216" s="29"/>
    </row>
    <row r="217" spans="1:71" s="3" customFormat="1" ht="12.75">
      <c r="A217" s="3">
        <v>2010</v>
      </c>
      <c r="B217" s="38" t="s">
        <v>45</v>
      </c>
      <c r="C217" s="25">
        <f>+MITRE[[#This Row],[Trenes Puntuales]]/MITRE[[#This Row],[Trenes Programados]]</f>
        <v>0.88596724803621352</v>
      </c>
      <c r="D217" s="25">
        <f>+MITRE[[#This Row],[Trenes Puntuales]]/MITRE[[#This Row],[Trenes Corridos]]</f>
        <v>0.90077834179357019</v>
      </c>
      <c r="E217" s="25">
        <f>+MITRE[[#This Row],[Trenes Corridos]]/MITRE[[#This Row],[Trenes Programados]]</f>
        <v>0.98355744907469045</v>
      </c>
      <c r="F217" s="27">
        <f t="shared" si="100"/>
        <v>15022</v>
      </c>
      <c r="G217" s="27">
        <f t="shared" si="101"/>
        <v>247</v>
      </c>
      <c r="H217" s="27">
        <f t="shared" si="102"/>
        <v>14775</v>
      </c>
      <c r="I217" s="27">
        <f t="shared" si="103"/>
        <v>13309</v>
      </c>
      <c r="J217" s="27">
        <f t="shared" si="104"/>
        <v>1466</v>
      </c>
      <c r="K217" s="27"/>
      <c r="L217" s="4"/>
      <c r="M217" s="29">
        <v>2010</v>
      </c>
      <c r="N217" s="38" t="s">
        <v>45</v>
      </c>
      <c r="O217" s="35">
        <f>+Tabla4[[#This Row],[Trenes Puntuales]]/Tabla4[[#This Row],[Trenes Programados]]</f>
        <v>0.90072727272727271</v>
      </c>
      <c r="P217" s="35">
        <f>+Tabla4[[#This Row],[Trenes Puntuales]]/Tabla4[[#This Row],[Trenes Corridos]]</f>
        <v>0.91469719350073853</v>
      </c>
      <c r="Q217" s="35">
        <f>+Tabla4[[#This Row],[Trenes Corridos]]/Tabla4[[#This Row],[Trenes Programados]]</f>
        <v>0.98472727272727267</v>
      </c>
      <c r="R217" s="20">
        <v>5500</v>
      </c>
      <c r="S217" s="27">
        <f t="shared" si="105"/>
        <v>84</v>
      </c>
      <c r="T217" s="20">
        <v>5416</v>
      </c>
      <c r="U217" s="20">
        <v>4954</v>
      </c>
      <c r="V217" s="20">
        <f t="shared" si="106"/>
        <v>462</v>
      </c>
      <c r="W217" s="20"/>
      <c r="X217" s="5"/>
      <c r="Y217" s="29">
        <v>2010</v>
      </c>
      <c r="Z217" s="38" t="s">
        <v>45</v>
      </c>
      <c r="AA217" s="35">
        <f>+Tabla5[[#This Row],[Trenes Puntuales]]/Tabla5[[#This Row],[Trenes Programados]]</f>
        <v>0.87230664549784531</v>
      </c>
      <c r="AB217" s="35">
        <f>+Tabla5[[#This Row],[Trenes Puntuales]]/Tabla5[[#This Row],[Trenes Corridos]]</f>
        <v>0.88109965635738829</v>
      </c>
      <c r="AC217" s="35">
        <f>+Tabla5[[#This Row],[Trenes Corridos]]/Tabla5[[#This Row],[Trenes Programados]]</f>
        <v>0.99002041279201636</v>
      </c>
      <c r="AD217" s="20">
        <v>4409</v>
      </c>
      <c r="AE217" s="27">
        <f t="shared" si="107"/>
        <v>44</v>
      </c>
      <c r="AF217" s="20">
        <v>4365</v>
      </c>
      <c r="AG217" s="20">
        <v>3846</v>
      </c>
      <c r="AH217" s="20">
        <f t="shared" si="108"/>
        <v>519</v>
      </c>
      <c r="AI217" s="20"/>
      <c r="AJ217" s="5"/>
      <c r="AK217" s="29">
        <v>2010</v>
      </c>
      <c r="AL217" s="38" t="s">
        <v>45</v>
      </c>
      <c r="AM217" s="35">
        <f>+Tabla6[[#This Row],[Trenes Puntuales]]/Tabla6[[#This Row],[Trenes Programados]]</f>
        <v>0.89577464788732397</v>
      </c>
      <c r="AN217" s="35">
        <f>+Tabla6[[#This Row],[Trenes Puntuales]]/Tabla6[[#This Row],[Trenes Corridos]]</f>
        <v>0.91088478676002549</v>
      </c>
      <c r="AO217" s="35">
        <f>+Tabla6[[#This Row],[Trenes Corridos]]/Tabla6[[#This Row],[Trenes Programados]]</f>
        <v>0.98341158059467915</v>
      </c>
      <c r="AP217" s="20">
        <v>3195</v>
      </c>
      <c r="AQ217" s="27">
        <f t="shared" si="109"/>
        <v>53</v>
      </c>
      <c r="AR217" s="20">
        <v>3142</v>
      </c>
      <c r="AS217" s="20">
        <v>2862</v>
      </c>
      <c r="AT217" s="20">
        <f t="shared" si="110"/>
        <v>280</v>
      </c>
      <c r="AU217" s="20"/>
      <c r="AV217" s="5"/>
      <c r="AW217" s="29">
        <v>2010</v>
      </c>
      <c r="AX217" s="38" t="s">
        <v>45</v>
      </c>
      <c r="AY217" s="35">
        <f>+MIT_Vic_Cap[[#This Row],[Trenes Puntuales]]/MIT_Vic_Cap[[#This Row],[Trenes Programados]]</f>
        <v>0.84012219959266798</v>
      </c>
      <c r="AZ217" s="35">
        <f>+MIT_Vic_Cap[[#This Row],[Trenes Puntuales]]/MIT_Vic_Cap[[#This Row],[Trenes Corridos]]</f>
        <v>0.88329764453961457</v>
      </c>
      <c r="BA217" s="35">
        <f>+MIT_Vic_Cap[[#This Row],[Trenes Corridos]]/MIT_Vic_Cap[[#This Row],[Trenes Programados]]</f>
        <v>0.95112016293279023</v>
      </c>
      <c r="BB217" s="20">
        <v>982</v>
      </c>
      <c r="BC217" s="27">
        <f t="shared" si="111"/>
        <v>48</v>
      </c>
      <c r="BD217" s="20">
        <v>934</v>
      </c>
      <c r="BE217" s="20">
        <v>825</v>
      </c>
      <c r="BF217" s="20">
        <f t="shared" si="112"/>
        <v>109</v>
      </c>
      <c r="BG217" s="20"/>
      <c r="BH217" s="5"/>
      <c r="BI217" s="29">
        <v>2010</v>
      </c>
      <c r="BJ217" s="38" t="s">
        <v>45</v>
      </c>
      <c r="BK217" s="35">
        <f>+Tabla8[[#This Row],[Trenes Puntuales]]/Tabla8[[#This Row],[Trenes Programados]]</f>
        <v>0.87820512820512819</v>
      </c>
      <c r="BL217" s="35">
        <f>+Tabla8[[#This Row],[Trenes Puntuales]]/Tabla8[[#This Row],[Trenes Corridos]]</f>
        <v>0.89542483660130723</v>
      </c>
      <c r="BM217" s="35">
        <f>+Tabla8[[#This Row],[Trenes Corridos]]/Tabla8[[#This Row],[Trenes Programados]]</f>
        <v>0.98076923076923073</v>
      </c>
      <c r="BN217" s="20">
        <v>936</v>
      </c>
      <c r="BO217" s="20">
        <v>94</v>
      </c>
      <c r="BP217" s="20">
        <v>918</v>
      </c>
      <c r="BQ217" s="20">
        <v>822</v>
      </c>
      <c r="BR217" s="20">
        <f t="shared" si="113"/>
        <v>96</v>
      </c>
      <c r="BS217" s="29"/>
    </row>
    <row r="218" spans="1:71" s="3" customFormat="1" ht="12.75">
      <c r="A218" s="3">
        <v>2010</v>
      </c>
      <c r="B218" s="38" t="s">
        <v>46</v>
      </c>
      <c r="C218" s="25">
        <f>+MITRE[[#This Row],[Trenes Puntuales]]/MITRE[[#This Row],[Trenes Programados]]</f>
        <v>0.8396112600536193</v>
      </c>
      <c r="D218" s="25">
        <f>+MITRE[[#This Row],[Trenes Puntuales]]/MITRE[[#This Row],[Trenes Corridos]]</f>
        <v>0.86208794990021331</v>
      </c>
      <c r="E218" s="25">
        <f>+MITRE[[#This Row],[Trenes Corridos]]/MITRE[[#This Row],[Trenes Programados]]</f>
        <v>0.97392761394101879</v>
      </c>
      <c r="F218" s="27">
        <f t="shared" si="100"/>
        <v>14920</v>
      </c>
      <c r="G218" s="27">
        <f t="shared" si="101"/>
        <v>389</v>
      </c>
      <c r="H218" s="27">
        <f t="shared" si="102"/>
        <v>14531</v>
      </c>
      <c r="I218" s="27">
        <f t="shared" si="103"/>
        <v>12527</v>
      </c>
      <c r="J218" s="27">
        <f t="shared" si="104"/>
        <v>2004</v>
      </c>
      <c r="K218" s="27"/>
      <c r="L218" s="4"/>
      <c r="M218" s="29">
        <v>2010</v>
      </c>
      <c r="N218" s="38" t="s">
        <v>46</v>
      </c>
      <c r="O218" s="35">
        <f>+Tabla4[[#This Row],[Trenes Puntuales]]/Tabla4[[#This Row],[Trenes Programados]]</f>
        <v>0.80145985401459852</v>
      </c>
      <c r="P218" s="35">
        <f>+Tabla4[[#This Row],[Trenes Puntuales]]/Tabla4[[#This Row],[Trenes Corridos]]</f>
        <v>0.83545748525775154</v>
      </c>
      <c r="Q218" s="35">
        <f>+Tabla4[[#This Row],[Trenes Corridos]]/Tabla4[[#This Row],[Trenes Programados]]</f>
        <v>0.95930656934306568</v>
      </c>
      <c r="R218" s="20">
        <v>5480</v>
      </c>
      <c r="S218" s="27">
        <f t="shared" si="105"/>
        <v>223</v>
      </c>
      <c r="T218" s="20">
        <v>5257</v>
      </c>
      <c r="U218" s="20">
        <v>4392</v>
      </c>
      <c r="V218" s="20">
        <f t="shared" si="106"/>
        <v>865</v>
      </c>
      <c r="W218" s="20"/>
      <c r="X218" s="5"/>
      <c r="Y218" s="29">
        <v>2010</v>
      </c>
      <c r="Z218" s="38" t="s">
        <v>46</v>
      </c>
      <c r="AA218" s="35">
        <f>+Tabla5[[#This Row],[Trenes Puntuales]]/Tabla5[[#This Row],[Trenes Programados]]</f>
        <v>0.84373576309794984</v>
      </c>
      <c r="AB218" s="35">
        <f>+Tabla5[[#This Row],[Trenes Puntuales]]/Tabla5[[#This Row],[Trenes Corridos]]</f>
        <v>0.85800324299281905</v>
      </c>
      <c r="AC218" s="35">
        <f>+Tabla5[[#This Row],[Trenes Corridos]]/Tabla5[[#This Row],[Trenes Programados]]</f>
        <v>0.983371298405467</v>
      </c>
      <c r="AD218" s="20">
        <v>4390</v>
      </c>
      <c r="AE218" s="27">
        <f t="shared" si="107"/>
        <v>73</v>
      </c>
      <c r="AF218" s="20">
        <v>4317</v>
      </c>
      <c r="AG218" s="20">
        <v>3704</v>
      </c>
      <c r="AH218" s="20">
        <f t="shared" si="108"/>
        <v>613</v>
      </c>
      <c r="AI218" s="20"/>
      <c r="AJ218" s="5"/>
      <c r="AK218" s="29">
        <v>2010</v>
      </c>
      <c r="AL218" s="38" t="s">
        <v>46</v>
      </c>
      <c r="AM218" s="35">
        <f>+Tabla6[[#This Row],[Trenes Puntuales]]/Tabla6[[#This Row],[Trenes Programados]]</f>
        <v>0.88336520076481839</v>
      </c>
      <c r="AN218" s="35">
        <f>+Tabla6[[#This Row],[Trenes Puntuales]]/Tabla6[[#This Row],[Trenes Corridos]]</f>
        <v>0.8985413290113452</v>
      </c>
      <c r="AO218" s="35">
        <f>+Tabla6[[#This Row],[Trenes Corridos]]/Tabla6[[#This Row],[Trenes Programados]]</f>
        <v>0.98311026131293822</v>
      </c>
      <c r="AP218" s="20">
        <v>3138</v>
      </c>
      <c r="AQ218" s="27">
        <f t="shared" si="109"/>
        <v>53</v>
      </c>
      <c r="AR218" s="20">
        <v>3085</v>
      </c>
      <c r="AS218" s="20">
        <v>2772</v>
      </c>
      <c r="AT218" s="20">
        <f t="shared" si="110"/>
        <v>313</v>
      </c>
      <c r="AU218" s="20"/>
      <c r="AV218" s="5"/>
      <c r="AW218" s="29">
        <v>2010</v>
      </c>
      <c r="AX218" s="38" t="s">
        <v>46</v>
      </c>
      <c r="AY218" s="35">
        <f>+MIT_Vic_Cap[[#This Row],[Trenes Puntuales]]/MIT_Vic_Cap[[#This Row],[Trenes Programados]]</f>
        <v>0.83847736625514402</v>
      </c>
      <c r="AZ218" s="35">
        <f>+MIT_Vic_Cap[[#This Row],[Trenes Puntuales]]/MIT_Vic_Cap[[#This Row],[Trenes Corridos]]</f>
        <v>0.87072649572649574</v>
      </c>
      <c r="BA218" s="35">
        <f>+MIT_Vic_Cap[[#This Row],[Trenes Corridos]]/MIT_Vic_Cap[[#This Row],[Trenes Programados]]</f>
        <v>0.96296296296296291</v>
      </c>
      <c r="BB218" s="20">
        <v>972</v>
      </c>
      <c r="BC218" s="27">
        <f t="shared" si="111"/>
        <v>36</v>
      </c>
      <c r="BD218" s="20">
        <v>936</v>
      </c>
      <c r="BE218" s="20">
        <v>815</v>
      </c>
      <c r="BF218" s="20">
        <f t="shared" si="112"/>
        <v>121</v>
      </c>
      <c r="BG218" s="20"/>
      <c r="BH218" s="5"/>
      <c r="BI218" s="29">
        <v>2010</v>
      </c>
      <c r="BJ218" s="38" t="s">
        <v>46</v>
      </c>
      <c r="BK218" s="35">
        <f>+Tabla8[[#This Row],[Trenes Puntuales]]/Tabla8[[#This Row],[Trenes Programados]]</f>
        <v>0.89787234042553188</v>
      </c>
      <c r="BL218" s="35">
        <f>+Tabla8[[#This Row],[Trenes Puntuales]]/Tabla8[[#This Row],[Trenes Corridos]]</f>
        <v>0.90170940170940173</v>
      </c>
      <c r="BM218" s="35">
        <f>+Tabla8[[#This Row],[Trenes Corridos]]/Tabla8[[#This Row],[Trenes Programados]]</f>
        <v>0.99574468085106382</v>
      </c>
      <c r="BN218" s="20">
        <v>940</v>
      </c>
      <c r="BO218" s="20">
        <v>142</v>
      </c>
      <c r="BP218" s="20">
        <v>936</v>
      </c>
      <c r="BQ218" s="20">
        <v>844</v>
      </c>
      <c r="BR218" s="20">
        <f t="shared" si="113"/>
        <v>92</v>
      </c>
      <c r="BS218" s="29"/>
    </row>
    <row r="219" spans="1:71" s="3" customFormat="1" ht="12.75">
      <c r="A219" s="3">
        <v>2010</v>
      </c>
      <c r="B219" s="38" t="s">
        <v>47</v>
      </c>
      <c r="C219" s="25">
        <f>+MITRE[[#This Row],[Trenes Puntuales]]/MITRE[[#This Row],[Trenes Programados]]</f>
        <v>0.86870540265035678</v>
      </c>
      <c r="D219" s="25">
        <f>+MITRE[[#This Row],[Trenes Puntuales]]/MITRE[[#This Row],[Trenes Corridos]]</f>
        <v>0.88727701811619353</v>
      </c>
      <c r="E219" s="25">
        <f>+MITRE[[#This Row],[Trenes Corridos]]/MITRE[[#This Row],[Trenes Programados]]</f>
        <v>0.9790689772341149</v>
      </c>
      <c r="F219" s="27">
        <f t="shared" si="100"/>
        <v>14715</v>
      </c>
      <c r="G219" s="27">
        <f t="shared" si="101"/>
        <v>308</v>
      </c>
      <c r="H219" s="27">
        <f t="shared" si="102"/>
        <v>14407</v>
      </c>
      <c r="I219" s="27">
        <f t="shared" si="103"/>
        <v>12783</v>
      </c>
      <c r="J219" s="27">
        <f t="shared" si="104"/>
        <v>1624</v>
      </c>
      <c r="K219" s="27"/>
      <c r="L219" s="4"/>
      <c r="M219" s="29">
        <v>2010</v>
      </c>
      <c r="N219" s="38" t="s">
        <v>47</v>
      </c>
      <c r="O219" s="35">
        <f>+Tabla4[[#This Row],[Trenes Puntuales]]/Tabla4[[#This Row],[Trenes Programados]]</f>
        <v>0.84972067039106147</v>
      </c>
      <c r="P219" s="35">
        <f>+Tabla4[[#This Row],[Trenes Puntuales]]/Tabla4[[#This Row],[Trenes Corridos]]</f>
        <v>0.86732560349743393</v>
      </c>
      <c r="Q219" s="35">
        <f>+Tabla4[[#This Row],[Trenes Corridos]]/Tabla4[[#This Row],[Trenes Programados]]</f>
        <v>0.97970204841713227</v>
      </c>
      <c r="R219" s="20">
        <v>5370</v>
      </c>
      <c r="S219" s="27">
        <f t="shared" si="105"/>
        <v>109</v>
      </c>
      <c r="T219" s="20">
        <v>5261</v>
      </c>
      <c r="U219" s="20">
        <v>4563</v>
      </c>
      <c r="V219" s="20">
        <f t="shared" si="106"/>
        <v>698</v>
      </c>
      <c r="W219" s="20"/>
      <c r="X219" s="5"/>
      <c r="Y219" s="29">
        <v>2010</v>
      </c>
      <c r="Z219" s="38" t="s">
        <v>47</v>
      </c>
      <c r="AA219" s="35">
        <f>+Tabla5[[#This Row],[Trenes Puntuales]]/Tabla5[[#This Row],[Trenes Programados]]</f>
        <v>0.86323597589244316</v>
      </c>
      <c r="AB219" s="35">
        <f>+Tabla5[[#This Row],[Trenes Puntuales]]/Tabla5[[#This Row],[Trenes Corridos]]</f>
        <v>0.87933884297520659</v>
      </c>
      <c r="AC219" s="35">
        <f>+Tabla5[[#This Row],[Trenes Corridos]]/Tabla5[[#This Row],[Trenes Programados]]</f>
        <v>0.98168752897542888</v>
      </c>
      <c r="AD219" s="20">
        <v>4314</v>
      </c>
      <c r="AE219" s="27">
        <f t="shared" si="107"/>
        <v>79</v>
      </c>
      <c r="AF219" s="20">
        <v>4235</v>
      </c>
      <c r="AG219" s="20">
        <v>3724</v>
      </c>
      <c r="AH219" s="20">
        <f t="shared" si="108"/>
        <v>511</v>
      </c>
      <c r="AI219" s="20"/>
      <c r="AJ219" s="5"/>
      <c r="AK219" s="29">
        <v>2010</v>
      </c>
      <c r="AL219" s="38" t="s">
        <v>47</v>
      </c>
      <c r="AM219" s="35">
        <f>+Tabla6[[#This Row],[Trenes Puntuales]]/Tabla6[[#This Row],[Trenes Programados]]</f>
        <v>0.90796963946869069</v>
      </c>
      <c r="AN219" s="35">
        <f>+Tabla6[[#This Row],[Trenes Puntuales]]/Tabla6[[#This Row],[Trenes Corridos]]</f>
        <v>0.92762520193861064</v>
      </c>
      <c r="AO219" s="35">
        <f>+Tabla6[[#This Row],[Trenes Corridos]]/Tabla6[[#This Row],[Trenes Programados]]</f>
        <v>0.97881087919038579</v>
      </c>
      <c r="AP219" s="20">
        <v>3162</v>
      </c>
      <c r="AQ219" s="27">
        <f t="shared" si="109"/>
        <v>67</v>
      </c>
      <c r="AR219" s="20">
        <v>3095</v>
      </c>
      <c r="AS219" s="20">
        <v>2871</v>
      </c>
      <c r="AT219" s="20">
        <f t="shared" si="110"/>
        <v>224</v>
      </c>
      <c r="AU219" s="20"/>
      <c r="AV219" s="5"/>
      <c r="AW219" s="29">
        <v>2010</v>
      </c>
      <c r="AX219" s="38" t="s">
        <v>47</v>
      </c>
      <c r="AY219" s="35">
        <f>+MIT_Vic_Cap[[#This Row],[Trenes Puntuales]]/MIT_Vic_Cap[[#This Row],[Trenes Programados]]</f>
        <v>0.86673553719008267</v>
      </c>
      <c r="AZ219" s="35">
        <f>+MIT_Vic_Cap[[#This Row],[Trenes Puntuales]]/MIT_Vic_Cap[[#This Row],[Trenes Corridos]]</f>
        <v>0.90021459227467815</v>
      </c>
      <c r="BA219" s="35">
        <f>+MIT_Vic_Cap[[#This Row],[Trenes Corridos]]/MIT_Vic_Cap[[#This Row],[Trenes Programados]]</f>
        <v>0.96280991735537191</v>
      </c>
      <c r="BB219" s="20">
        <v>968</v>
      </c>
      <c r="BC219" s="27">
        <f t="shared" si="111"/>
        <v>36</v>
      </c>
      <c r="BD219" s="20">
        <v>932</v>
      </c>
      <c r="BE219" s="20">
        <v>839</v>
      </c>
      <c r="BF219" s="20">
        <f t="shared" si="112"/>
        <v>93</v>
      </c>
      <c r="BG219" s="20"/>
      <c r="BH219" s="5"/>
      <c r="BI219" s="29">
        <v>2010</v>
      </c>
      <c r="BJ219" s="38" t="s">
        <v>47</v>
      </c>
      <c r="BK219" s="35">
        <f>+Tabla8[[#This Row],[Trenes Puntuales]]/Tabla8[[#This Row],[Trenes Programados]]</f>
        <v>0.87236403995560485</v>
      </c>
      <c r="BL219" s="35">
        <f>+Tabla8[[#This Row],[Trenes Puntuales]]/Tabla8[[#This Row],[Trenes Corridos]]</f>
        <v>0.88914027149321262</v>
      </c>
      <c r="BM219" s="35">
        <f>+Tabla8[[#This Row],[Trenes Corridos]]/Tabla8[[#This Row],[Trenes Programados]]</f>
        <v>0.98113207547169812</v>
      </c>
      <c r="BN219" s="20">
        <v>901</v>
      </c>
      <c r="BO219" s="20">
        <v>90</v>
      </c>
      <c r="BP219" s="20">
        <v>884</v>
      </c>
      <c r="BQ219" s="20">
        <v>786</v>
      </c>
      <c r="BR219" s="20">
        <f t="shared" si="113"/>
        <v>98</v>
      </c>
      <c r="BS219" s="29"/>
    </row>
    <row r="220" spans="1:71" s="3" customFormat="1" ht="12.75">
      <c r="A220" s="3">
        <v>2010</v>
      </c>
      <c r="B220" s="38" t="s">
        <v>48</v>
      </c>
      <c r="C220" s="25">
        <f>+MITRE[[#This Row],[Trenes Puntuales]]/MITRE[[#This Row],[Trenes Programados]]</f>
        <v>0.80463914019454463</v>
      </c>
      <c r="D220" s="25">
        <f>+MITRE[[#This Row],[Trenes Puntuales]]/MITRE[[#This Row],[Trenes Corridos]]</f>
        <v>0.82466536530953705</v>
      </c>
      <c r="E220" s="25">
        <f>+MITRE[[#This Row],[Trenes Corridos]]/MITRE[[#This Row],[Trenes Programados]]</f>
        <v>0.97571593769131348</v>
      </c>
      <c r="F220" s="27">
        <f t="shared" si="100"/>
        <v>14701</v>
      </c>
      <c r="G220" s="27">
        <f t="shared" si="101"/>
        <v>357</v>
      </c>
      <c r="H220" s="27">
        <f t="shared" si="102"/>
        <v>14344</v>
      </c>
      <c r="I220" s="27">
        <f t="shared" si="103"/>
        <v>11829</v>
      </c>
      <c r="J220" s="27">
        <f t="shared" si="104"/>
        <v>2515</v>
      </c>
      <c r="K220" s="27"/>
      <c r="L220" s="4"/>
      <c r="M220" s="29">
        <v>2010</v>
      </c>
      <c r="N220" s="38" t="s">
        <v>48</v>
      </c>
      <c r="O220" s="35">
        <f>+Tabla4[[#This Row],[Trenes Puntuales]]/Tabla4[[#This Row],[Trenes Programados]]</f>
        <v>0.78775510204081634</v>
      </c>
      <c r="P220" s="35">
        <f>+Tabla4[[#This Row],[Trenes Puntuales]]/Tabla4[[#This Row],[Trenes Corridos]]</f>
        <v>0.81030534351145034</v>
      </c>
      <c r="Q220" s="35">
        <f>+Tabla4[[#This Row],[Trenes Corridos]]/Tabla4[[#This Row],[Trenes Programados]]</f>
        <v>0.9721706864564007</v>
      </c>
      <c r="R220" s="20">
        <v>5390</v>
      </c>
      <c r="S220" s="27">
        <f t="shared" si="105"/>
        <v>150</v>
      </c>
      <c r="T220" s="20">
        <v>5240</v>
      </c>
      <c r="U220" s="20">
        <v>4246</v>
      </c>
      <c r="V220" s="20">
        <f t="shared" si="106"/>
        <v>994</v>
      </c>
      <c r="W220" s="20"/>
      <c r="X220" s="5"/>
      <c r="Y220" s="29">
        <v>2010</v>
      </c>
      <c r="Z220" s="38" t="s">
        <v>48</v>
      </c>
      <c r="AA220" s="35">
        <f>+Tabla5[[#This Row],[Trenes Puntuales]]/Tabla5[[#This Row],[Trenes Programados]]</f>
        <v>0.78703703703703709</v>
      </c>
      <c r="AB220" s="35">
        <f>+Tabla5[[#This Row],[Trenes Puntuales]]/Tabla5[[#This Row],[Trenes Corridos]]</f>
        <v>0.80530554239696828</v>
      </c>
      <c r="AC220" s="35">
        <f>+Tabla5[[#This Row],[Trenes Corridos]]/Tabla5[[#This Row],[Trenes Programados]]</f>
        <v>0.97731481481481486</v>
      </c>
      <c r="AD220" s="20">
        <v>4320</v>
      </c>
      <c r="AE220" s="27">
        <f t="shared" si="107"/>
        <v>98</v>
      </c>
      <c r="AF220" s="20">
        <v>4222</v>
      </c>
      <c r="AG220" s="20">
        <v>3400</v>
      </c>
      <c r="AH220" s="20">
        <f t="shared" si="108"/>
        <v>822</v>
      </c>
      <c r="AI220" s="20"/>
      <c r="AJ220" s="5"/>
      <c r="AK220" s="29">
        <v>2010</v>
      </c>
      <c r="AL220" s="38" t="s">
        <v>48</v>
      </c>
      <c r="AM220" s="35">
        <f>+Tabla6[[#This Row],[Trenes Puntuales]]/Tabla6[[#This Row],[Trenes Programados]]</f>
        <v>0.82487146529562982</v>
      </c>
      <c r="AN220" s="35">
        <f>+Tabla6[[#This Row],[Trenes Puntuales]]/Tabla6[[#This Row],[Trenes Corridos]]</f>
        <v>0.8410878112712975</v>
      </c>
      <c r="AO220" s="35">
        <f>+Tabla6[[#This Row],[Trenes Corridos]]/Tabla6[[#This Row],[Trenes Programados]]</f>
        <v>0.98071979434447298</v>
      </c>
      <c r="AP220" s="20">
        <v>3112</v>
      </c>
      <c r="AQ220" s="27">
        <f t="shared" si="109"/>
        <v>60</v>
      </c>
      <c r="AR220" s="20">
        <v>3052</v>
      </c>
      <c r="AS220" s="20">
        <v>2567</v>
      </c>
      <c r="AT220" s="20">
        <f t="shared" si="110"/>
        <v>485</v>
      </c>
      <c r="AU220" s="20"/>
      <c r="AV220" s="5"/>
      <c r="AW220" s="29">
        <v>2010</v>
      </c>
      <c r="AX220" s="38" t="s">
        <v>48</v>
      </c>
      <c r="AY220" s="35">
        <f>+MIT_Vic_Cap[[#This Row],[Trenes Puntuales]]/MIT_Vic_Cap[[#This Row],[Trenes Programados]]</f>
        <v>0.8915537017726799</v>
      </c>
      <c r="AZ220" s="35">
        <f>+MIT_Vic_Cap[[#This Row],[Trenes Puntuales]]/MIT_Vic_Cap[[#This Row],[Trenes Corridos]]</f>
        <v>0.91443850267379678</v>
      </c>
      <c r="BA220" s="35">
        <f>+MIT_Vic_Cap[[#This Row],[Trenes Corridos]]/MIT_Vic_Cap[[#This Row],[Trenes Programados]]</f>
        <v>0.97497393117831077</v>
      </c>
      <c r="BB220" s="20">
        <v>959</v>
      </c>
      <c r="BC220" s="27">
        <f t="shared" si="111"/>
        <v>24</v>
      </c>
      <c r="BD220" s="20">
        <v>935</v>
      </c>
      <c r="BE220" s="20">
        <v>855</v>
      </c>
      <c r="BF220" s="20">
        <f t="shared" si="112"/>
        <v>80</v>
      </c>
      <c r="BG220" s="20"/>
      <c r="BH220" s="5"/>
      <c r="BI220" s="29">
        <v>2010</v>
      </c>
      <c r="BJ220" s="38" t="s">
        <v>48</v>
      </c>
      <c r="BK220" s="35">
        <f>+Tabla8[[#This Row],[Trenes Puntuales]]/Tabla8[[#This Row],[Trenes Programados]]</f>
        <v>0.82717391304347831</v>
      </c>
      <c r="BL220" s="35">
        <f>+Tabla8[[#This Row],[Trenes Puntuales]]/Tabla8[[#This Row],[Trenes Corridos]]</f>
        <v>0.85027932960893859</v>
      </c>
      <c r="BM220" s="35">
        <f>+Tabla8[[#This Row],[Trenes Corridos]]/Tabla8[[#This Row],[Trenes Programados]]</f>
        <v>0.97282608695652173</v>
      </c>
      <c r="BN220" s="20">
        <v>920</v>
      </c>
      <c r="BO220" s="20">
        <v>91</v>
      </c>
      <c r="BP220" s="20">
        <v>895</v>
      </c>
      <c r="BQ220" s="20">
        <v>761</v>
      </c>
      <c r="BR220" s="20">
        <f t="shared" si="113"/>
        <v>134</v>
      </c>
      <c r="BS220" s="29"/>
    </row>
    <row r="221" spans="1:71" s="3" customFormat="1" ht="12.75">
      <c r="A221" s="3">
        <v>2010</v>
      </c>
      <c r="B221" s="38" t="s">
        <v>49</v>
      </c>
      <c r="C221" s="25">
        <f>+MITRE[[#This Row],[Trenes Puntuales]]/MITRE[[#This Row],[Trenes Programados]]</f>
        <v>0.76229562454491295</v>
      </c>
      <c r="D221" s="25">
        <f>+MITRE[[#This Row],[Trenes Puntuales]]/MITRE[[#This Row],[Trenes Corridos]]</f>
        <v>0.80374092685650478</v>
      </c>
      <c r="E221" s="25">
        <f>+MITRE[[#This Row],[Trenes Corridos]]/MITRE[[#This Row],[Trenes Programados]]</f>
        <v>0.9484345005626531</v>
      </c>
      <c r="F221" s="27">
        <f t="shared" si="100"/>
        <v>15107</v>
      </c>
      <c r="G221" s="27">
        <f t="shared" si="101"/>
        <v>779</v>
      </c>
      <c r="H221" s="27">
        <f t="shared" si="102"/>
        <v>14328</v>
      </c>
      <c r="I221" s="27">
        <f t="shared" si="103"/>
        <v>11516</v>
      </c>
      <c r="J221" s="27">
        <f t="shared" si="104"/>
        <v>2812</v>
      </c>
      <c r="K221" s="27"/>
      <c r="L221" s="4"/>
      <c r="M221" s="29">
        <v>2010</v>
      </c>
      <c r="N221" s="38" t="s">
        <v>49</v>
      </c>
      <c r="O221" s="35">
        <f>+Tabla4[[#This Row],[Trenes Puntuales]]/Tabla4[[#This Row],[Trenes Programados]]</f>
        <v>0.69747292418772566</v>
      </c>
      <c r="P221" s="35">
        <f>+Tabla4[[#This Row],[Trenes Puntuales]]/Tabla4[[#This Row],[Trenes Corridos]]</f>
        <v>0.74941815360744768</v>
      </c>
      <c r="Q221" s="35">
        <f>+Tabla4[[#This Row],[Trenes Corridos]]/Tabla4[[#This Row],[Trenes Programados]]</f>
        <v>0.93068592057761734</v>
      </c>
      <c r="R221" s="20">
        <v>5540</v>
      </c>
      <c r="S221" s="27">
        <f t="shared" si="105"/>
        <v>384</v>
      </c>
      <c r="T221" s="20">
        <v>5156</v>
      </c>
      <c r="U221" s="20">
        <v>3864</v>
      </c>
      <c r="V221" s="20">
        <f t="shared" si="106"/>
        <v>1292</v>
      </c>
      <c r="W221" s="20"/>
      <c r="X221" s="5"/>
      <c r="Y221" s="29">
        <v>2010</v>
      </c>
      <c r="Z221" s="38" t="s">
        <v>49</v>
      </c>
      <c r="AA221" s="35">
        <f>+Tabla5[[#This Row],[Trenes Puntuales]]/Tabla5[[#This Row],[Trenes Programados]]</f>
        <v>0.76883175462336495</v>
      </c>
      <c r="AB221" s="35">
        <f>+Tabla5[[#This Row],[Trenes Puntuales]]/Tabla5[[#This Row],[Trenes Corridos]]</f>
        <v>0.80287329251059825</v>
      </c>
      <c r="AC221" s="35">
        <f>+Tabla5[[#This Row],[Trenes Corridos]]/Tabla5[[#This Row],[Trenes Programados]]</f>
        <v>0.95760036084799283</v>
      </c>
      <c r="AD221" s="20">
        <v>4434</v>
      </c>
      <c r="AE221" s="27">
        <f t="shared" si="107"/>
        <v>188</v>
      </c>
      <c r="AF221" s="20">
        <v>4246</v>
      </c>
      <c r="AG221" s="20">
        <v>3409</v>
      </c>
      <c r="AH221" s="20">
        <f t="shared" si="108"/>
        <v>837</v>
      </c>
      <c r="AI221" s="20"/>
      <c r="AJ221" s="5"/>
      <c r="AK221" s="29">
        <v>2010</v>
      </c>
      <c r="AL221" s="38" t="s">
        <v>49</v>
      </c>
      <c r="AM221" s="35">
        <f>+Tabla6[[#This Row],[Trenes Puntuales]]/Tabla6[[#This Row],[Trenes Programados]]</f>
        <v>0.82885696439725176</v>
      </c>
      <c r="AN221" s="35">
        <f>+Tabla6[[#This Row],[Trenes Puntuales]]/Tabla6[[#This Row],[Trenes Corridos]]</f>
        <v>0.86449511400651469</v>
      </c>
      <c r="AO221" s="35">
        <f>+Tabla6[[#This Row],[Trenes Corridos]]/Tabla6[[#This Row],[Trenes Programados]]</f>
        <v>0.95877576514678331</v>
      </c>
      <c r="AP221" s="20">
        <v>3202</v>
      </c>
      <c r="AQ221" s="27">
        <f t="shared" si="109"/>
        <v>132</v>
      </c>
      <c r="AR221" s="20">
        <v>3070</v>
      </c>
      <c r="AS221" s="20">
        <v>2654</v>
      </c>
      <c r="AT221" s="20">
        <f t="shared" si="110"/>
        <v>416</v>
      </c>
      <c r="AU221" s="20"/>
      <c r="AV221" s="5"/>
      <c r="AW221" s="29">
        <v>2010</v>
      </c>
      <c r="AX221" s="38" t="s">
        <v>49</v>
      </c>
      <c r="AY221" s="35">
        <f>+MIT_Vic_Cap[[#This Row],[Trenes Puntuales]]/MIT_Vic_Cap[[#This Row],[Trenes Programados]]</f>
        <v>0.82959183673469383</v>
      </c>
      <c r="AZ221" s="35">
        <f>+MIT_Vic_Cap[[#This Row],[Trenes Puntuales]]/MIT_Vic_Cap[[#This Row],[Trenes Corridos]]</f>
        <v>0.86305732484076436</v>
      </c>
      <c r="BA221" s="35">
        <f>+MIT_Vic_Cap[[#This Row],[Trenes Corridos]]/MIT_Vic_Cap[[#This Row],[Trenes Programados]]</f>
        <v>0.96122448979591835</v>
      </c>
      <c r="BB221" s="20">
        <v>980</v>
      </c>
      <c r="BC221" s="27">
        <f t="shared" si="111"/>
        <v>38</v>
      </c>
      <c r="BD221" s="20">
        <v>942</v>
      </c>
      <c r="BE221" s="20">
        <v>813</v>
      </c>
      <c r="BF221" s="20">
        <f t="shared" si="112"/>
        <v>129</v>
      </c>
      <c r="BG221" s="20"/>
      <c r="BH221" s="5"/>
      <c r="BI221" s="29">
        <v>2010</v>
      </c>
      <c r="BJ221" s="38" t="s">
        <v>49</v>
      </c>
      <c r="BK221" s="35">
        <f>+Tabla8[[#This Row],[Trenes Puntuales]]/Tabla8[[#This Row],[Trenes Programados]]</f>
        <v>0.81598317560462674</v>
      </c>
      <c r="BL221" s="35">
        <f>+Tabla8[[#This Row],[Trenes Puntuales]]/Tabla8[[#This Row],[Trenes Corridos]]</f>
        <v>0.84901531728665203</v>
      </c>
      <c r="BM221" s="35">
        <f>+Tabla8[[#This Row],[Trenes Corridos]]/Tabla8[[#This Row],[Trenes Programados]]</f>
        <v>0.96109358569926395</v>
      </c>
      <c r="BN221" s="20">
        <v>951</v>
      </c>
      <c r="BO221" s="20">
        <v>87</v>
      </c>
      <c r="BP221" s="20">
        <v>914</v>
      </c>
      <c r="BQ221" s="20">
        <v>776</v>
      </c>
      <c r="BR221" s="20">
        <f t="shared" si="113"/>
        <v>138</v>
      </c>
      <c r="BS221" s="29"/>
    </row>
    <row r="222" spans="1:71" s="2" customFormat="1" ht="12.95" customHeight="1">
      <c r="A222" s="3">
        <v>2011</v>
      </c>
      <c r="B222" s="38" t="s">
        <v>38</v>
      </c>
      <c r="C222" s="25">
        <f>+MITRE[[#This Row],[Trenes Puntuales]]/MITRE[[#This Row],[Trenes Programados]]</f>
        <v>0.59503361959922774</v>
      </c>
      <c r="D222" s="25">
        <f>+MITRE[[#This Row],[Trenes Puntuales]]/MITRE[[#This Row],[Trenes Corridos]]</f>
        <v>0.63642836798632874</v>
      </c>
      <c r="E222" s="25">
        <f>+MITRE[[#This Row],[Trenes Corridos]]/MITRE[[#This Row],[Trenes Programados]]</f>
        <v>0.93495772585047598</v>
      </c>
      <c r="F222" s="27">
        <f t="shared" si="100"/>
        <v>15021</v>
      </c>
      <c r="G222" s="27">
        <f t="shared" si="101"/>
        <v>977</v>
      </c>
      <c r="H222" s="27">
        <f t="shared" si="102"/>
        <v>14044</v>
      </c>
      <c r="I222" s="27">
        <f t="shared" si="103"/>
        <v>8938</v>
      </c>
      <c r="J222" s="27">
        <f t="shared" si="104"/>
        <v>5106</v>
      </c>
      <c r="K222" s="27"/>
      <c r="L222" s="4"/>
      <c r="M222" s="29">
        <v>2011</v>
      </c>
      <c r="N222" s="38" t="s">
        <v>38</v>
      </c>
      <c r="O222" s="35">
        <f>+Tabla4[[#This Row],[Trenes Puntuales]]/Tabla4[[#This Row],[Trenes Programados]]</f>
        <v>0.68927272727272726</v>
      </c>
      <c r="P222" s="35">
        <f>+Tabla4[[#This Row],[Trenes Puntuales]]/Tabla4[[#This Row],[Trenes Corridos]]</f>
        <v>0.74057433092400859</v>
      </c>
      <c r="Q222" s="35">
        <f>+Tabla4[[#This Row],[Trenes Corridos]]/Tabla4[[#This Row],[Trenes Programados]]</f>
        <v>0.93072727272727274</v>
      </c>
      <c r="R222" s="20">
        <v>5500</v>
      </c>
      <c r="S222" s="27">
        <f t="shared" ref="S222:S233" si="114">R222-T222</f>
        <v>381</v>
      </c>
      <c r="T222" s="20">
        <v>5119</v>
      </c>
      <c r="U222" s="20">
        <v>3791</v>
      </c>
      <c r="V222" s="20">
        <f t="shared" ref="V222:V233" si="115">T222-U222</f>
        <v>1328</v>
      </c>
      <c r="W222" s="20"/>
      <c r="X222" s="5"/>
      <c r="Y222" s="29">
        <v>2011</v>
      </c>
      <c r="Z222" s="38" t="s">
        <v>38</v>
      </c>
      <c r="AA222" s="35">
        <f>+Tabla5[[#This Row],[Trenes Puntuales]]/Tabla5[[#This Row],[Trenes Programados]]</f>
        <v>0.48242231798593788</v>
      </c>
      <c r="AB222" s="35">
        <f>+Tabla5[[#This Row],[Trenes Puntuales]]/Tabla5[[#This Row],[Trenes Corridos]]</f>
        <v>0.51080691642651299</v>
      </c>
      <c r="AC222" s="35">
        <f>+Tabla5[[#This Row],[Trenes Corridos]]/Tabla5[[#This Row],[Trenes Programados]]</f>
        <v>0.94443184395554547</v>
      </c>
      <c r="AD222" s="20">
        <v>4409</v>
      </c>
      <c r="AE222" s="27">
        <f t="shared" ref="AE222:AE233" si="116">AD222-AF222</f>
        <v>245</v>
      </c>
      <c r="AF222" s="20">
        <v>4164</v>
      </c>
      <c r="AG222" s="20">
        <v>2127</v>
      </c>
      <c r="AH222" s="20">
        <f t="shared" ref="AH222:AH233" si="117">AF222-AG222</f>
        <v>2037</v>
      </c>
      <c r="AI222" s="20"/>
      <c r="AJ222" s="5"/>
      <c r="AK222" s="29">
        <v>2011</v>
      </c>
      <c r="AL222" s="38" t="s">
        <v>38</v>
      </c>
      <c r="AM222" s="35">
        <f>+Tabla6[[#This Row],[Trenes Puntuales]]/Tabla6[[#This Row],[Trenes Programados]]</f>
        <v>0.50266040688575897</v>
      </c>
      <c r="AN222" s="35">
        <f>+Tabla6[[#This Row],[Trenes Puntuales]]/Tabla6[[#This Row],[Trenes Corridos]]</f>
        <v>0.54422229752626228</v>
      </c>
      <c r="AO222" s="35">
        <f>+Tabla6[[#This Row],[Trenes Corridos]]/Tabla6[[#This Row],[Trenes Programados]]</f>
        <v>0.92363067292644763</v>
      </c>
      <c r="AP222" s="20">
        <v>3195</v>
      </c>
      <c r="AQ222" s="27">
        <f t="shared" ref="AQ222:AQ233" si="118">AP222-AR222</f>
        <v>244</v>
      </c>
      <c r="AR222" s="20">
        <v>2951</v>
      </c>
      <c r="AS222" s="20">
        <v>1606</v>
      </c>
      <c r="AT222" s="20">
        <f t="shared" ref="AT222:AT233" si="119">AR222-AS222</f>
        <v>1345</v>
      </c>
      <c r="AU222" s="20"/>
      <c r="AV222" s="5"/>
      <c r="AW222" s="29">
        <v>2011</v>
      </c>
      <c r="AX222" s="38" t="s">
        <v>38</v>
      </c>
      <c r="AY222" s="35">
        <f>+MIT_Vic_Cap[[#This Row],[Trenes Puntuales]]/MIT_Vic_Cap[[#This Row],[Trenes Programados]]</f>
        <v>0.83384301732925581</v>
      </c>
      <c r="AZ222" s="35">
        <f>+MIT_Vic_Cap[[#This Row],[Trenes Puntuales]]/MIT_Vic_Cap[[#This Row],[Trenes Corridos]]</f>
        <v>0.87862513426423205</v>
      </c>
      <c r="BA222" s="35">
        <f>+MIT_Vic_Cap[[#This Row],[Trenes Corridos]]/MIT_Vic_Cap[[#This Row],[Trenes Programados]]</f>
        <v>0.94903160040774714</v>
      </c>
      <c r="BB222" s="20">
        <v>981</v>
      </c>
      <c r="BC222" s="27">
        <f t="shared" ref="BC222:BC233" si="120">BB222-BD222</f>
        <v>50</v>
      </c>
      <c r="BD222" s="20">
        <v>931</v>
      </c>
      <c r="BE222" s="20">
        <v>818</v>
      </c>
      <c r="BF222" s="20">
        <f t="shared" ref="BF222:BF233" si="121">BD222-BE222</f>
        <v>113</v>
      </c>
      <c r="BG222" s="20"/>
      <c r="BH222" s="5"/>
      <c r="BI222" s="29">
        <v>2011</v>
      </c>
      <c r="BJ222" s="38" t="s">
        <v>38</v>
      </c>
      <c r="BK222" s="35">
        <f>+Tabla8[[#This Row],[Trenes Puntuales]]/Tabla8[[#This Row],[Trenes Programados]]</f>
        <v>0.63675213675213671</v>
      </c>
      <c r="BL222" s="35">
        <f>+Tabla8[[#This Row],[Trenes Puntuales]]/Tabla8[[#This Row],[Trenes Corridos]]</f>
        <v>0.67804323094425478</v>
      </c>
      <c r="BM222" s="35">
        <f>+Tabla8[[#This Row],[Trenes Corridos]]/Tabla8[[#This Row],[Trenes Programados]]</f>
        <v>0.9391025641025641</v>
      </c>
      <c r="BN222" s="20">
        <v>936</v>
      </c>
      <c r="BO222" s="27">
        <f t="shared" ref="BO222:BO233" si="122">BN222-BP222</f>
        <v>57</v>
      </c>
      <c r="BP222" s="20">
        <v>879</v>
      </c>
      <c r="BQ222" s="20">
        <v>596</v>
      </c>
      <c r="BR222" s="20">
        <f t="shared" ref="BR222:BR233" si="123">BP222-BQ222</f>
        <v>283</v>
      </c>
      <c r="BS222" s="34"/>
    </row>
    <row r="223" spans="1:71" s="2" customFormat="1" ht="12.95" customHeight="1">
      <c r="A223" s="3">
        <v>2011</v>
      </c>
      <c r="B223" s="38" t="s">
        <v>39</v>
      </c>
      <c r="C223" s="25">
        <f>+MITRE[[#This Row],[Trenes Puntuales]]/MITRE[[#This Row],[Trenes Programados]]</f>
        <v>0.58299624386015603</v>
      </c>
      <c r="D223" s="25">
        <f>+MITRE[[#This Row],[Trenes Puntuales]]/MITRE[[#This Row],[Trenes Corridos]]</f>
        <v>0.61932166973603442</v>
      </c>
      <c r="E223" s="25">
        <f>+MITRE[[#This Row],[Trenes Corridos]]/MITRE[[#This Row],[Trenes Programados]]</f>
        <v>0.94134643166714826</v>
      </c>
      <c r="F223" s="27">
        <f t="shared" si="100"/>
        <v>13844</v>
      </c>
      <c r="G223" s="27">
        <f t="shared" si="101"/>
        <v>812</v>
      </c>
      <c r="H223" s="27">
        <f t="shared" si="102"/>
        <v>13032</v>
      </c>
      <c r="I223" s="27">
        <f t="shared" si="103"/>
        <v>8071</v>
      </c>
      <c r="J223" s="27">
        <f t="shared" si="104"/>
        <v>4961</v>
      </c>
      <c r="K223" s="27"/>
      <c r="L223" s="4"/>
      <c r="M223" s="29">
        <v>2011</v>
      </c>
      <c r="N223" s="38" t="s">
        <v>39</v>
      </c>
      <c r="O223" s="35">
        <f>+Tabla4[[#This Row],[Trenes Puntuales]]/Tabla4[[#This Row],[Trenes Programados]]</f>
        <v>0.6860236220472441</v>
      </c>
      <c r="P223" s="35">
        <f>+Tabla4[[#This Row],[Trenes Puntuales]]/Tabla4[[#This Row],[Trenes Corridos]]</f>
        <v>0.72573927530195748</v>
      </c>
      <c r="Q223" s="35">
        <f>+Tabla4[[#This Row],[Trenes Corridos]]/Tabla4[[#This Row],[Trenes Programados]]</f>
        <v>0.94527559055118116</v>
      </c>
      <c r="R223" s="20">
        <v>5080</v>
      </c>
      <c r="S223" s="27">
        <f t="shared" si="114"/>
        <v>278</v>
      </c>
      <c r="T223" s="20">
        <v>4802</v>
      </c>
      <c r="U223" s="20">
        <v>3485</v>
      </c>
      <c r="V223" s="20">
        <f t="shared" si="115"/>
        <v>1317</v>
      </c>
      <c r="W223" s="20"/>
      <c r="X223" s="5"/>
      <c r="Y223" s="29">
        <v>2011</v>
      </c>
      <c r="Z223" s="38" t="s">
        <v>39</v>
      </c>
      <c r="AA223" s="35">
        <f>+Tabla5[[#This Row],[Trenes Puntuales]]/Tabla5[[#This Row],[Trenes Programados]]</f>
        <v>0.48796660117878193</v>
      </c>
      <c r="AB223" s="35">
        <f>+Tabla5[[#This Row],[Trenes Puntuales]]/Tabla5[[#This Row],[Trenes Corridos]]</f>
        <v>0.51610389610389606</v>
      </c>
      <c r="AC223" s="35">
        <f>+Tabla5[[#This Row],[Trenes Corridos]]/Tabla5[[#This Row],[Trenes Programados]]</f>
        <v>0.94548133595284878</v>
      </c>
      <c r="AD223" s="20">
        <v>4072</v>
      </c>
      <c r="AE223" s="27">
        <f t="shared" si="116"/>
        <v>222</v>
      </c>
      <c r="AF223" s="20">
        <v>3850</v>
      </c>
      <c r="AG223" s="20">
        <v>1987</v>
      </c>
      <c r="AH223" s="20">
        <f t="shared" si="117"/>
        <v>1863</v>
      </c>
      <c r="AI223" s="20"/>
      <c r="AJ223" s="5"/>
      <c r="AK223" s="29">
        <v>2011</v>
      </c>
      <c r="AL223" s="38" t="s">
        <v>39</v>
      </c>
      <c r="AM223" s="35">
        <f>+Tabla6[[#This Row],[Trenes Puntuales]]/Tabla6[[#This Row],[Trenes Programados]]</f>
        <v>0.51027397260273977</v>
      </c>
      <c r="AN223" s="35">
        <f>+Tabla6[[#This Row],[Trenes Puntuales]]/Tabla6[[#This Row],[Trenes Corridos]]</f>
        <v>0.54618768328445744</v>
      </c>
      <c r="AO223" s="35">
        <f>+Tabla6[[#This Row],[Trenes Corridos]]/Tabla6[[#This Row],[Trenes Programados]]</f>
        <v>0.9342465753424658</v>
      </c>
      <c r="AP223" s="20">
        <v>2920</v>
      </c>
      <c r="AQ223" s="27">
        <f t="shared" si="118"/>
        <v>192</v>
      </c>
      <c r="AR223" s="20">
        <v>2728</v>
      </c>
      <c r="AS223" s="20">
        <v>1490</v>
      </c>
      <c r="AT223" s="20">
        <f t="shared" si="119"/>
        <v>1238</v>
      </c>
      <c r="AU223" s="20"/>
      <c r="AV223" s="5"/>
      <c r="AW223" s="29">
        <v>2011</v>
      </c>
      <c r="AX223" s="38" t="s">
        <v>39</v>
      </c>
      <c r="AY223" s="35">
        <f>+MIT_Vic_Cap[[#This Row],[Trenes Puntuales]]/MIT_Vic_Cap[[#This Row],[Trenes Programados]]</f>
        <v>0.79092920353982299</v>
      </c>
      <c r="AZ223" s="35">
        <f>+MIT_Vic_Cap[[#This Row],[Trenes Puntuales]]/MIT_Vic_Cap[[#This Row],[Trenes Corridos]]</f>
        <v>0.83236321303841676</v>
      </c>
      <c r="BA223" s="35">
        <f>+MIT_Vic_Cap[[#This Row],[Trenes Corridos]]/MIT_Vic_Cap[[#This Row],[Trenes Programados]]</f>
        <v>0.9502212389380531</v>
      </c>
      <c r="BB223" s="20">
        <v>904</v>
      </c>
      <c r="BC223" s="27">
        <f t="shared" si="120"/>
        <v>45</v>
      </c>
      <c r="BD223" s="20">
        <v>859</v>
      </c>
      <c r="BE223" s="20">
        <v>715</v>
      </c>
      <c r="BF223" s="20">
        <f t="shared" si="121"/>
        <v>144</v>
      </c>
      <c r="BG223" s="20"/>
      <c r="BH223" s="5"/>
      <c r="BI223" s="29">
        <v>2011</v>
      </c>
      <c r="BJ223" s="38" t="s">
        <v>39</v>
      </c>
      <c r="BK223" s="35">
        <f>+Tabla8[[#This Row],[Trenes Puntuales]]/Tabla8[[#This Row],[Trenes Programados]]</f>
        <v>0.45391705069124422</v>
      </c>
      <c r="BL223" s="35">
        <f>+Tabla8[[#This Row],[Trenes Puntuales]]/Tabla8[[#This Row],[Trenes Corridos]]</f>
        <v>0.49684741488020179</v>
      </c>
      <c r="BM223" s="35">
        <f>+Tabla8[[#This Row],[Trenes Corridos]]/Tabla8[[#This Row],[Trenes Programados]]</f>
        <v>0.91359447004608296</v>
      </c>
      <c r="BN223" s="20">
        <v>868</v>
      </c>
      <c r="BO223" s="27">
        <f t="shared" si="122"/>
        <v>75</v>
      </c>
      <c r="BP223" s="20">
        <v>793</v>
      </c>
      <c r="BQ223" s="20">
        <v>394</v>
      </c>
      <c r="BR223" s="20">
        <f t="shared" si="123"/>
        <v>399</v>
      </c>
      <c r="BS223" s="34"/>
    </row>
    <row r="224" spans="1:71" s="2" customFormat="1" ht="12.95" customHeight="1">
      <c r="A224" s="3">
        <v>2011</v>
      </c>
      <c r="B224" s="38" t="s">
        <v>40</v>
      </c>
      <c r="C224" s="25">
        <f>+MITRE[[#This Row],[Trenes Puntuales]]/MITRE[[#This Row],[Trenes Programados]]</f>
        <v>0.57378960362090248</v>
      </c>
      <c r="D224" s="25">
        <f>+MITRE[[#This Row],[Trenes Puntuales]]/MITRE[[#This Row],[Trenes Corridos]]</f>
        <v>0.60705216571138354</v>
      </c>
      <c r="E224" s="25">
        <f>+MITRE[[#This Row],[Trenes Corridos]]/MITRE[[#This Row],[Trenes Programados]]</f>
        <v>0.94520641887258261</v>
      </c>
      <c r="F224" s="27">
        <f t="shared" si="100"/>
        <v>14582</v>
      </c>
      <c r="G224" s="27">
        <f t="shared" si="101"/>
        <v>799</v>
      </c>
      <c r="H224" s="27">
        <f t="shared" si="102"/>
        <v>13783</v>
      </c>
      <c r="I224" s="27">
        <f t="shared" si="103"/>
        <v>8367</v>
      </c>
      <c r="J224" s="27">
        <f t="shared" si="104"/>
        <v>5416</v>
      </c>
      <c r="K224" s="27"/>
      <c r="L224" s="4"/>
      <c r="M224" s="29">
        <v>2011</v>
      </c>
      <c r="N224" s="38" t="s">
        <v>40</v>
      </c>
      <c r="O224" s="35">
        <f>+Tabla4[[#This Row],[Trenes Puntuales]]/Tabla4[[#This Row],[Trenes Programados]]</f>
        <v>0.63721804511278191</v>
      </c>
      <c r="P224" s="35">
        <f>+Tabla4[[#This Row],[Trenes Puntuales]]/Tabla4[[#This Row],[Trenes Corridos]]</f>
        <v>0.67786442711457706</v>
      </c>
      <c r="Q224" s="35">
        <f>+Tabla4[[#This Row],[Trenes Corridos]]/Tabla4[[#This Row],[Trenes Programados]]</f>
        <v>0.94003759398496245</v>
      </c>
      <c r="R224" s="20">
        <v>5320</v>
      </c>
      <c r="S224" s="27">
        <f t="shared" si="114"/>
        <v>319</v>
      </c>
      <c r="T224" s="20">
        <v>5001</v>
      </c>
      <c r="U224" s="20">
        <v>3390</v>
      </c>
      <c r="V224" s="20">
        <f t="shared" si="115"/>
        <v>1611</v>
      </c>
      <c r="W224" s="20"/>
      <c r="X224" s="5"/>
      <c r="Y224" s="29">
        <v>2011</v>
      </c>
      <c r="Z224" s="38" t="s">
        <v>40</v>
      </c>
      <c r="AA224" s="35">
        <f>+Tabla5[[#This Row],[Trenes Puntuales]]/Tabla5[[#This Row],[Trenes Programados]]</f>
        <v>0.50855001171234482</v>
      </c>
      <c r="AB224" s="35">
        <f>+Tabla5[[#This Row],[Trenes Puntuales]]/Tabla5[[#This Row],[Trenes Corridos]]</f>
        <v>0.52566585956416467</v>
      </c>
      <c r="AC224" s="35">
        <f>+Tabla5[[#This Row],[Trenes Corridos]]/Tabla5[[#This Row],[Trenes Programados]]</f>
        <v>0.9674396814242211</v>
      </c>
      <c r="AD224" s="20">
        <v>4269</v>
      </c>
      <c r="AE224" s="27">
        <f t="shared" si="116"/>
        <v>139</v>
      </c>
      <c r="AF224" s="20">
        <v>4130</v>
      </c>
      <c r="AG224" s="20">
        <v>2171</v>
      </c>
      <c r="AH224" s="20">
        <f t="shared" si="117"/>
        <v>1959</v>
      </c>
      <c r="AI224" s="20"/>
      <c r="AJ224" s="5"/>
      <c r="AK224" s="29">
        <v>2011</v>
      </c>
      <c r="AL224" s="38" t="s">
        <v>40</v>
      </c>
      <c r="AM224" s="35">
        <f>+Tabla6[[#This Row],[Trenes Puntuales]]/Tabla6[[#This Row],[Trenes Programados]]</f>
        <v>0.50143175310213173</v>
      </c>
      <c r="AN224" s="35">
        <f>+Tabla6[[#This Row],[Trenes Puntuales]]/Tabla6[[#This Row],[Trenes Corridos]]</f>
        <v>0.55375966268446941</v>
      </c>
      <c r="AO224" s="35">
        <f>+Tabla6[[#This Row],[Trenes Corridos]]/Tabla6[[#This Row],[Trenes Programados]]</f>
        <v>0.90550429525930642</v>
      </c>
      <c r="AP224" s="20">
        <v>3143</v>
      </c>
      <c r="AQ224" s="27">
        <f t="shared" si="118"/>
        <v>297</v>
      </c>
      <c r="AR224" s="20">
        <v>2846</v>
      </c>
      <c r="AS224" s="20">
        <v>1576</v>
      </c>
      <c r="AT224" s="20">
        <f t="shared" si="119"/>
        <v>1270</v>
      </c>
      <c r="AU224" s="20"/>
      <c r="AV224" s="5"/>
      <c r="AW224" s="29">
        <v>2011</v>
      </c>
      <c r="AX224" s="38" t="s">
        <v>40</v>
      </c>
      <c r="AY224" s="35">
        <f>+MIT_Vic_Cap[[#This Row],[Trenes Puntuales]]/MIT_Vic_Cap[[#This Row],[Trenes Programados]]</f>
        <v>0.74213836477987416</v>
      </c>
      <c r="AZ224" s="35">
        <f>+MIT_Vic_Cap[[#This Row],[Trenes Puntuales]]/MIT_Vic_Cap[[#This Row],[Trenes Corridos]]</f>
        <v>0.76623376623376627</v>
      </c>
      <c r="BA224" s="35">
        <f>+MIT_Vic_Cap[[#This Row],[Trenes Corridos]]/MIT_Vic_Cap[[#This Row],[Trenes Programados]]</f>
        <v>0.96855345911949686</v>
      </c>
      <c r="BB224" s="20">
        <v>954</v>
      </c>
      <c r="BC224" s="27">
        <f t="shared" si="120"/>
        <v>30</v>
      </c>
      <c r="BD224" s="20">
        <v>924</v>
      </c>
      <c r="BE224" s="20">
        <v>708</v>
      </c>
      <c r="BF224" s="20">
        <f t="shared" si="121"/>
        <v>216</v>
      </c>
      <c r="BG224" s="20"/>
      <c r="BH224" s="5"/>
      <c r="BI224" s="29">
        <v>2011</v>
      </c>
      <c r="BJ224" s="38" t="s">
        <v>40</v>
      </c>
      <c r="BK224" s="35">
        <f>+Tabla8[[#This Row],[Trenes Puntuales]]/Tabla8[[#This Row],[Trenes Programados]]</f>
        <v>0.5825892857142857</v>
      </c>
      <c r="BL224" s="35">
        <f>+Tabla8[[#This Row],[Trenes Puntuales]]/Tabla8[[#This Row],[Trenes Corridos]]</f>
        <v>0.59183673469387754</v>
      </c>
      <c r="BM224" s="35">
        <f>+Tabla8[[#This Row],[Trenes Corridos]]/Tabla8[[#This Row],[Trenes Programados]]</f>
        <v>0.984375</v>
      </c>
      <c r="BN224" s="20">
        <v>896</v>
      </c>
      <c r="BO224" s="27">
        <f t="shared" si="122"/>
        <v>14</v>
      </c>
      <c r="BP224" s="20">
        <v>882</v>
      </c>
      <c r="BQ224" s="20">
        <v>522</v>
      </c>
      <c r="BR224" s="20">
        <f t="shared" si="123"/>
        <v>360</v>
      </c>
      <c r="BS224" s="34"/>
    </row>
    <row r="225" spans="1:71" s="2" customFormat="1" ht="12.95" customHeight="1">
      <c r="A225" s="3">
        <v>2011</v>
      </c>
      <c r="B225" s="38" t="s">
        <v>41</v>
      </c>
      <c r="C225" s="25">
        <f>+MITRE[[#This Row],[Trenes Puntuales]]/MITRE[[#This Row],[Trenes Programados]]</f>
        <v>0.47796656996822767</v>
      </c>
      <c r="D225" s="25">
        <f>+MITRE[[#This Row],[Trenes Puntuales]]/MITRE[[#This Row],[Trenes Corridos]]</f>
        <v>0.50774084672389752</v>
      </c>
      <c r="E225" s="25">
        <f>+MITRE[[#This Row],[Trenes Corridos]]/MITRE[[#This Row],[Trenes Programados]]</f>
        <v>0.94135930377123911</v>
      </c>
      <c r="F225" s="27">
        <f t="shared" si="100"/>
        <v>14478</v>
      </c>
      <c r="G225" s="27">
        <f t="shared" si="101"/>
        <v>849</v>
      </c>
      <c r="H225" s="27">
        <f t="shared" si="102"/>
        <v>13629</v>
      </c>
      <c r="I225" s="27">
        <f t="shared" si="103"/>
        <v>6920</v>
      </c>
      <c r="J225" s="27">
        <f t="shared" si="104"/>
        <v>6709</v>
      </c>
      <c r="K225" s="27"/>
      <c r="L225" s="4"/>
      <c r="M225" s="29">
        <v>2011</v>
      </c>
      <c r="N225" s="38" t="s">
        <v>41</v>
      </c>
      <c r="O225" s="35">
        <f>+Tabla4[[#This Row],[Trenes Puntuales]]/Tabla4[[#This Row],[Trenes Programados]]</f>
        <v>0.48471698113207545</v>
      </c>
      <c r="P225" s="35">
        <f>+Tabla4[[#This Row],[Trenes Puntuales]]/Tabla4[[#This Row],[Trenes Corridos]]</f>
        <v>0.51607071112896741</v>
      </c>
      <c r="Q225" s="35">
        <f>+Tabla4[[#This Row],[Trenes Corridos]]/Tabla4[[#This Row],[Trenes Programados]]</f>
        <v>0.93924528301886789</v>
      </c>
      <c r="R225" s="20">
        <v>5300</v>
      </c>
      <c r="S225" s="27">
        <f t="shared" si="114"/>
        <v>322</v>
      </c>
      <c r="T225" s="20">
        <v>4978</v>
      </c>
      <c r="U225" s="20">
        <v>2569</v>
      </c>
      <c r="V225" s="20">
        <f t="shared" si="115"/>
        <v>2409</v>
      </c>
      <c r="W225" s="20"/>
      <c r="X225" s="5"/>
      <c r="Y225" s="29">
        <v>2011</v>
      </c>
      <c r="Z225" s="38" t="s">
        <v>41</v>
      </c>
      <c r="AA225" s="35">
        <f>+Tabla5[[#This Row],[Trenes Puntuales]]/Tabla5[[#This Row],[Trenes Programados]]</f>
        <v>0.45835294117647057</v>
      </c>
      <c r="AB225" s="35">
        <f>+Tabla5[[#This Row],[Trenes Puntuales]]/Tabla5[[#This Row],[Trenes Corridos]]</f>
        <v>0.48134420558438351</v>
      </c>
      <c r="AC225" s="35">
        <f>+Tabla5[[#This Row],[Trenes Corridos]]/Tabla5[[#This Row],[Trenes Programados]]</f>
        <v>0.95223529411764707</v>
      </c>
      <c r="AD225" s="20">
        <v>4250</v>
      </c>
      <c r="AE225" s="27">
        <f t="shared" si="116"/>
        <v>203</v>
      </c>
      <c r="AF225" s="20">
        <v>4047</v>
      </c>
      <c r="AG225" s="20">
        <v>1948</v>
      </c>
      <c r="AH225" s="20">
        <f t="shared" si="117"/>
        <v>2099</v>
      </c>
      <c r="AI225" s="20"/>
      <c r="AJ225" s="5"/>
      <c r="AK225" s="29">
        <v>2011</v>
      </c>
      <c r="AL225" s="38" t="s">
        <v>41</v>
      </c>
      <c r="AM225" s="35">
        <f>+Tabla6[[#This Row],[Trenes Puntuales]]/Tabla6[[#This Row],[Trenes Programados]]</f>
        <v>0.49222294232015557</v>
      </c>
      <c r="AN225" s="35">
        <f>+Tabla6[[#This Row],[Trenes Puntuales]]/Tabla6[[#This Row],[Trenes Corridos]]</f>
        <v>0.53130465197621546</v>
      </c>
      <c r="AO225" s="35">
        <f>+Tabla6[[#This Row],[Trenes Corridos]]/Tabla6[[#This Row],[Trenes Programados]]</f>
        <v>0.92644199611147116</v>
      </c>
      <c r="AP225" s="20">
        <v>3086</v>
      </c>
      <c r="AQ225" s="27">
        <f t="shared" si="118"/>
        <v>227</v>
      </c>
      <c r="AR225" s="20">
        <v>2859</v>
      </c>
      <c r="AS225" s="20">
        <v>1519</v>
      </c>
      <c r="AT225" s="20">
        <f t="shared" si="119"/>
        <v>1340</v>
      </c>
      <c r="AU225" s="20"/>
      <c r="AV225" s="5"/>
      <c r="AW225" s="29">
        <v>2011</v>
      </c>
      <c r="AX225" s="38" t="s">
        <v>41</v>
      </c>
      <c r="AY225" s="35">
        <f>+MIT_Vic_Cap[[#This Row],[Trenes Puntuales]]/MIT_Vic_Cap[[#This Row],[Trenes Programados]]</f>
        <v>0.58811040339702758</v>
      </c>
      <c r="AZ225" s="35">
        <f>+MIT_Vic_Cap[[#This Row],[Trenes Puntuales]]/MIT_Vic_Cap[[#This Row],[Trenes Corridos]]</f>
        <v>0.61624026696329259</v>
      </c>
      <c r="BA225" s="35">
        <f>+MIT_Vic_Cap[[#This Row],[Trenes Corridos]]/MIT_Vic_Cap[[#This Row],[Trenes Programados]]</f>
        <v>0.95435244161358812</v>
      </c>
      <c r="BB225" s="20">
        <v>942</v>
      </c>
      <c r="BC225" s="27">
        <f t="shared" si="120"/>
        <v>43</v>
      </c>
      <c r="BD225" s="20">
        <v>899</v>
      </c>
      <c r="BE225" s="20">
        <v>554</v>
      </c>
      <c r="BF225" s="20">
        <f t="shared" si="121"/>
        <v>345</v>
      </c>
      <c r="BG225" s="20"/>
      <c r="BH225" s="5"/>
      <c r="BI225" s="29">
        <v>2011</v>
      </c>
      <c r="BJ225" s="38" t="s">
        <v>41</v>
      </c>
      <c r="BK225" s="35">
        <f>+Tabla8[[#This Row],[Trenes Puntuales]]/Tabla8[[#This Row],[Trenes Programados]]</f>
        <v>0.36666666666666664</v>
      </c>
      <c r="BL225" s="35">
        <f>+Tabla8[[#This Row],[Trenes Puntuales]]/Tabla8[[#This Row],[Trenes Corridos]]</f>
        <v>0.39007092198581561</v>
      </c>
      <c r="BM225" s="35">
        <f>+Tabla8[[#This Row],[Trenes Corridos]]/Tabla8[[#This Row],[Trenes Programados]]</f>
        <v>0.94</v>
      </c>
      <c r="BN225" s="20">
        <v>900</v>
      </c>
      <c r="BO225" s="27">
        <f t="shared" si="122"/>
        <v>54</v>
      </c>
      <c r="BP225" s="20">
        <v>846</v>
      </c>
      <c r="BQ225" s="20">
        <v>330</v>
      </c>
      <c r="BR225" s="20">
        <f t="shared" si="123"/>
        <v>516</v>
      </c>
      <c r="BS225" s="34"/>
    </row>
    <row r="226" spans="1:71" s="2" customFormat="1" ht="12.95" customHeight="1">
      <c r="A226" s="3">
        <v>2011</v>
      </c>
      <c r="B226" s="38" t="s">
        <v>42</v>
      </c>
      <c r="C226" s="25">
        <f>+MITRE[[#This Row],[Trenes Puntuales]]/MITRE[[#This Row],[Trenes Programados]]</f>
        <v>0.51838039424613747</v>
      </c>
      <c r="D226" s="25">
        <f>+MITRE[[#This Row],[Trenes Puntuales]]/MITRE[[#This Row],[Trenes Corridos]]</f>
        <v>0.55891433905363685</v>
      </c>
      <c r="E226" s="25">
        <f>+MITRE[[#This Row],[Trenes Corridos]]/MITRE[[#This Row],[Trenes Programados]]</f>
        <v>0.92747735748534899</v>
      </c>
      <c r="F226" s="27">
        <f t="shared" si="100"/>
        <v>15016</v>
      </c>
      <c r="G226" s="27">
        <f t="shared" si="101"/>
        <v>1089</v>
      </c>
      <c r="H226" s="27">
        <f t="shared" si="102"/>
        <v>13927</v>
      </c>
      <c r="I226" s="27">
        <f t="shared" si="103"/>
        <v>7784</v>
      </c>
      <c r="J226" s="27">
        <f t="shared" si="104"/>
        <v>6143</v>
      </c>
      <c r="K226" s="27"/>
      <c r="L226" s="4"/>
      <c r="M226" s="29">
        <v>2011</v>
      </c>
      <c r="N226" s="38" t="s">
        <v>42</v>
      </c>
      <c r="O226" s="35">
        <f>+Tabla4[[#This Row],[Trenes Puntuales]]/Tabla4[[#This Row],[Trenes Programados]]</f>
        <v>0.63254545454545452</v>
      </c>
      <c r="P226" s="35">
        <f>+Tabla4[[#This Row],[Trenes Puntuales]]/Tabla4[[#This Row],[Trenes Corridos]]</f>
        <v>0.66228821625737677</v>
      </c>
      <c r="Q226" s="35">
        <f>+Tabla4[[#This Row],[Trenes Corridos]]/Tabla4[[#This Row],[Trenes Programados]]</f>
        <v>0.9550909090909091</v>
      </c>
      <c r="R226" s="20">
        <v>5500</v>
      </c>
      <c r="S226" s="27">
        <f t="shared" si="114"/>
        <v>247</v>
      </c>
      <c r="T226" s="20">
        <v>5253</v>
      </c>
      <c r="U226" s="20">
        <v>3479</v>
      </c>
      <c r="V226" s="20">
        <f t="shared" si="115"/>
        <v>1774</v>
      </c>
      <c r="W226" s="20"/>
      <c r="X226" s="5"/>
      <c r="Y226" s="29">
        <v>2011</v>
      </c>
      <c r="Z226" s="38" t="s">
        <v>42</v>
      </c>
      <c r="AA226" s="35">
        <f>+Tabla5[[#This Row],[Trenes Puntuales]]/Tabla5[[#This Row],[Trenes Programados]]</f>
        <v>0.41188478112950783</v>
      </c>
      <c r="AB226" s="35">
        <f>+Tabla5[[#This Row],[Trenes Puntuales]]/Tabla5[[#This Row],[Trenes Corridos]]</f>
        <v>0.46067985794013189</v>
      </c>
      <c r="AC226" s="35">
        <f>+Tabla5[[#This Row],[Trenes Corridos]]/Tabla5[[#This Row],[Trenes Programados]]</f>
        <v>0.89408029031526426</v>
      </c>
      <c r="AD226" s="20">
        <v>4409</v>
      </c>
      <c r="AE226" s="27">
        <f t="shared" si="116"/>
        <v>467</v>
      </c>
      <c r="AF226" s="20">
        <v>3942</v>
      </c>
      <c r="AG226" s="20">
        <v>1816</v>
      </c>
      <c r="AH226" s="20">
        <f t="shared" si="117"/>
        <v>2126</v>
      </c>
      <c r="AI226" s="20"/>
      <c r="AJ226" s="5"/>
      <c r="AK226" s="29">
        <v>2011</v>
      </c>
      <c r="AL226" s="38" t="s">
        <v>42</v>
      </c>
      <c r="AM226" s="35">
        <f>+Tabla6[[#This Row],[Trenes Puntuales]]/Tabla6[[#This Row],[Trenes Programados]]</f>
        <v>0.49608763693270735</v>
      </c>
      <c r="AN226" s="35">
        <f>+Tabla6[[#This Row],[Trenes Puntuales]]/Tabla6[[#This Row],[Trenes Corridos]]</f>
        <v>0.52992310264125708</v>
      </c>
      <c r="AO226" s="35">
        <f>+Tabla6[[#This Row],[Trenes Corridos]]/Tabla6[[#This Row],[Trenes Programados]]</f>
        <v>0.93615023474178405</v>
      </c>
      <c r="AP226" s="20">
        <v>3195</v>
      </c>
      <c r="AQ226" s="27">
        <f t="shared" si="118"/>
        <v>204</v>
      </c>
      <c r="AR226" s="20">
        <v>2991</v>
      </c>
      <c r="AS226" s="20">
        <v>1585</v>
      </c>
      <c r="AT226" s="20">
        <f t="shared" si="119"/>
        <v>1406</v>
      </c>
      <c r="AU226" s="20"/>
      <c r="AV226" s="5"/>
      <c r="AW226" s="29">
        <v>2011</v>
      </c>
      <c r="AX226" s="38" t="s">
        <v>42</v>
      </c>
      <c r="AY226" s="35">
        <f>+MIT_Vic_Cap[[#This Row],[Trenes Puntuales]]/MIT_Vic_Cap[[#This Row],[Trenes Programados]]</f>
        <v>0.61372950819672134</v>
      </c>
      <c r="AZ226" s="35">
        <f>+MIT_Vic_Cap[[#This Row],[Trenes Puntuales]]/MIT_Vic_Cap[[#This Row],[Trenes Corridos]]</f>
        <v>0.67379077615298089</v>
      </c>
      <c r="BA226" s="35">
        <f>+MIT_Vic_Cap[[#This Row],[Trenes Corridos]]/MIT_Vic_Cap[[#This Row],[Trenes Programados]]</f>
        <v>0.91086065573770492</v>
      </c>
      <c r="BB226" s="20">
        <v>976</v>
      </c>
      <c r="BC226" s="27">
        <f t="shared" si="120"/>
        <v>87</v>
      </c>
      <c r="BD226" s="20">
        <v>889</v>
      </c>
      <c r="BE226" s="20">
        <v>599</v>
      </c>
      <c r="BF226" s="20">
        <f t="shared" si="121"/>
        <v>290</v>
      </c>
      <c r="BG226" s="20"/>
      <c r="BH226" s="5"/>
      <c r="BI226" s="29">
        <v>2011</v>
      </c>
      <c r="BJ226" s="38" t="s">
        <v>42</v>
      </c>
      <c r="BK226" s="35">
        <f>+Tabla8[[#This Row],[Trenes Puntuales]]/Tabla8[[#This Row],[Trenes Programados]]</f>
        <v>0.32585470085470086</v>
      </c>
      <c r="BL226" s="35">
        <f>+Tabla8[[#This Row],[Trenes Puntuales]]/Tabla8[[#This Row],[Trenes Corridos]]</f>
        <v>0.357981220657277</v>
      </c>
      <c r="BM226" s="35">
        <f>+Tabla8[[#This Row],[Trenes Corridos]]/Tabla8[[#This Row],[Trenes Programados]]</f>
        <v>0.91025641025641024</v>
      </c>
      <c r="BN226" s="20">
        <v>936</v>
      </c>
      <c r="BO226" s="27">
        <f t="shared" si="122"/>
        <v>84</v>
      </c>
      <c r="BP226" s="20">
        <v>852</v>
      </c>
      <c r="BQ226" s="20">
        <v>305</v>
      </c>
      <c r="BR226" s="20">
        <f t="shared" si="123"/>
        <v>547</v>
      </c>
      <c r="BS226" s="34"/>
    </row>
    <row r="227" spans="1:71" s="2" customFormat="1" ht="12.95" customHeight="1">
      <c r="A227" s="3">
        <v>2011</v>
      </c>
      <c r="B227" s="38" t="s">
        <v>43</v>
      </c>
      <c r="C227" s="25">
        <f>+MITRE[[#This Row],[Trenes Puntuales]]/MITRE[[#This Row],[Trenes Programados]]</f>
        <v>0.58937198067632846</v>
      </c>
      <c r="D227" s="25">
        <f>+MITRE[[#This Row],[Trenes Puntuales]]/MITRE[[#This Row],[Trenes Corridos]]</f>
        <v>0.61008592759543601</v>
      </c>
      <c r="E227" s="25">
        <f>+MITRE[[#This Row],[Trenes Corridos]]/MITRE[[#This Row],[Trenes Programados]]</f>
        <v>0.9660474926855821</v>
      </c>
      <c r="F227" s="27">
        <f t="shared" si="100"/>
        <v>14697</v>
      </c>
      <c r="G227" s="27">
        <f t="shared" si="101"/>
        <v>499</v>
      </c>
      <c r="H227" s="27">
        <f t="shared" si="102"/>
        <v>14198</v>
      </c>
      <c r="I227" s="27">
        <f t="shared" si="103"/>
        <v>8662</v>
      </c>
      <c r="J227" s="27">
        <f t="shared" si="104"/>
        <v>5536</v>
      </c>
      <c r="K227" s="27"/>
      <c r="L227" s="4"/>
      <c r="M227" s="29">
        <v>2011</v>
      </c>
      <c r="N227" s="38" t="s">
        <v>43</v>
      </c>
      <c r="O227" s="35">
        <f>+Tabla4[[#This Row],[Trenes Puntuales]]/Tabla4[[#This Row],[Trenes Programados]]</f>
        <v>0.71280148423005563</v>
      </c>
      <c r="P227" s="35">
        <f>+Tabla4[[#This Row],[Trenes Puntuales]]/Tabla4[[#This Row],[Trenes Corridos]]</f>
        <v>0.73390639923591217</v>
      </c>
      <c r="Q227" s="35">
        <f>+Tabla4[[#This Row],[Trenes Corridos]]/Tabla4[[#This Row],[Trenes Programados]]</f>
        <v>0.9712430426716141</v>
      </c>
      <c r="R227" s="20">
        <v>5390</v>
      </c>
      <c r="S227" s="27">
        <f t="shared" si="114"/>
        <v>155</v>
      </c>
      <c r="T227" s="20">
        <v>5235</v>
      </c>
      <c r="U227" s="20">
        <v>3842</v>
      </c>
      <c r="V227" s="20">
        <f t="shared" si="115"/>
        <v>1393</v>
      </c>
      <c r="W227" s="20"/>
      <c r="X227" s="5"/>
      <c r="Y227" s="29">
        <v>2011</v>
      </c>
      <c r="Z227" s="38" t="s">
        <v>43</v>
      </c>
      <c r="AA227" s="35">
        <f>+Tabla5[[#This Row],[Trenes Puntuales]]/Tabla5[[#This Row],[Trenes Programados]]</f>
        <v>0.47083333333333333</v>
      </c>
      <c r="AB227" s="35">
        <f>+Tabla5[[#This Row],[Trenes Puntuales]]/Tabla5[[#This Row],[Trenes Corridos]]</f>
        <v>0.48613766730401531</v>
      </c>
      <c r="AC227" s="35">
        <f>+Tabla5[[#This Row],[Trenes Corridos]]/Tabla5[[#This Row],[Trenes Programados]]</f>
        <v>0.96851851851851856</v>
      </c>
      <c r="AD227" s="20">
        <v>4320</v>
      </c>
      <c r="AE227" s="27">
        <f t="shared" si="116"/>
        <v>136</v>
      </c>
      <c r="AF227" s="20">
        <v>4184</v>
      </c>
      <c r="AG227" s="20">
        <v>2034</v>
      </c>
      <c r="AH227" s="20">
        <f t="shared" si="117"/>
        <v>2150</v>
      </c>
      <c r="AI227" s="20"/>
      <c r="AJ227" s="5"/>
      <c r="AK227" s="29">
        <v>2011</v>
      </c>
      <c r="AL227" s="38" t="s">
        <v>43</v>
      </c>
      <c r="AM227" s="35">
        <f>+Tabla6[[#This Row],[Trenes Puntuales]]/Tabla6[[#This Row],[Trenes Programados]]</f>
        <v>0.5690874035989717</v>
      </c>
      <c r="AN227" s="35">
        <f>+Tabla6[[#This Row],[Trenes Puntuales]]/Tabla6[[#This Row],[Trenes Corridos]]</f>
        <v>0.59191176470588236</v>
      </c>
      <c r="AO227" s="35">
        <f>+Tabla6[[#This Row],[Trenes Corridos]]/Tabla6[[#This Row],[Trenes Programados]]</f>
        <v>0.96143958868894597</v>
      </c>
      <c r="AP227" s="20">
        <v>3112</v>
      </c>
      <c r="AQ227" s="27">
        <f t="shared" si="118"/>
        <v>120</v>
      </c>
      <c r="AR227" s="20">
        <v>2992</v>
      </c>
      <c r="AS227" s="20">
        <v>1771</v>
      </c>
      <c r="AT227" s="20">
        <f t="shared" si="119"/>
        <v>1221</v>
      </c>
      <c r="AU227" s="20"/>
      <c r="AV227" s="5"/>
      <c r="AW227" s="29">
        <v>2011</v>
      </c>
      <c r="AX227" s="38" t="s">
        <v>43</v>
      </c>
      <c r="AY227" s="35">
        <f>+MIT_Vic_Cap[[#This Row],[Trenes Puntuales]]/MIT_Vic_Cap[[#This Row],[Trenes Programados]]</f>
        <v>0.65340314136125655</v>
      </c>
      <c r="AZ227" s="35">
        <f>+MIT_Vic_Cap[[#This Row],[Trenes Puntuales]]/MIT_Vic_Cap[[#This Row],[Trenes Corridos]]</f>
        <v>0.68346111719605696</v>
      </c>
      <c r="BA227" s="35">
        <f>+MIT_Vic_Cap[[#This Row],[Trenes Corridos]]/MIT_Vic_Cap[[#This Row],[Trenes Programados]]</f>
        <v>0.95602094240837698</v>
      </c>
      <c r="BB227" s="20">
        <v>955</v>
      </c>
      <c r="BC227" s="27">
        <f t="shared" si="120"/>
        <v>42</v>
      </c>
      <c r="BD227" s="20">
        <v>913</v>
      </c>
      <c r="BE227" s="20">
        <v>624</v>
      </c>
      <c r="BF227" s="20">
        <f t="shared" si="121"/>
        <v>289</v>
      </c>
      <c r="BG227" s="20"/>
      <c r="BH227" s="5"/>
      <c r="BI227" s="29">
        <v>2011</v>
      </c>
      <c r="BJ227" s="38" t="s">
        <v>43</v>
      </c>
      <c r="BK227" s="35">
        <f>+Tabla8[[#This Row],[Trenes Puntuales]]/Tabla8[[#This Row],[Trenes Programados]]</f>
        <v>0.42499999999999999</v>
      </c>
      <c r="BL227" s="35">
        <f>+Tabla8[[#This Row],[Trenes Puntuales]]/Tabla8[[#This Row],[Trenes Corridos]]</f>
        <v>0.44736842105263158</v>
      </c>
      <c r="BM227" s="35">
        <f>+Tabla8[[#This Row],[Trenes Corridos]]/Tabla8[[#This Row],[Trenes Programados]]</f>
        <v>0.95</v>
      </c>
      <c r="BN227" s="20">
        <v>920</v>
      </c>
      <c r="BO227" s="27">
        <f t="shared" si="122"/>
        <v>46</v>
      </c>
      <c r="BP227" s="20">
        <v>874</v>
      </c>
      <c r="BQ227" s="20">
        <v>391</v>
      </c>
      <c r="BR227" s="20">
        <f t="shared" si="123"/>
        <v>483</v>
      </c>
      <c r="BS227" s="34"/>
    </row>
    <row r="228" spans="1:71" s="2" customFormat="1" ht="12.95" customHeight="1">
      <c r="A228" s="3">
        <v>2011</v>
      </c>
      <c r="B228" s="38" t="s">
        <v>44</v>
      </c>
      <c r="C228" s="25">
        <f>+MITRE[[#This Row],[Trenes Puntuales]]/MITRE[[#This Row],[Trenes Programados]]</f>
        <v>0.64371337240277038</v>
      </c>
      <c r="D228" s="25">
        <f>+MITRE[[#This Row],[Trenes Puntuales]]/MITRE[[#This Row],[Trenes Corridos]]</f>
        <v>0.675802279242117</v>
      </c>
      <c r="E228" s="25">
        <f>+MITRE[[#This Row],[Trenes Corridos]]/MITRE[[#This Row],[Trenes Programados]]</f>
        <v>0.95251731486414493</v>
      </c>
      <c r="F228" s="27">
        <f t="shared" si="100"/>
        <v>15016</v>
      </c>
      <c r="G228" s="27">
        <f t="shared" si="101"/>
        <v>713</v>
      </c>
      <c r="H228" s="27">
        <f t="shared" si="102"/>
        <v>14303</v>
      </c>
      <c r="I228" s="27">
        <f t="shared" si="103"/>
        <v>9666</v>
      </c>
      <c r="J228" s="27">
        <f t="shared" si="104"/>
        <v>4637</v>
      </c>
      <c r="K228" s="27"/>
      <c r="L228" s="4"/>
      <c r="M228" s="29">
        <v>2011</v>
      </c>
      <c r="N228" s="38" t="s">
        <v>44</v>
      </c>
      <c r="O228" s="35">
        <f>+Tabla4[[#This Row],[Trenes Puntuales]]/Tabla4[[#This Row],[Trenes Programados]]</f>
        <v>0.72254545454545449</v>
      </c>
      <c r="P228" s="35">
        <f>+Tabla4[[#This Row],[Trenes Puntuales]]/Tabla4[[#This Row],[Trenes Corridos]]</f>
        <v>0.75465248765666537</v>
      </c>
      <c r="Q228" s="35">
        <f>+Tabla4[[#This Row],[Trenes Corridos]]/Tabla4[[#This Row],[Trenes Programados]]</f>
        <v>0.95745454545454545</v>
      </c>
      <c r="R228" s="20">
        <v>5500</v>
      </c>
      <c r="S228" s="27">
        <f t="shared" si="114"/>
        <v>234</v>
      </c>
      <c r="T228" s="20">
        <v>5266</v>
      </c>
      <c r="U228" s="20">
        <v>3974</v>
      </c>
      <c r="V228" s="20">
        <f t="shared" si="115"/>
        <v>1292</v>
      </c>
      <c r="W228" s="20"/>
      <c r="X228" s="5"/>
      <c r="Y228" s="29">
        <v>2011</v>
      </c>
      <c r="Z228" s="38" t="s">
        <v>44</v>
      </c>
      <c r="AA228" s="35">
        <f>+Tabla5[[#This Row],[Trenes Puntuales]]/Tabla5[[#This Row],[Trenes Programados]]</f>
        <v>0.58312542526650035</v>
      </c>
      <c r="AB228" s="35">
        <f>+Tabla5[[#This Row],[Trenes Puntuales]]/Tabla5[[#This Row],[Trenes Corridos]]</f>
        <v>0.60253105226154202</v>
      </c>
      <c r="AC228" s="35">
        <f>+Tabla5[[#This Row],[Trenes Corridos]]/Tabla5[[#This Row],[Trenes Programados]]</f>
        <v>0.96779315037423452</v>
      </c>
      <c r="AD228" s="20">
        <v>4409</v>
      </c>
      <c r="AE228" s="27">
        <f t="shared" si="116"/>
        <v>142</v>
      </c>
      <c r="AF228" s="20">
        <v>4267</v>
      </c>
      <c r="AG228" s="20">
        <v>2571</v>
      </c>
      <c r="AH228" s="20">
        <f t="shared" si="117"/>
        <v>1696</v>
      </c>
      <c r="AI228" s="20"/>
      <c r="AJ228" s="5"/>
      <c r="AK228" s="29">
        <v>2011</v>
      </c>
      <c r="AL228" s="38" t="s">
        <v>44</v>
      </c>
      <c r="AM228" s="35">
        <f>+Tabla6[[#This Row],[Trenes Puntuales]]/Tabla6[[#This Row],[Trenes Programados]]</f>
        <v>0.64538341158059465</v>
      </c>
      <c r="AN228" s="35">
        <f>+Tabla6[[#This Row],[Trenes Puntuales]]/Tabla6[[#This Row],[Trenes Corridos]]</f>
        <v>0.67806642551792173</v>
      </c>
      <c r="AO228" s="35">
        <f>+Tabla6[[#This Row],[Trenes Corridos]]/Tabla6[[#This Row],[Trenes Programados]]</f>
        <v>0.95179968701095463</v>
      </c>
      <c r="AP228" s="20">
        <v>3195</v>
      </c>
      <c r="AQ228" s="27">
        <f t="shared" si="118"/>
        <v>154</v>
      </c>
      <c r="AR228" s="20">
        <v>3041</v>
      </c>
      <c r="AS228" s="20">
        <v>2062</v>
      </c>
      <c r="AT228" s="20">
        <f t="shared" si="119"/>
        <v>979</v>
      </c>
      <c r="AU228" s="20"/>
      <c r="AV228" s="5"/>
      <c r="AW228" s="29">
        <v>2011</v>
      </c>
      <c r="AX228" s="38" t="s">
        <v>44</v>
      </c>
      <c r="AY228" s="35">
        <f>+MIT_Vic_Cap[[#This Row],[Trenes Puntuales]]/MIT_Vic_Cap[[#This Row],[Trenes Programados]]</f>
        <v>0.64754098360655743</v>
      </c>
      <c r="AZ228" s="35">
        <f>+MIT_Vic_Cap[[#This Row],[Trenes Puntuales]]/MIT_Vic_Cap[[#This Row],[Trenes Corridos]]</f>
        <v>0.71171171171171166</v>
      </c>
      <c r="BA228" s="35">
        <f>+MIT_Vic_Cap[[#This Row],[Trenes Corridos]]/MIT_Vic_Cap[[#This Row],[Trenes Programados]]</f>
        <v>0.9098360655737705</v>
      </c>
      <c r="BB228" s="20">
        <v>976</v>
      </c>
      <c r="BC228" s="27">
        <f t="shared" si="120"/>
        <v>88</v>
      </c>
      <c r="BD228" s="20">
        <v>888</v>
      </c>
      <c r="BE228" s="20">
        <v>632</v>
      </c>
      <c r="BF228" s="20">
        <f t="shared" si="121"/>
        <v>256</v>
      </c>
      <c r="BG228" s="20"/>
      <c r="BH228" s="5"/>
      <c r="BI228" s="29">
        <v>2011</v>
      </c>
      <c r="BJ228" s="38" t="s">
        <v>44</v>
      </c>
      <c r="BK228" s="35">
        <f>+Tabla8[[#This Row],[Trenes Puntuales]]/Tabla8[[#This Row],[Trenes Programados]]</f>
        <v>0.45619658119658119</v>
      </c>
      <c r="BL228" s="35">
        <f>+Tabla8[[#This Row],[Trenes Puntuales]]/Tabla8[[#This Row],[Trenes Corridos]]</f>
        <v>0.5077288941736029</v>
      </c>
      <c r="BM228" s="35">
        <f>+Tabla8[[#This Row],[Trenes Corridos]]/Tabla8[[#This Row],[Trenes Programados]]</f>
        <v>0.89850427350427353</v>
      </c>
      <c r="BN228" s="20">
        <v>936</v>
      </c>
      <c r="BO228" s="27">
        <f t="shared" si="122"/>
        <v>95</v>
      </c>
      <c r="BP228" s="20">
        <v>841</v>
      </c>
      <c r="BQ228" s="20">
        <v>427</v>
      </c>
      <c r="BR228" s="20">
        <f t="shared" si="123"/>
        <v>414</v>
      </c>
      <c r="BS228" s="34"/>
    </row>
    <row r="229" spans="1:71" s="2" customFormat="1" ht="12.95" customHeight="1">
      <c r="A229" s="3">
        <v>2011</v>
      </c>
      <c r="B229" s="38" t="s">
        <v>45</v>
      </c>
      <c r="C229" s="25">
        <f>+MITRE[[#This Row],[Trenes Puntuales]]/MITRE[[#This Row],[Trenes Programados]]</f>
        <v>0.72989826058418117</v>
      </c>
      <c r="D229" s="25">
        <f>+MITRE[[#This Row],[Trenes Puntuales]]/MITRE[[#This Row],[Trenes Corridos]]</f>
        <v>0.75338753387533874</v>
      </c>
      <c r="E229" s="25">
        <f>+MITRE[[#This Row],[Trenes Corridos]]/MITRE[[#This Row],[Trenes Programados]]</f>
        <v>0.9688217919264851</v>
      </c>
      <c r="F229" s="27">
        <f t="shared" si="100"/>
        <v>15235</v>
      </c>
      <c r="G229" s="27">
        <f t="shared" si="101"/>
        <v>475</v>
      </c>
      <c r="H229" s="27">
        <f t="shared" si="102"/>
        <v>14760</v>
      </c>
      <c r="I229" s="27">
        <f t="shared" si="103"/>
        <v>11120</v>
      </c>
      <c r="J229" s="27">
        <f t="shared" si="104"/>
        <v>3640</v>
      </c>
      <c r="K229" s="27"/>
      <c r="L229" s="4"/>
      <c r="M229" s="29">
        <v>2011</v>
      </c>
      <c r="N229" s="38" t="s">
        <v>45</v>
      </c>
      <c r="O229" s="35">
        <f>+Tabla4[[#This Row],[Trenes Puntuales]]/Tabla4[[#This Row],[Trenes Programados]]</f>
        <v>0.78264758497316633</v>
      </c>
      <c r="P229" s="35">
        <f>+Tabla4[[#This Row],[Trenes Puntuales]]/Tabla4[[#This Row],[Trenes Corridos]]</f>
        <v>0.80348943985307619</v>
      </c>
      <c r="Q229" s="35">
        <f>+Tabla4[[#This Row],[Trenes Corridos]]/Tabla4[[#This Row],[Trenes Programados]]</f>
        <v>0.9740608228980322</v>
      </c>
      <c r="R229" s="20">
        <v>5590</v>
      </c>
      <c r="S229" s="27">
        <f t="shared" si="114"/>
        <v>145</v>
      </c>
      <c r="T229" s="20">
        <v>5445</v>
      </c>
      <c r="U229" s="20">
        <v>4375</v>
      </c>
      <c r="V229" s="20">
        <f t="shared" si="115"/>
        <v>1070</v>
      </c>
      <c r="W229" s="20"/>
      <c r="X229" s="5"/>
      <c r="Y229" s="29">
        <v>2011</v>
      </c>
      <c r="Z229" s="38" t="s">
        <v>45</v>
      </c>
      <c r="AA229" s="35">
        <f>+Tabla5[[#This Row],[Trenes Puntuales]]/Tabla5[[#This Row],[Trenes Programados]]</f>
        <v>0.67269479794597009</v>
      </c>
      <c r="AB229" s="35">
        <f>+Tabla5[[#This Row],[Trenes Puntuales]]/Tabla5[[#This Row],[Trenes Corridos]]</f>
        <v>0.68900068602789843</v>
      </c>
      <c r="AC229" s="35">
        <f>+Tabla5[[#This Row],[Trenes Corridos]]/Tabla5[[#This Row],[Trenes Programados]]</f>
        <v>0.97633400312569774</v>
      </c>
      <c r="AD229" s="20">
        <v>4479</v>
      </c>
      <c r="AE229" s="27">
        <f t="shared" si="116"/>
        <v>106</v>
      </c>
      <c r="AF229" s="20">
        <v>4373</v>
      </c>
      <c r="AG229" s="20">
        <v>3013</v>
      </c>
      <c r="AH229" s="20">
        <f t="shared" si="117"/>
        <v>1360</v>
      </c>
      <c r="AI229" s="20"/>
      <c r="AJ229" s="5"/>
      <c r="AK229" s="29">
        <v>2011</v>
      </c>
      <c r="AL229" s="38" t="s">
        <v>45</v>
      </c>
      <c r="AM229" s="35">
        <f>+Tabla6[[#This Row],[Trenes Puntuales]]/Tabla6[[#This Row],[Trenes Programados]]</f>
        <v>0.75007761564731446</v>
      </c>
      <c r="AN229" s="35">
        <f>+Tabla6[[#This Row],[Trenes Puntuales]]/Tabla6[[#This Row],[Trenes Corridos]]</f>
        <v>0.76698412698412699</v>
      </c>
      <c r="AO229" s="35">
        <f>+Tabla6[[#This Row],[Trenes Corridos]]/Tabla6[[#This Row],[Trenes Programados]]</f>
        <v>0.97795715616268242</v>
      </c>
      <c r="AP229" s="20">
        <v>3221</v>
      </c>
      <c r="AQ229" s="27">
        <f t="shared" si="118"/>
        <v>71</v>
      </c>
      <c r="AR229" s="20">
        <v>3150</v>
      </c>
      <c r="AS229" s="20">
        <v>2416</v>
      </c>
      <c r="AT229" s="20">
        <f t="shared" si="119"/>
        <v>734</v>
      </c>
      <c r="AU229" s="20"/>
      <c r="AV229" s="5"/>
      <c r="AW229" s="29">
        <v>2011</v>
      </c>
      <c r="AX229" s="38" t="s">
        <v>45</v>
      </c>
      <c r="AY229" s="35">
        <f>+MIT_Vic_Cap[[#This Row],[Trenes Puntuales]]/MIT_Vic_Cap[[#This Row],[Trenes Programados]]</f>
        <v>0.72497472194135493</v>
      </c>
      <c r="AZ229" s="35">
        <f>+MIT_Vic_Cap[[#This Row],[Trenes Puntuales]]/MIT_Vic_Cap[[#This Row],[Trenes Corridos]]</f>
        <v>0.7709677419354839</v>
      </c>
      <c r="BA229" s="35">
        <f>+MIT_Vic_Cap[[#This Row],[Trenes Corridos]]/MIT_Vic_Cap[[#This Row],[Trenes Programados]]</f>
        <v>0.94034378159757326</v>
      </c>
      <c r="BB229" s="20">
        <v>989</v>
      </c>
      <c r="BC229" s="27">
        <f t="shared" si="120"/>
        <v>59</v>
      </c>
      <c r="BD229" s="20">
        <v>930</v>
      </c>
      <c r="BE229" s="20">
        <v>717</v>
      </c>
      <c r="BF229" s="20">
        <f t="shared" si="121"/>
        <v>213</v>
      </c>
      <c r="BG229" s="20"/>
      <c r="BH229" s="5"/>
      <c r="BI229" s="29">
        <v>2011</v>
      </c>
      <c r="BJ229" s="38" t="s">
        <v>45</v>
      </c>
      <c r="BK229" s="35">
        <f>+Tabla8[[#This Row],[Trenes Puntuales]]/Tabla8[[#This Row],[Trenes Programados]]</f>
        <v>0.62656903765690375</v>
      </c>
      <c r="BL229" s="35">
        <f>+Tabla8[[#This Row],[Trenes Puntuales]]/Tabla8[[#This Row],[Trenes Corridos]]</f>
        <v>0.69489559164733183</v>
      </c>
      <c r="BM229" s="35">
        <f>+Tabla8[[#This Row],[Trenes Corridos]]/Tabla8[[#This Row],[Trenes Programados]]</f>
        <v>0.90167364016736407</v>
      </c>
      <c r="BN229" s="20">
        <v>956</v>
      </c>
      <c r="BO229" s="27">
        <f t="shared" si="122"/>
        <v>94</v>
      </c>
      <c r="BP229" s="20">
        <v>862</v>
      </c>
      <c r="BQ229" s="20">
        <v>599</v>
      </c>
      <c r="BR229" s="20">
        <f t="shared" si="123"/>
        <v>263</v>
      </c>
      <c r="BS229" s="34"/>
    </row>
    <row r="230" spans="1:71" s="2" customFormat="1" ht="12.95" customHeight="1">
      <c r="A230" s="3">
        <v>2011</v>
      </c>
      <c r="B230" s="38" t="s">
        <v>46</v>
      </c>
      <c r="C230" s="25">
        <f>+MITRE[[#This Row],[Trenes Puntuales]]/MITRE[[#This Row],[Trenes Programados]]</f>
        <v>0.73746312684365778</v>
      </c>
      <c r="D230" s="25">
        <f>+MITRE[[#This Row],[Trenes Puntuales]]/MITRE[[#This Row],[Trenes Corridos]]</f>
        <v>0.77557639427483605</v>
      </c>
      <c r="E230" s="25">
        <f>+MITRE[[#This Row],[Trenes Corridos]]/MITRE[[#This Row],[Trenes Programados]]</f>
        <v>0.95085813891123627</v>
      </c>
      <c r="F230" s="27">
        <f t="shared" si="100"/>
        <v>14916</v>
      </c>
      <c r="G230" s="27">
        <f t="shared" si="101"/>
        <v>733</v>
      </c>
      <c r="H230" s="27">
        <f t="shared" si="102"/>
        <v>14183</v>
      </c>
      <c r="I230" s="27">
        <f t="shared" si="103"/>
        <v>11000</v>
      </c>
      <c r="J230" s="27">
        <f t="shared" si="104"/>
        <v>3183</v>
      </c>
      <c r="K230" s="27"/>
      <c r="L230" s="4"/>
      <c r="M230" s="29">
        <v>2011</v>
      </c>
      <c r="N230" s="38" t="s">
        <v>46</v>
      </c>
      <c r="O230" s="35">
        <f>+Tabla4[[#This Row],[Trenes Puntuales]]/Tabla4[[#This Row],[Trenes Programados]]</f>
        <v>0.7536496350364964</v>
      </c>
      <c r="P230" s="35">
        <f>+Tabla4[[#This Row],[Trenes Puntuales]]/Tabla4[[#This Row],[Trenes Corridos]]</f>
        <v>0.78756674294431728</v>
      </c>
      <c r="Q230" s="35">
        <f>+Tabla4[[#This Row],[Trenes Corridos]]/Tabla4[[#This Row],[Trenes Programados]]</f>
        <v>0.95693430656934308</v>
      </c>
      <c r="R230" s="20">
        <v>5480</v>
      </c>
      <c r="S230" s="27">
        <f t="shared" si="114"/>
        <v>236</v>
      </c>
      <c r="T230" s="20">
        <v>5244</v>
      </c>
      <c r="U230" s="20">
        <v>4130</v>
      </c>
      <c r="V230" s="20">
        <f t="shared" si="115"/>
        <v>1114</v>
      </c>
      <c r="W230" s="20"/>
      <c r="X230" s="5"/>
      <c r="Y230" s="29">
        <v>2011</v>
      </c>
      <c r="Z230" s="38" t="s">
        <v>46</v>
      </c>
      <c r="AA230" s="35">
        <f>+Tabla5[[#This Row],[Trenes Puntuales]]/Tabla5[[#This Row],[Trenes Programados]]</f>
        <v>0.73029612756264239</v>
      </c>
      <c r="AB230" s="35">
        <f>+Tabla5[[#This Row],[Trenes Puntuales]]/Tabla5[[#This Row],[Trenes Corridos]]</f>
        <v>0.75881656804733733</v>
      </c>
      <c r="AC230" s="35">
        <f>+Tabla5[[#This Row],[Trenes Corridos]]/Tabla5[[#This Row],[Trenes Programados]]</f>
        <v>0.9624145785876993</v>
      </c>
      <c r="AD230" s="20">
        <v>4390</v>
      </c>
      <c r="AE230" s="27">
        <f t="shared" si="116"/>
        <v>165</v>
      </c>
      <c r="AF230" s="20">
        <v>4225</v>
      </c>
      <c r="AG230" s="20">
        <v>3206</v>
      </c>
      <c r="AH230" s="20">
        <f t="shared" si="117"/>
        <v>1019</v>
      </c>
      <c r="AI230" s="20"/>
      <c r="AJ230" s="5"/>
      <c r="AK230" s="29">
        <v>2011</v>
      </c>
      <c r="AL230" s="38" t="s">
        <v>46</v>
      </c>
      <c r="AM230" s="35">
        <f>+Tabla6[[#This Row],[Trenes Puntuales]]/Tabla6[[#This Row],[Trenes Programados]]</f>
        <v>0.79541108986615683</v>
      </c>
      <c r="AN230" s="35">
        <f>+Tabla6[[#This Row],[Trenes Puntuales]]/Tabla6[[#This Row],[Trenes Corridos]]</f>
        <v>0.82512396694214873</v>
      </c>
      <c r="AO230" s="35">
        <f>+Tabla6[[#This Row],[Trenes Corridos]]/Tabla6[[#This Row],[Trenes Programados]]</f>
        <v>0.96398980242192478</v>
      </c>
      <c r="AP230" s="20">
        <v>3138</v>
      </c>
      <c r="AQ230" s="27">
        <f t="shared" si="118"/>
        <v>113</v>
      </c>
      <c r="AR230" s="20">
        <v>3025</v>
      </c>
      <c r="AS230" s="20">
        <v>2496</v>
      </c>
      <c r="AT230" s="20">
        <f t="shared" si="119"/>
        <v>529</v>
      </c>
      <c r="AU230" s="20"/>
      <c r="AV230" s="5"/>
      <c r="AW230" s="29">
        <v>2011</v>
      </c>
      <c r="AX230" s="38" t="s">
        <v>46</v>
      </c>
      <c r="AY230" s="35">
        <f>+MIT_Vic_Cap[[#This Row],[Trenes Puntuales]]/MIT_Vic_Cap[[#This Row],[Trenes Programados]]</f>
        <v>0.7024793388429752</v>
      </c>
      <c r="AZ230" s="35">
        <f>+MIT_Vic_Cap[[#This Row],[Trenes Puntuales]]/MIT_Vic_Cap[[#This Row],[Trenes Corridos]]</f>
        <v>0.76318742985409649</v>
      </c>
      <c r="BA230" s="35">
        <f>+MIT_Vic_Cap[[#This Row],[Trenes Corridos]]/MIT_Vic_Cap[[#This Row],[Trenes Programados]]</f>
        <v>0.92045454545454541</v>
      </c>
      <c r="BB230" s="20">
        <v>968</v>
      </c>
      <c r="BC230" s="27">
        <f t="shared" si="120"/>
        <v>77</v>
      </c>
      <c r="BD230" s="20">
        <v>891</v>
      </c>
      <c r="BE230" s="20">
        <v>680</v>
      </c>
      <c r="BF230" s="20">
        <f t="shared" si="121"/>
        <v>211</v>
      </c>
      <c r="BG230" s="20"/>
      <c r="BH230" s="5"/>
      <c r="BI230" s="29">
        <v>2011</v>
      </c>
      <c r="BJ230" s="38" t="s">
        <v>46</v>
      </c>
      <c r="BK230" s="35">
        <f>+Tabla8[[#This Row],[Trenes Puntuales]]/Tabla8[[#This Row],[Trenes Programados]]</f>
        <v>0.51914893617021274</v>
      </c>
      <c r="BL230" s="35">
        <f>+Tabla8[[#This Row],[Trenes Puntuales]]/Tabla8[[#This Row],[Trenes Corridos]]</f>
        <v>0.61152882205513781</v>
      </c>
      <c r="BM230" s="35">
        <f>+Tabla8[[#This Row],[Trenes Corridos]]/Tabla8[[#This Row],[Trenes Programados]]</f>
        <v>0.84893617021276591</v>
      </c>
      <c r="BN230" s="20">
        <v>940</v>
      </c>
      <c r="BO230" s="27">
        <f t="shared" si="122"/>
        <v>142</v>
      </c>
      <c r="BP230" s="20">
        <v>798</v>
      </c>
      <c r="BQ230" s="20">
        <v>488</v>
      </c>
      <c r="BR230" s="20">
        <f t="shared" si="123"/>
        <v>310</v>
      </c>
      <c r="BS230" s="34"/>
    </row>
    <row r="231" spans="1:71" s="2" customFormat="1" ht="12.95" customHeight="1">
      <c r="A231" s="3">
        <v>2011</v>
      </c>
      <c r="B231" s="38" t="s">
        <v>47</v>
      </c>
      <c r="C231" s="25">
        <f>+MITRE[[#This Row],[Trenes Puntuales]]/MITRE[[#This Row],[Trenes Programados]]</f>
        <v>0.6784781298144551</v>
      </c>
      <c r="D231" s="25">
        <f>+MITRE[[#This Row],[Trenes Puntuales]]/MITRE[[#This Row],[Trenes Corridos]]</f>
        <v>0.71010936623667975</v>
      </c>
      <c r="E231" s="25">
        <f>+MITRE[[#This Row],[Trenes Corridos]]/MITRE[[#This Row],[Trenes Programados]]</f>
        <v>0.95545582423471098</v>
      </c>
      <c r="F231" s="27">
        <f t="shared" si="100"/>
        <v>14929</v>
      </c>
      <c r="G231" s="27">
        <f t="shared" si="101"/>
        <v>665</v>
      </c>
      <c r="H231" s="27">
        <f t="shared" si="102"/>
        <v>14264</v>
      </c>
      <c r="I231" s="27">
        <f t="shared" si="103"/>
        <v>10129</v>
      </c>
      <c r="J231" s="27">
        <f t="shared" si="104"/>
        <v>4135</v>
      </c>
      <c r="K231" s="27"/>
      <c r="L231" s="4"/>
      <c r="M231" s="29">
        <v>2011</v>
      </c>
      <c r="N231" s="38" t="s">
        <v>47</v>
      </c>
      <c r="O231" s="35">
        <f>+Tabla4[[#This Row],[Trenes Puntuales]]/Tabla4[[#This Row],[Trenes Programados]]</f>
        <v>0.6912087912087912</v>
      </c>
      <c r="P231" s="35">
        <f>+Tabla4[[#This Row],[Trenes Puntuales]]/Tabla4[[#This Row],[Trenes Corridos]]</f>
        <v>0.72744795682343866</v>
      </c>
      <c r="Q231" s="35">
        <f>+Tabla4[[#This Row],[Trenes Corridos]]/Tabla4[[#This Row],[Trenes Programados]]</f>
        <v>0.95018315018315014</v>
      </c>
      <c r="R231" s="20">
        <v>5460</v>
      </c>
      <c r="S231" s="27">
        <f t="shared" si="114"/>
        <v>272</v>
      </c>
      <c r="T231" s="20">
        <v>5188</v>
      </c>
      <c r="U231" s="20">
        <v>3774</v>
      </c>
      <c r="V231" s="20">
        <f t="shared" si="115"/>
        <v>1414</v>
      </c>
      <c r="W231" s="20"/>
      <c r="X231" s="5"/>
      <c r="Y231" s="29">
        <v>2011</v>
      </c>
      <c r="Z231" s="38" t="s">
        <v>47</v>
      </c>
      <c r="AA231" s="35">
        <f>+Tabla5[[#This Row],[Trenes Puntuales]]/Tabla5[[#This Row],[Trenes Programados]]</f>
        <v>0.67039233576642332</v>
      </c>
      <c r="AB231" s="35">
        <f>+Tabla5[[#This Row],[Trenes Puntuales]]/Tabla5[[#This Row],[Trenes Corridos]]</f>
        <v>0.68877431450667914</v>
      </c>
      <c r="AC231" s="35">
        <f>+Tabla5[[#This Row],[Trenes Corridos]]/Tabla5[[#This Row],[Trenes Programados]]</f>
        <v>0.97331204379562042</v>
      </c>
      <c r="AD231" s="20">
        <v>4384</v>
      </c>
      <c r="AE231" s="27">
        <f t="shared" si="116"/>
        <v>117</v>
      </c>
      <c r="AF231" s="20">
        <v>4267</v>
      </c>
      <c r="AG231" s="20">
        <v>2939</v>
      </c>
      <c r="AH231" s="20">
        <f t="shared" si="117"/>
        <v>1328</v>
      </c>
      <c r="AI231" s="20"/>
      <c r="AJ231" s="5"/>
      <c r="AK231" s="29">
        <v>2011</v>
      </c>
      <c r="AL231" s="38" t="s">
        <v>47</v>
      </c>
      <c r="AM231" s="35">
        <f>+Tabla6[[#This Row],[Trenes Puntuales]]/Tabla6[[#This Row],[Trenes Programados]]</f>
        <v>0.72239648682559598</v>
      </c>
      <c r="AN231" s="35">
        <f>+Tabla6[[#This Row],[Trenes Puntuales]]/Tabla6[[#This Row],[Trenes Corridos]]</f>
        <v>0.74099099099099097</v>
      </c>
      <c r="AO231" s="35">
        <f>+Tabla6[[#This Row],[Trenes Corridos]]/Tabla6[[#This Row],[Trenes Programados]]</f>
        <v>0.97490589711417819</v>
      </c>
      <c r="AP231" s="20">
        <v>3188</v>
      </c>
      <c r="AQ231" s="27">
        <f t="shared" si="118"/>
        <v>80</v>
      </c>
      <c r="AR231" s="20">
        <v>3108</v>
      </c>
      <c r="AS231" s="20">
        <v>2303</v>
      </c>
      <c r="AT231" s="20">
        <f t="shared" si="119"/>
        <v>805</v>
      </c>
      <c r="AU231" s="20"/>
      <c r="AV231" s="5"/>
      <c r="AW231" s="29">
        <v>2011</v>
      </c>
      <c r="AX231" s="38" t="s">
        <v>47</v>
      </c>
      <c r="AY231" s="35">
        <f>+MIT_Vic_Cap[[#This Row],[Trenes Puntuales]]/MIT_Vic_Cap[[#This Row],[Trenes Programados]]</f>
        <v>0.66803278688524592</v>
      </c>
      <c r="AZ231" s="35">
        <f>+MIT_Vic_Cap[[#This Row],[Trenes Puntuales]]/MIT_Vic_Cap[[#This Row],[Trenes Corridos]]</f>
        <v>0.74942528735632186</v>
      </c>
      <c r="BA231" s="35">
        <f>+MIT_Vic_Cap[[#This Row],[Trenes Corridos]]/MIT_Vic_Cap[[#This Row],[Trenes Programados]]</f>
        <v>0.89139344262295084</v>
      </c>
      <c r="BB231" s="20">
        <v>976</v>
      </c>
      <c r="BC231" s="27">
        <f t="shared" si="120"/>
        <v>106</v>
      </c>
      <c r="BD231" s="20">
        <v>870</v>
      </c>
      <c r="BE231" s="20">
        <v>652</v>
      </c>
      <c r="BF231" s="20">
        <f t="shared" si="121"/>
        <v>218</v>
      </c>
      <c r="BG231" s="20"/>
      <c r="BH231" s="5"/>
      <c r="BI231" s="29">
        <v>2011</v>
      </c>
      <c r="BJ231" s="38" t="s">
        <v>47</v>
      </c>
      <c r="BK231" s="35">
        <f>+Tabla8[[#This Row],[Trenes Puntuales]]/Tabla8[[#This Row],[Trenes Programados]]</f>
        <v>0.500542888165038</v>
      </c>
      <c r="BL231" s="35">
        <f>+Tabla8[[#This Row],[Trenes Puntuales]]/Tabla8[[#This Row],[Trenes Corridos]]</f>
        <v>0.55475330926594468</v>
      </c>
      <c r="BM231" s="35">
        <f>+Tabla8[[#This Row],[Trenes Corridos]]/Tabla8[[#This Row],[Trenes Programados]]</f>
        <v>0.90228013029315957</v>
      </c>
      <c r="BN231" s="20">
        <v>921</v>
      </c>
      <c r="BO231" s="27">
        <f t="shared" si="122"/>
        <v>90</v>
      </c>
      <c r="BP231" s="20">
        <v>831</v>
      </c>
      <c r="BQ231" s="20">
        <v>461</v>
      </c>
      <c r="BR231" s="20">
        <f t="shared" si="123"/>
        <v>370</v>
      </c>
      <c r="BS231" s="34"/>
    </row>
    <row r="232" spans="1:71" s="2" customFormat="1" ht="12.95" customHeight="1">
      <c r="A232" s="3">
        <v>2011</v>
      </c>
      <c r="B232" s="38" t="s">
        <v>48</v>
      </c>
      <c r="C232" s="25">
        <f>+MITRE[[#This Row],[Trenes Puntuales]]/MITRE[[#This Row],[Trenes Programados]]</f>
        <v>0.65605225556235969</v>
      </c>
      <c r="D232" s="25">
        <f>+MITRE[[#This Row],[Trenes Puntuales]]/MITRE[[#This Row],[Trenes Corridos]]</f>
        <v>0.69262265641836074</v>
      </c>
      <c r="E232" s="25">
        <f>+MITRE[[#This Row],[Trenes Corridos]]/MITRE[[#This Row],[Trenes Programados]]</f>
        <v>0.9472001088657549</v>
      </c>
      <c r="F232" s="27">
        <f t="shared" si="100"/>
        <v>14697</v>
      </c>
      <c r="G232" s="27">
        <f t="shared" si="101"/>
        <v>776</v>
      </c>
      <c r="H232" s="27">
        <f t="shared" si="102"/>
        <v>13921</v>
      </c>
      <c r="I232" s="27">
        <f t="shared" si="103"/>
        <v>9642</v>
      </c>
      <c r="J232" s="27">
        <f t="shared" si="104"/>
        <v>4279</v>
      </c>
      <c r="K232" s="27"/>
      <c r="L232" s="4"/>
      <c r="M232" s="29">
        <v>2011</v>
      </c>
      <c r="N232" s="38" t="s">
        <v>48</v>
      </c>
      <c r="O232" s="35">
        <f>+Tabla4[[#This Row],[Trenes Puntuales]]/Tabla4[[#This Row],[Trenes Programados]]</f>
        <v>0.60092764378478669</v>
      </c>
      <c r="P232" s="35">
        <f>+Tabla4[[#This Row],[Trenes Puntuales]]/Tabla4[[#This Row],[Trenes Corridos]]</f>
        <v>0.64767046590681865</v>
      </c>
      <c r="Q232" s="35">
        <f>+Tabla4[[#This Row],[Trenes Corridos]]/Tabla4[[#This Row],[Trenes Programados]]</f>
        <v>0.92782931354359921</v>
      </c>
      <c r="R232" s="20">
        <v>5390</v>
      </c>
      <c r="S232" s="27">
        <f t="shared" si="114"/>
        <v>389</v>
      </c>
      <c r="T232" s="20">
        <v>5001</v>
      </c>
      <c r="U232" s="20">
        <v>3239</v>
      </c>
      <c r="V232" s="20">
        <f t="shared" si="115"/>
        <v>1762</v>
      </c>
      <c r="W232" s="20"/>
      <c r="X232" s="5"/>
      <c r="Y232" s="29">
        <v>2011</v>
      </c>
      <c r="Z232" s="38" t="s">
        <v>48</v>
      </c>
      <c r="AA232" s="35">
        <f>+Tabla5[[#This Row],[Trenes Puntuales]]/Tabla5[[#This Row],[Trenes Programados]]</f>
        <v>0.69953703703703707</v>
      </c>
      <c r="AB232" s="35">
        <f>+Tabla5[[#This Row],[Trenes Puntuales]]/Tabla5[[#This Row],[Trenes Corridos]]</f>
        <v>0.71611374407582939</v>
      </c>
      <c r="AC232" s="35">
        <f>+Tabla5[[#This Row],[Trenes Corridos]]/Tabla5[[#This Row],[Trenes Programados]]</f>
        <v>0.97685185185185186</v>
      </c>
      <c r="AD232" s="20">
        <v>4320</v>
      </c>
      <c r="AE232" s="27">
        <f t="shared" si="116"/>
        <v>100</v>
      </c>
      <c r="AF232" s="20">
        <v>4220</v>
      </c>
      <c r="AG232" s="20">
        <v>3022</v>
      </c>
      <c r="AH232" s="20">
        <f t="shared" si="117"/>
        <v>1198</v>
      </c>
      <c r="AI232" s="20"/>
      <c r="AJ232" s="5"/>
      <c r="AK232" s="29">
        <v>2011</v>
      </c>
      <c r="AL232" s="38" t="s">
        <v>48</v>
      </c>
      <c r="AM232" s="35">
        <f>+Tabla6[[#This Row],[Trenes Puntuales]]/Tabla6[[#This Row],[Trenes Programados]]</f>
        <v>0.74742930591259638</v>
      </c>
      <c r="AN232" s="35">
        <f>+Tabla6[[#This Row],[Trenes Puntuales]]/Tabla6[[#This Row],[Trenes Corridos]]</f>
        <v>0.77636849132176233</v>
      </c>
      <c r="AO232" s="35">
        <f>+Tabla6[[#This Row],[Trenes Corridos]]/Tabla6[[#This Row],[Trenes Programados]]</f>
        <v>0.96272493573264784</v>
      </c>
      <c r="AP232" s="20">
        <v>3112</v>
      </c>
      <c r="AQ232" s="27">
        <f t="shared" si="118"/>
        <v>116</v>
      </c>
      <c r="AR232" s="20">
        <v>2996</v>
      </c>
      <c r="AS232" s="20">
        <v>2326</v>
      </c>
      <c r="AT232" s="20">
        <f t="shared" si="119"/>
        <v>670</v>
      </c>
      <c r="AU232" s="20"/>
      <c r="AV232" s="5"/>
      <c r="AW232" s="29">
        <v>2011</v>
      </c>
      <c r="AX232" s="38" t="s">
        <v>48</v>
      </c>
      <c r="AY232" s="35">
        <f>+MIT_Vic_Cap[[#This Row],[Trenes Puntuales]]/MIT_Vic_Cap[[#This Row],[Trenes Programados]]</f>
        <v>0.61884816753926697</v>
      </c>
      <c r="AZ232" s="35">
        <f>+MIT_Vic_Cap[[#This Row],[Trenes Puntuales]]/MIT_Vic_Cap[[#This Row],[Trenes Corridos]]</f>
        <v>0.67542857142857138</v>
      </c>
      <c r="BA232" s="35">
        <f>+MIT_Vic_Cap[[#This Row],[Trenes Corridos]]/MIT_Vic_Cap[[#This Row],[Trenes Programados]]</f>
        <v>0.91623036649214662</v>
      </c>
      <c r="BB232" s="20">
        <v>955</v>
      </c>
      <c r="BC232" s="27">
        <f t="shared" si="120"/>
        <v>80</v>
      </c>
      <c r="BD232" s="20">
        <v>875</v>
      </c>
      <c r="BE232" s="20">
        <v>591</v>
      </c>
      <c r="BF232" s="20">
        <f t="shared" si="121"/>
        <v>284</v>
      </c>
      <c r="BG232" s="20"/>
      <c r="BH232" s="5"/>
      <c r="BI232" s="29">
        <v>2011</v>
      </c>
      <c r="BJ232" s="38" t="s">
        <v>48</v>
      </c>
      <c r="BK232" s="35">
        <f>+Tabla8[[#This Row],[Trenes Puntuales]]/Tabla8[[#This Row],[Trenes Programados]]</f>
        <v>0.5043478260869565</v>
      </c>
      <c r="BL232" s="35">
        <f>+Tabla8[[#This Row],[Trenes Puntuales]]/Tabla8[[#This Row],[Trenes Corridos]]</f>
        <v>0.55971049457177324</v>
      </c>
      <c r="BM232" s="35">
        <f>+Tabla8[[#This Row],[Trenes Corridos]]/Tabla8[[#This Row],[Trenes Programados]]</f>
        <v>0.90108695652173909</v>
      </c>
      <c r="BN232" s="20">
        <v>920</v>
      </c>
      <c r="BO232" s="27">
        <f t="shared" si="122"/>
        <v>91</v>
      </c>
      <c r="BP232" s="20">
        <v>829</v>
      </c>
      <c r="BQ232" s="20">
        <v>464</v>
      </c>
      <c r="BR232" s="20">
        <f t="shared" si="123"/>
        <v>365</v>
      </c>
      <c r="BS232" s="34"/>
    </row>
    <row r="233" spans="1:71" s="2" customFormat="1" ht="12.95" customHeight="1">
      <c r="A233" s="3">
        <v>2011</v>
      </c>
      <c r="B233" s="38" t="s">
        <v>49</v>
      </c>
      <c r="C233" s="25">
        <f>+MITRE[[#This Row],[Trenes Puntuales]]/MITRE[[#This Row],[Trenes Programados]]</f>
        <v>0.71612298211534597</v>
      </c>
      <c r="D233" s="25">
        <f>+MITRE[[#This Row],[Trenes Puntuales]]/MITRE[[#This Row],[Trenes Corridos]]</f>
        <v>0.75968165991615144</v>
      </c>
      <c r="E233" s="25">
        <f>+MITRE[[#This Row],[Trenes Corridos]]/MITRE[[#This Row],[Trenes Programados]]</f>
        <v>0.94266193315024449</v>
      </c>
      <c r="F233" s="27">
        <f t="shared" si="100"/>
        <v>14929</v>
      </c>
      <c r="G233" s="27">
        <f t="shared" si="101"/>
        <v>856</v>
      </c>
      <c r="H233" s="27">
        <f t="shared" si="102"/>
        <v>14073</v>
      </c>
      <c r="I233" s="27">
        <f t="shared" si="103"/>
        <v>10691</v>
      </c>
      <c r="J233" s="27">
        <f t="shared" si="104"/>
        <v>3382</v>
      </c>
      <c r="K233" s="27"/>
      <c r="L233" s="4"/>
      <c r="M233" s="29">
        <v>2011</v>
      </c>
      <c r="N233" s="38" t="s">
        <v>49</v>
      </c>
      <c r="O233" s="35">
        <f>+Tabla4[[#This Row],[Trenes Puntuales]]/Tabla4[[#This Row],[Trenes Programados]]</f>
        <v>0.65641025641025641</v>
      </c>
      <c r="P233" s="35">
        <f>+Tabla4[[#This Row],[Trenes Puntuales]]/Tabla4[[#This Row],[Trenes Corridos]]</f>
        <v>0.7049567269866247</v>
      </c>
      <c r="Q233" s="35">
        <f>+Tabla4[[#This Row],[Trenes Corridos]]/Tabla4[[#This Row],[Trenes Programados]]</f>
        <v>0.93113553113553116</v>
      </c>
      <c r="R233" s="20">
        <v>5460</v>
      </c>
      <c r="S233" s="27">
        <f t="shared" si="114"/>
        <v>376</v>
      </c>
      <c r="T233" s="20">
        <v>5084</v>
      </c>
      <c r="U233" s="20">
        <v>3584</v>
      </c>
      <c r="V233" s="20">
        <f t="shared" si="115"/>
        <v>1500</v>
      </c>
      <c r="W233" s="20"/>
      <c r="X233" s="5"/>
      <c r="Y233" s="29">
        <v>2011</v>
      </c>
      <c r="Z233" s="38" t="s">
        <v>49</v>
      </c>
      <c r="AA233" s="35">
        <f>+Tabla5[[#This Row],[Trenes Puntuales]]/Tabla5[[#This Row],[Trenes Programados]]</f>
        <v>0.77121350364963503</v>
      </c>
      <c r="AB233" s="35">
        <f>+Tabla5[[#This Row],[Trenes Puntuales]]/Tabla5[[#This Row],[Trenes Corridos]]</f>
        <v>0.796841857176526</v>
      </c>
      <c r="AC233" s="35">
        <f>+Tabla5[[#This Row],[Trenes Corridos]]/Tabla5[[#This Row],[Trenes Programados]]</f>
        <v>0.96783759124087587</v>
      </c>
      <c r="AD233" s="20">
        <v>4384</v>
      </c>
      <c r="AE233" s="27">
        <f t="shared" si="116"/>
        <v>141</v>
      </c>
      <c r="AF233" s="20">
        <v>4243</v>
      </c>
      <c r="AG233" s="20">
        <v>3381</v>
      </c>
      <c r="AH233" s="20">
        <f t="shared" si="117"/>
        <v>862</v>
      </c>
      <c r="AI233" s="20"/>
      <c r="AJ233" s="5"/>
      <c r="AK233" s="29">
        <v>2011</v>
      </c>
      <c r="AL233" s="38" t="s">
        <v>49</v>
      </c>
      <c r="AM233" s="35">
        <f>+Tabla6[[#This Row],[Trenes Puntuales]]/Tabla6[[#This Row],[Trenes Programados]]</f>
        <v>0.80646173149309908</v>
      </c>
      <c r="AN233" s="35">
        <f>+Tabla6[[#This Row],[Trenes Puntuales]]/Tabla6[[#This Row],[Trenes Corridos]]</f>
        <v>0.84350393700787396</v>
      </c>
      <c r="AO233" s="35">
        <f>+Tabla6[[#This Row],[Trenes Corridos]]/Tabla6[[#This Row],[Trenes Programados]]</f>
        <v>0.95608531994981183</v>
      </c>
      <c r="AP233" s="20">
        <v>3188</v>
      </c>
      <c r="AQ233" s="27">
        <f t="shared" si="118"/>
        <v>140</v>
      </c>
      <c r="AR233" s="20">
        <v>3048</v>
      </c>
      <c r="AS233" s="20">
        <v>2571</v>
      </c>
      <c r="AT233" s="20">
        <f t="shared" si="119"/>
        <v>477</v>
      </c>
      <c r="AU233" s="20"/>
      <c r="AV233" s="5"/>
      <c r="AW233" s="29">
        <v>2011</v>
      </c>
      <c r="AX233" s="38" t="s">
        <v>49</v>
      </c>
      <c r="AY233" s="35">
        <f>+MIT_Vic_Cap[[#This Row],[Trenes Puntuales]]/MIT_Vic_Cap[[#This Row],[Trenes Programados]]</f>
        <v>0.64754098360655743</v>
      </c>
      <c r="AZ233" s="35">
        <f>+MIT_Vic_Cap[[#This Row],[Trenes Puntuales]]/MIT_Vic_Cap[[#This Row],[Trenes Corridos]]</f>
        <v>0.73148148148148151</v>
      </c>
      <c r="BA233" s="35">
        <f>+MIT_Vic_Cap[[#This Row],[Trenes Corridos]]/MIT_Vic_Cap[[#This Row],[Trenes Programados]]</f>
        <v>0.88524590163934425</v>
      </c>
      <c r="BB233" s="20">
        <v>976</v>
      </c>
      <c r="BC233" s="27">
        <f t="shared" si="120"/>
        <v>112</v>
      </c>
      <c r="BD233" s="20">
        <v>864</v>
      </c>
      <c r="BE233" s="20">
        <v>632</v>
      </c>
      <c r="BF233" s="20">
        <f t="shared" si="121"/>
        <v>232</v>
      </c>
      <c r="BG233" s="20"/>
      <c r="BH233" s="5"/>
      <c r="BI233" s="29">
        <v>2011</v>
      </c>
      <c r="BJ233" s="38" t="s">
        <v>49</v>
      </c>
      <c r="BK233" s="35">
        <f>+Tabla8[[#This Row],[Trenes Puntuales]]/Tabla8[[#This Row],[Trenes Programados]]</f>
        <v>0.5678610206297503</v>
      </c>
      <c r="BL233" s="35">
        <f>+Tabla8[[#This Row],[Trenes Puntuales]]/Tabla8[[#This Row],[Trenes Corridos]]</f>
        <v>0.62709832134292565</v>
      </c>
      <c r="BM233" s="35">
        <f>+Tabla8[[#This Row],[Trenes Corridos]]/Tabla8[[#This Row],[Trenes Programados]]</f>
        <v>0.90553745928338758</v>
      </c>
      <c r="BN233" s="20">
        <v>921</v>
      </c>
      <c r="BO233" s="27">
        <f t="shared" si="122"/>
        <v>87</v>
      </c>
      <c r="BP233" s="20">
        <v>834</v>
      </c>
      <c r="BQ233" s="20">
        <v>523</v>
      </c>
      <c r="BR233" s="20">
        <f t="shared" si="123"/>
        <v>311</v>
      </c>
      <c r="BS233" s="34"/>
    </row>
    <row r="234" spans="1:71" s="2" customFormat="1" ht="12.95" customHeight="1">
      <c r="A234" s="3">
        <v>2012</v>
      </c>
      <c r="B234" s="38" t="s">
        <v>38</v>
      </c>
      <c r="C234" s="25">
        <f>+MITRE[[#This Row],[Trenes Puntuales]]/MITRE[[#This Row],[Trenes Programados]]</f>
        <v>0.73560879553659342</v>
      </c>
      <c r="D234" s="25">
        <f>+MITRE[[#This Row],[Trenes Puntuales]]/MITRE[[#This Row],[Trenes Corridos]]</f>
        <v>0.78794909653378331</v>
      </c>
      <c r="E234" s="25">
        <f>+MITRE[[#This Row],[Trenes Corridos]]/MITRE[[#This Row],[Trenes Programados]]</f>
        <v>0.93357400722021666</v>
      </c>
      <c r="F234" s="27">
        <f t="shared" si="100"/>
        <v>15235</v>
      </c>
      <c r="G234" s="27">
        <f t="shared" si="101"/>
        <v>1012</v>
      </c>
      <c r="H234" s="27">
        <f t="shared" si="102"/>
        <v>14223</v>
      </c>
      <c r="I234" s="27">
        <f t="shared" si="103"/>
        <v>11207</v>
      </c>
      <c r="J234" s="27">
        <f t="shared" si="104"/>
        <v>3016</v>
      </c>
      <c r="K234" s="27"/>
      <c r="L234" s="4"/>
      <c r="M234" s="29">
        <v>2012</v>
      </c>
      <c r="N234" s="38" t="s">
        <v>38</v>
      </c>
      <c r="O234" s="35">
        <f>+Tabla4[[#This Row],[Trenes Puntuales]]/Tabla4[[#This Row],[Trenes Programados]]</f>
        <v>0.65992844364937386</v>
      </c>
      <c r="P234" s="35">
        <f>+Tabla4[[#This Row],[Trenes Puntuales]]/Tabla4[[#This Row],[Trenes Corridos]]</f>
        <v>0.73735758544873076</v>
      </c>
      <c r="Q234" s="35">
        <f>+Tabla4[[#This Row],[Trenes Corridos]]/Tabla4[[#This Row],[Trenes Programados]]</f>
        <v>0.89499105545617175</v>
      </c>
      <c r="R234" s="20">
        <v>5590</v>
      </c>
      <c r="S234" s="27">
        <f t="shared" ref="S234:S245" si="124">R234-T234</f>
        <v>587</v>
      </c>
      <c r="T234" s="20">
        <v>5003</v>
      </c>
      <c r="U234" s="20">
        <v>3689</v>
      </c>
      <c r="V234" s="20">
        <f t="shared" ref="V234:V245" si="125">T234-U234</f>
        <v>1314</v>
      </c>
      <c r="W234" s="20"/>
      <c r="X234" s="5"/>
      <c r="Y234" s="29">
        <v>2012</v>
      </c>
      <c r="Z234" s="38" t="s">
        <v>38</v>
      </c>
      <c r="AA234" s="35">
        <f>+Tabla5[[#This Row],[Trenes Puntuales]]/Tabla5[[#This Row],[Trenes Programados]]</f>
        <v>0.82652377762893503</v>
      </c>
      <c r="AB234" s="35">
        <f>+Tabla5[[#This Row],[Trenes Puntuales]]/Tabla5[[#This Row],[Trenes Corridos]]</f>
        <v>0.84849873939949572</v>
      </c>
      <c r="AC234" s="35">
        <f>+Tabla5[[#This Row],[Trenes Corridos]]/Tabla5[[#This Row],[Trenes Programados]]</f>
        <v>0.97410136191114083</v>
      </c>
      <c r="AD234" s="20">
        <v>4479</v>
      </c>
      <c r="AE234" s="27">
        <f t="shared" ref="AE234:AE245" si="126">AD234-AF234</f>
        <v>116</v>
      </c>
      <c r="AF234" s="20">
        <v>4363</v>
      </c>
      <c r="AG234" s="20">
        <v>3702</v>
      </c>
      <c r="AH234" s="20">
        <f t="shared" ref="AH234:AH245" si="127">AF234-AG234</f>
        <v>661</v>
      </c>
      <c r="AI234" s="20"/>
      <c r="AJ234" s="5"/>
      <c r="AK234" s="29">
        <v>2012</v>
      </c>
      <c r="AL234" s="38" t="s">
        <v>38</v>
      </c>
      <c r="AM234" s="35">
        <f>+Tabla6[[#This Row],[Trenes Puntuales]]/Tabla6[[#This Row],[Trenes Programados]]</f>
        <v>0.84042222912139086</v>
      </c>
      <c r="AN234" s="35">
        <f>+Tabla6[[#This Row],[Trenes Puntuales]]/Tabla6[[#This Row],[Trenes Corridos]]</f>
        <v>0.87633538361929431</v>
      </c>
      <c r="AO234" s="35">
        <f>+Tabla6[[#This Row],[Trenes Corridos]]/Tabla6[[#This Row],[Trenes Programados]]</f>
        <v>0.95901893821794471</v>
      </c>
      <c r="AP234" s="20">
        <v>3221</v>
      </c>
      <c r="AQ234" s="27">
        <f t="shared" ref="AQ234:AQ245" si="128">AP234-AR234</f>
        <v>132</v>
      </c>
      <c r="AR234" s="20">
        <v>3089</v>
      </c>
      <c r="AS234" s="20">
        <v>2707</v>
      </c>
      <c r="AT234" s="20">
        <f t="shared" ref="AT234:AT245" si="129">AR234-AS234</f>
        <v>382</v>
      </c>
      <c r="AU234" s="20"/>
      <c r="AV234" s="5"/>
      <c r="AW234" s="29">
        <v>2012</v>
      </c>
      <c r="AX234" s="38" t="s">
        <v>38</v>
      </c>
      <c r="AY234" s="35">
        <f>+MIT_Vic_Cap[[#This Row],[Trenes Puntuales]]/MIT_Vic_Cap[[#This Row],[Trenes Programados]]</f>
        <v>0.64307381193124369</v>
      </c>
      <c r="AZ234" s="35">
        <f>+MIT_Vic_Cap[[#This Row],[Trenes Puntuales]]/MIT_Vic_Cap[[#This Row],[Trenes Corridos]]</f>
        <v>0.70353982300884954</v>
      </c>
      <c r="BA234" s="35">
        <f>+MIT_Vic_Cap[[#This Row],[Trenes Corridos]]/MIT_Vic_Cap[[#This Row],[Trenes Programados]]</f>
        <v>0.91405460060667343</v>
      </c>
      <c r="BB234" s="20">
        <v>989</v>
      </c>
      <c r="BC234" s="27">
        <f t="shared" ref="BC234:BC245" si="130">BB234-BD234</f>
        <v>85</v>
      </c>
      <c r="BD234" s="20">
        <v>904</v>
      </c>
      <c r="BE234" s="20">
        <v>636</v>
      </c>
      <c r="BF234" s="20">
        <f t="shared" ref="BF234:BF245" si="131">BD234-BE234</f>
        <v>268</v>
      </c>
      <c r="BG234" s="20"/>
      <c r="BH234" s="5"/>
      <c r="BI234" s="29">
        <v>2012</v>
      </c>
      <c r="BJ234" s="38" t="s">
        <v>38</v>
      </c>
      <c r="BK234" s="35">
        <f>+Tabla8[[#This Row],[Trenes Puntuales]]/Tabla8[[#This Row],[Trenes Programados]]</f>
        <v>0.49476987447698745</v>
      </c>
      <c r="BL234" s="35">
        <f>+Tabla8[[#This Row],[Trenes Puntuales]]/Tabla8[[#This Row],[Trenes Corridos]]</f>
        <v>0.54745370370370372</v>
      </c>
      <c r="BM234" s="35">
        <f>+Tabla8[[#This Row],[Trenes Corridos]]/Tabla8[[#This Row],[Trenes Programados]]</f>
        <v>0.90376569037656906</v>
      </c>
      <c r="BN234" s="20">
        <v>956</v>
      </c>
      <c r="BO234" s="27">
        <f t="shared" ref="BO234:BO245" si="132">BN234-BP234</f>
        <v>92</v>
      </c>
      <c r="BP234" s="20">
        <v>864</v>
      </c>
      <c r="BQ234" s="20">
        <v>473</v>
      </c>
      <c r="BR234" s="20">
        <f t="shared" ref="BR234:BR245" si="133">BP234-BQ234</f>
        <v>391</v>
      </c>
      <c r="BS234" s="34"/>
    </row>
    <row r="235" spans="1:71" s="2" customFormat="1" ht="12.95" customHeight="1">
      <c r="A235" s="3">
        <v>2012</v>
      </c>
      <c r="B235" s="38" t="s">
        <v>39</v>
      </c>
      <c r="C235" s="25">
        <f>+MITRE[[#This Row],[Trenes Puntuales]]/MITRE[[#This Row],[Trenes Programados]]</f>
        <v>0.66584068216602288</v>
      </c>
      <c r="D235" s="25">
        <f>+MITRE[[#This Row],[Trenes Puntuales]]/MITRE[[#This Row],[Trenes Corridos]]</f>
        <v>0.72387291022898348</v>
      </c>
      <c r="E235" s="25">
        <f>+MITRE[[#This Row],[Trenes Corridos]]/MITRE[[#This Row],[Trenes Programados]]</f>
        <v>0.91983091611398582</v>
      </c>
      <c r="F235" s="27">
        <f t="shared" si="100"/>
        <v>13721</v>
      </c>
      <c r="G235" s="27">
        <f t="shared" si="101"/>
        <v>1100</v>
      </c>
      <c r="H235" s="27">
        <f t="shared" si="102"/>
        <v>12621</v>
      </c>
      <c r="I235" s="27">
        <f t="shared" si="103"/>
        <v>9136</v>
      </c>
      <c r="J235" s="27">
        <f t="shared" si="104"/>
        <v>3485</v>
      </c>
      <c r="K235" s="27"/>
      <c r="L235" s="4"/>
      <c r="M235" s="29">
        <v>2012</v>
      </c>
      <c r="N235" s="38" t="s">
        <v>39</v>
      </c>
      <c r="O235" s="35">
        <f>+Tabla4[[#This Row],[Trenes Puntuales]]/Tabla4[[#This Row],[Trenes Programados]]</f>
        <v>0.56606786427145706</v>
      </c>
      <c r="P235" s="35">
        <f>+Tabla4[[#This Row],[Trenes Puntuales]]/Tabla4[[#This Row],[Trenes Corridos]]</f>
        <v>0.65060793760036706</v>
      </c>
      <c r="Q235" s="35">
        <f>+Tabla4[[#This Row],[Trenes Corridos]]/Tabla4[[#This Row],[Trenes Programados]]</f>
        <v>0.87005988023952097</v>
      </c>
      <c r="R235" s="20">
        <v>5010</v>
      </c>
      <c r="S235" s="27">
        <f t="shared" si="124"/>
        <v>651</v>
      </c>
      <c r="T235" s="20">
        <v>4359</v>
      </c>
      <c r="U235" s="20">
        <v>2836</v>
      </c>
      <c r="V235" s="20">
        <f t="shared" si="125"/>
        <v>1523</v>
      </c>
      <c r="W235" s="20"/>
      <c r="X235" s="5"/>
      <c r="Y235" s="29">
        <v>2012</v>
      </c>
      <c r="Z235" s="38" t="s">
        <v>39</v>
      </c>
      <c r="AA235" s="35">
        <f>+Tabla5[[#This Row],[Trenes Puntuales]]/Tabla5[[#This Row],[Trenes Programados]]</f>
        <v>0.74160656553096249</v>
      </c>
      <c r="AB235" s="35">
        <f>+Tabla5[[#This Row],[Trenes Puntuales]]/Tabla5[[#This Row],[Trenes Corridos]]</f>
        <v>0.77233877233877235</v>
      </c>
      <c r="AC235" s="35">
        <f>+Tabla5[[#This Row],[Trenes Corridos]]/Tabla5[[#This Row],[Trenes Programados]]</f>
        <v>0.9602089032578961</v>
      </c>
      <c r="AD235" s="20">
        <v>4021</v>
      </c>
      <c r="AE235" s="27">
        <f t="shared" si="126"/>
        <v>160</v>
      </c>
      <c r="AF235" s="20">
        <v>3861</v>
      </c>
      <c r="AG235" s="20">
        <v>2982</v>
      </c>
      <c r="AH235" s="20">
        <f t="shared" si="127"/>
        <v>879</v>
      </c>
      <c r="AI235" s="20"/>
      <c r="AJ235" s="5"/>
      <c r="AK235" s="29">
        <v>2012</v>
      </c>
      <c r="AL235" s="38" t="s">
        <v>39</v>
      </c>
      <c r="AM235" s="35">
        <f>+Tabla6[[#This Row],[Trenes Puntuales]]/Tabla6[[#This Row],[Trenes Programados]]</f>
        <v>0.77160284649271438</v>
      </c>
      <c r="AN235" s="35">
        <f>+Tabla6[[#This Row],[Trenes Puntuales]]/Tabla6[[#This Row],[Trenes Corridos]]</f>
        <v>0.81642165650770882</v>
      </c>
      <c r="AO235" s="35">
        <f>+Tabla6[[#This Row],[Trenes Corridos]]/Tabla6[[#This Row],[Trenes Programados]]</f>
        <v>0.94510335479498475</v>
      </c>
      <c r="AP235" s="20">
        <v>2951</v>
      </c>
      <c r="AQ235" s="27">
        <f t="shared" si="128"/>
        <v>162</v>
      </c>
      <c r="AR235" s="20">
        <v>2789</v>
      </c>
      <c r="AS235" s="20">
        <v>2277</v>
      </c>
      <c r="AT235" s="20">
        <f t="shared" si="129"/>
        <v>512</v>
      </c>
      <c r="AU235" s="20"/>
      <c r="AV235" s="5"/>
      <c r="AW235" s="29">
        <v>2012</v>
      </c>
      <c r="AX235" s="38" t="s">
        <v>39</v>
      </c>
      <c r="AY235" s="35">
        <f>+MIT_Vic_Cap[[#This Row],[Trenes Puntuales]]/MIT_Vic_Cap[[#This Row],[Trenes Programados]]</f>
        <v>0.70279329608938546</v>
      </c>
      <c r="AZ235" s="35">
        <f>+MIT_Vic_Cap[[#This Row],[Trenes Puntuales]]/MIT_Vic_Cap[[#This Row],[Trenes Corridos]]</f>
        <v>0.75239234449760761</v>
      </c>
      <c r="BA235" s="35">
        <f>+MIT_Vic_Cap[[#This Row],[Trenes Corridos]]/MIT_Vic_Cap[[#This Row],[Trenes Programados]]</f>
        <v>0.93407821229050281</v>
      </c>
      <c r="BB235" s="20">
        <v>895</v>
      </c>
      <c r="BC235" s="27">
        <f t="shared" si="130"/>
        <v>59</v>
      </c>
      <c r="BD235" s="20">
        <v>836</v>
      </c>
      <c r="BE235" s="20">
        <v>629</v>
      </c>
      <c r="BF235" s="20">
        <f t="shared" si="131"/>
        <v>207</v>
      </c>
      <c r="BG235" s="20"/>
      <c r="BH235" s="5"/>
      <c r="BI235" s="29">
        <v>2012</v>
      </c>
      <c r="BJ235" s="38" t="s">
        <v>39</v>
      </c>
      <c r="BK235" s="35">
        <f>+Tabla8[[#This Row],[Trenes Puntuales]]/Tabla8[[#This Row],[Trenes Programados]]</f>
        <v>0.4881516587677725</v>
      </c>
      <c r="BL235" s="35">
        <f>+Tabla8[[#This Row],[Trenes Puntuales]]/Tabla8[[#This Row],[Trenes Corridos]]</f>
        <v>0.53092783505154639</v>
      </c>
      <c r="BM235" s="35">
        <f>+Tabla8[[#This Row],[Trenes Corridos]]/Tabla8[[#This Row],[Trenes Programados]]</f>
        <v>0.91943127962085303</v>
      </c>
      <c r="BN235" s="20">
        <v>844</v>
      </c>
      <c r="BO235" s="27">
        <f t="shared" si="132"/>
        <v>68</v>
      </c>
      <c r="BP235" s="20">
        <v>776</v>
      </c>
      <c r="BQ235" s="20">
        <v>412</v>
      </c>
      <c r="BR235" s="20">
        <f t="shared" si="133"/>
        <v>364</v>
      </c>
      <c r="BS235" s="34"/>
    </row>
    <row r="236" spans="1:71" s="2" customFormat="1" ht="12.95" customHeight="1">
      <c r="A236" s="3">
        <v>2012</v>
      </c>
      <c r="B236" s="38" t="s">
        <v>40</v>
      </c>
      <c r="C236" s="25">
        <f>+MITRE[[#This Row],[Trenes Puntuales]]/MITRE[[#This Row],[Trenes Programados]]</f>
        <v>0.6154906465375779</v>
      </c>
      <c r="D236" s="25">
        <f>+MITRE[[#This Row],[Trenes Puntuales]]/MITRE[[#This Row],[Trenes Corridos]]</f>
        <v>0.67060001430308236</v>
      </c>
      <c r="E236" s="25">
        <f>+MITRE[[#This Row],[Trenes Corridos]]/MITRE[[#This Row],[Trenes Programados]]</f>
        <v>0.9178208073514933</v>
      </c>
      <c r="F236" s="27">
        <f t="shared" si="100"/>
        <v>15235</v>
      </c>
      <c r="G236" s="27">
        <f t="shared" si="101"/>
        <v>1252</v>
      </c>
      <c r="H236" s="27">
        <f t="shared" si="102"/>
        <v>13983</v>
      </c>
      <c r="I236" s="27">
        <f t="shared" si="103"/>
        <v>9377</v>
      </c>
      <c r="J236" s="27">
        <f t="shared" si="104"/>
        <v>4606</v>
      </c>
      <c r="K236" s="27"/>
      <c r="L236" s="4"/>
      <c r="M236" s="29">
        <v>2012</v>
      </c>
      <c r="N236" s="38" t="s">
        <v>40</v>
      </c>
      <c r="O236" s="35">
        <f>+Tabla4[[#This Row],[Trenes Puntuales]]/Tabla4[[#This Row],[Trenes Programados]]</f>
        <v>0.57084078711985686</v>
      </c>
      <c r="P236" s="35">
        <f>+Tabla4[[#This Row],[Trenes Puntuales]]/Tabla4[[#This Row],[Trenes Corridos]]</f>
        <v>0.64884099227328185</v>
      </c>
      <c r="Q236" s="35">
        <f>+Tabla4[[#This Row],[Trenes Corridos]]/Tabla4[[#This Row],[Trenes Programados]]</f>
        <v>0.87978533094812161</v>
      </c>
      <c r="R236" s="20">
        <v>5590</v>
      </c>
      <c r="S236" s="27">
        <f t="shared" si="124"/>
        <v>672</v>
      </c>
      <c r="T236" s="20">
        <v>4918</v>
      </c>
      <c r="U236" s="20">
        <v>3191</v>
      </c>
      <c r="V236" s="20">
        <f t="shared" si="125"/>
        <v>1727</v>
      </c>
      <c r="W236" s="20"/>
      <c r="X236" s="5"/>
      <c r="Y236" s="29">
        <v>2012</v>
      </c>
      <c r="Z236" s="38" t="s">
        <v>40</v>
      </c>
      <c r="AA236" s="35">
        <f>+Tabla5[[#This Row],[Trenes Puntuales]]/Tabla5[[#This Row],[Trenes Programados]]</f>
        <v>0.69524447421299396</v>
      </c>
      <c r="AB236" s="35">
        <f>+Tabla5[[#This Row],[Trenes Puntuales]]/Tabla5[[#This Row],[Trenes Corridos]]</f>
        <v>0.71784232365145229</v>
      </c>
      <c r="AC236" s="35">
        <f>+Tabla5[[#This Row],[Trenes Corridos]]/Tabla5[[#This Row],[Trenes Programados]]</f>
        <v>0.96851975887474884</v>
      </c>
      <c r="AD236" s="20">
        <v>4479</v>
      </c>
      <c r="AE236" s="27">
        <f t="shared" si="126"/>
        <v>141</v>
      </c>
      <c r="AF236" s="20">
        <v>4338</v>
      </c>
      <c r="AG236" s="20">
        <v>3114</v>
      </c>
      <c r="AH236" s="20">
        <f t="shared" si="127"/>
        <v>1224</v>
      </c>
      <c r="AI236" s="20"/>
      <c r="AJ236" s="5"/>
      <c r="AK236" s="29">
        <v>2012</v>
      </c>
      <c r="AL236" s="38" t="s">
        <v>40</v>
      </c>
      <c r="AM236" s="35">
        <f>+Tabla6[[#This Row],[Trenes Puntuales]]/Tabla6[[#This Row],[Trenes Programados]]</f>
        <v>0.70630239056193733</v>
      </c>
      <c r="AN236" s="35">
        <f>+Tabla6[[#This Row],[Trenes Puntuales]]/Tabla6[[#This Row],[Trenes Corridos]]</f>
        <v>0.73863636363636365</v>
      </c>
      <c r="AO236" s="35">
        <f>+Tabla6[[#This Row],[Trenes Corridos]]/Tabla6[[#This Row],[Trenes Programados]]</f>
        <v>0.95622477491462277</v>
      </c>
      <c r="AP236" s="20">
        <v>3221</v>
      </c>
      <c r="AQ236" s="27">
        <f t="shared" si="128"/>
        <v>141</v>
      </c>
      <c r="AR236" s="20">
        <v>3080</v>
      </c>
      <c r="AS236" s="20">
        <v>2275</v>
      </c>
      <c r="AT236" s="20">
        <f t="shared" si="129"/>
        <v>805</v>
      </c>
      <c r="AU236" s="20"/>
      <c r="AV236" s="5"/>
      <c r="AW236" s="29">
        <v>2012</v>
      </c>
      <c r="AX236" s="38" t="s">
        <v>40</v>
      </c>
      <c r="AY236" s="35">
        <f>+MIT_Vic_Cap[[#This Row],[Trenes Puntuales]]/MIT_Vic_Cap[[#This Row],[Trenes Programados]]</f>
        <v>0.45601617795753285</v>
      </c>
      <c r="AZ236" s="35">
        <f>+MIT_Vic_Cap[[#This Row],[Trenes Puntuales]]/MIT_Vic_Cap[[#This Row],[Trenes Corridos]]</f>
        <v>0.54141656662665061</v>
      </c>
      <c r="BA236" s="35">
        <f>+MIT_Vic_Cap[[#This Row],[Trenes Corridos]]/MIT_Vic_Cap[[#This Row],[Trenes Programados]]</f>
        <v>0.84226491405460058</v>
      </c>
      <c r="BB236" s="20">
        <v>989</v>
      </c>
      <c r="BC236" s="27">
        <f t="shared" si="130"/>
        <v>156</v>
      </c>
      <c r="BD236" s="20">
        <v>833</v>
      </c>
      <c r="BE236" s="20">
        <v>451</v>
      </c>
      <c r="BF236" s="20">
        <f t="shared" si="131"/>
        <v>382</v>
      </c>
      <c r="BG236" s="20"/>
      <c r="BH236" s="5"/>
      <c r="BI236" s="29">
        <v>2012</v>
      </c>
      <c r="BJ236" s="38" t="s">
        <v>40</v>
      </c>
      <c r="BK236" s="35">
        <f>+Tabla8[[#This Row],[Trenes Puntuales]]/Tabla8[[#This Row],[Trenes Programados]]</f>
        <v>0.36192468619246859</v>
      </c>
      <c r="BL236" s="35">
        <f>+Tabla8[[#This Row],[Trenes Puntuales]]/Tabla8[[#This Row],[Trenes Corridos]]</f>
        <v>0.42506142506142508</v>
      </c>
      <c r="BM236" s="35">
        <f>+Tabla8[[#This Row],[Trenes Corridos]]/Tabla8[[#This Row],[Trenes Programados]]</f>
        <v>0.85146443514644354</v>
      </c>
      <c r="BN236" s="20">
        <v>956</v>
      </c>
      <c r="BO236" s="27">
        <f t="shared" si="132"/>
        <v>142</v>
      </c>
      <c r="BP236" s="20">
        <v>814</v>
      </c>
      <c r="BQ236" s="20">
        <v>346</v>
      </c>
      <c r="BR236" s="20">
        <f t="shared" si="133"/>
        <v>468</v>
      </c>
      <c r="BS236" s="34"/>
    </row>
    <row r="237" spans="1:71" s="2" customFormat="1" ht="12.95" customHeight="1">
      <c r="A237" s="3">
        <v>2012</v>
      </c>
      <c r="B237" s="38" t="s">
        <v>41</v>
      </c>
      <c r="C237" s="25">
        <f>+MITRE[[#This Row],[Trenes Puntuales]]/MITRE[[#This Row],[Trenes Programados]]</f>
        <v>0.67635327635327636</v>
      </c>
      <c r="D237" s="25">
        <f>+MITRE[[#This Row],[Trenes Puntuales]]/MITRE[[#This Row],[Trenes Corridos]]</f>
        <v>0.72350476190476187</v>
      </c>
      <c r="E237" s="25">
        <f>+MITRE[[#This Row],[Trenes Corridos]]/MITRE[[#This Row],[Trenes Programados]]</f>
        <v>0.93482905982905984</v>
      </c>
      <c r="F237" s="27">
        <f t="shared" si="100"/>
        <v>14040</v>
      </c>
      <c r="G237" s="27">
        <f t="shared" si="101"/>
        <v>915</v>
      </c>
      <c r="H237" s="27">
        <f t="shared" si="102"/>
        <v>13125</v>
      </c>
      <c r="I237" s="27">
        <f t="shared" si="103"/>
        <v>9496</v>
      </c>
      <c r="J237" s="27">
        <f t="shared" si="104"/>
        <v>3629</v>
      </c>
      <c r="K237" s="27"/>
      <c r="L237" s="4"/>
      <c r="M237" s="29">
        <v>2012</v>
      </c>
      <c r="N237" s="38" t="s">
        <v>41</v>
      </c>
      <c r="O237" s="35">
        <f>+Tabla4[[#This Row],[Trenes Puntuales]]/Tabla4[[#This Row],[Trenes Programados]]</f>
        <v>0.70156249999999998</v>
      </c>
      <c r="P237" s="35">
        <f>+Tabla4[[#This Row],[Trenes Puntuales]]/Tabla4[[#This Row],[Trenes Corridos]]</f>
        <v>0.76817792985457656</v>
      </c>
      <c r="Q237" s="35">
        <f>+Tabla4[[#This Row],[Trenes Corridos]]/Tabla4[[#This Row],[Trenes Programados]]</f>
        <v>0.91328125000000004</v>
      </c>
      <c r="R237" s="20">
        <v>5120</v>
      </c>
      <c r="S237" s="27">
        <f t="shared" si="124"/>
        <v>444</v>
      </c>
      <c r="T237" s="20">
        <v>4676</v>
      </c>
      <c r="U237" s="20">
        <v>3592</v>
      </c>
      <c r="V237" s="20">
        <f t="shared" si="125"/>
        <v>1084</v>
      </c>
      <c r="W237" s="20"/>
      <c r="X237" s="5"/>
      <c r="Y237" s="29">
        <v>2012</v>
      </c>
      <c r="Z237" s="38" t="s">
        <v>41</v>
      </c>
      <c r="AA237" s="35">
        <f>+Tabla5[[#This Row],[Trenes Puntuales]]/Tabla5[[#This Row],[Trenes Programados]]</f>
        <v>0.70389294403892944</v>
      </c>
      <c r="AB237" s="35">
        <f>+Tabla5[[#This Row],[Trenes Puntuales]]/Tabla5[[#This Row],[Trenes Corridos]]</f>
        <v>0.73018677435638568</v>
      </c>
      <c r="AC237" s="35">
        <f>+Tabla5[[#This Row],[Trenes Corridos]]/Tabla5[[#This Row],[Trenes Programados]]</f>
        <v>0.9639902676399027</v>
      </c>
      <c r="AD237" s="20">
        <v>4110</v>
      </c>
      <c r="AE237" s="27">
        <f t="shared" si="126"/>
        <v>148</v>
      </c>
      <c r="AF237" s="20">
        <v>3962</v>
      </c>
      <c r="AG237" s="20">
        <v>2893</v>
      </c>
      <c r="AH237" s="20">
        <f t="shared" si="127"/>
        <v>1069</v>
      </c>
      <c r="AI237" s="20"/>
      <c r="AJ237" s="5"/>
      <c r="AK237" s="29">
        <v>2012</v>
      </c>
      <c r="AL237" s="38" t="s">
        <v>41</v>
      </c>
      <c r="AM237" s="35">
        <f>+Tabla6[[#This Row],[Trenes Puntuales]]/Tabla6[[#This Row],[Trenes Programados]]</f>
        <v>0.71555702043506919</v>
      </c>
      <c r="AN237" s="35">
        <f>+Tabla6[[#This Row],[Trenes Puntuales]]/Tabla6[[#This Row],[Trenes Corridos]]</f>
        <v>0.75539318023660407</v>
      </c>
      <c r="AO237" s="35">
        <f>+Tabla6[[#This Row],[Trenes Corridos]]/Tabla6[[#This Row],[Trenes Programados]]</f>
        <v>0.94726433750823991</v>
      </c>
      <c r="AP237" s="20">
        <v>3034</v>
      </c>
      <c r="AQ237" s="27">
        <f t="shared" si="128"/>
        <v>160</v>
      </c>
      <c r="AR237" s="20">
        <v>2874</v>
      </c>
      <c r="AS237" s="20">
        <v>2171</v>
      </c>
      <c r="AT237" s="20">
        <f t="shared" si="129"/>
        <v>703</v>
      </c>
      <c r="AU237" s="20"/>
      <c r="AV237" s="5"/>
      <c r="AW237" s="29">
        <v>2012</v>
      </c>
      <c r="AX237" s="38" t="s">
        <v>41</v>
      </c>
      <c r="AY237" s="35">
        <f>+MIT_Vic_Cap[[#This Row],[Trenes Puntuales]]/MIT_Vic_Cap[[#This Row],[Trenes Programados]]</f>
        <v>0.49344978165938863</v>
      </c>
      <c r="AZ237" s="35">
        <f>+MIT_Vic_Cap[[#This Row],[Trenes Puntuales]]/MIT_Vic_Cap[[#This Row],[Trenes Corridos]]</f>
        <v>0.57360406091370564</v>
      </c>
      <c r="BA237" s="35">
        <f>+MIT_Vic_Cap[[#This Row],[Trenes Corridos]]/MIT_Vic_Cap[[#This Row],[Trenes Programados]]</f>
        <v>0.86026200873362446</v>
      </c>
      <c r="BB237" s="20">
        <v>916</v>
      </c>
      <c r="BC237" s="27">
        <f t="shared" si="130"/>
        <v>128</v>
      </c>
      <c r="BD237" s="20">
        <v>788</v>
      </c>
      <c r="BE237" s="20">
        <v>452</v>
      </c>
      <c r="BF237" s="20">
        <f t="shared" si="131"/>
        <v>336</v>
      </c>
      <c r="BG237" s="20"/>
      <c r="BH237" s="5"/>
      <c r="BI237" s="29">
        <v>2012</v>
      </c>
      <c r="BJ237" s="38" t="s">
        <v>41</v>
      </c>
      <c r="BK237" s="35">
        <f>+Tabla8[[#This Row],[Trenes Puntuales]]/Tabla8[[#This Row],[Trenes Programados]]</f>
        <v>0.4511627906976744</v>
      </c>
      <c r="BL237" s="35">
        <f>+Tabla8[[#This Row],[Trenes Puntuales]]/Tabla8[[#This Row],[Trenes Corridos]]</f>
        <v>0.47030303030303028</v>
      </c>
      <c r="BM237" s="35">
        <f>+Tabla8[[#This Row],[Trenes Corridos]]/Tabla8[[#This Row],[Trenes Programados]]</f>
        <v>0.95930232558139539</v>
      </c>
      <c r="BN237" s="20">
        <v>860</v>
      </c>
      <c r="BO237" s="27">
        <f t="shared" si="132"/>
        <v>35</v>
      </c>
      <c r="BP237" s="20">
        <v>825</v>
      </c>
      <c r="BQ237" s="20">
        <v>388</v>
      </c>
      <c r="BR237" s="20">
        <f t="shared" si="133"/>
        <v>437</v>
      </c>
      <c r="BS237" s="34"/>
    </row>
    <row r="238" spans="1:71" s="2" customFormat="1" ht="12.95" customHeight="1">
      <c r="A238" s="3">
        <v>2012</v>
      </c>
      <c r="B238" s="38" t="s">
        <v>42</v>
      </c>
      <c r="C238" s="25">
        <f>+MITRE[[#This Row],[Trenes Puntuales]]/MITRE[[#This Row],[Trenes Programados]]</f>
        <v>0.62899573787959506</v>
      </c>
      <c r="D238" s="25">
        <f>+MITRE[[#This Row],[Trenes Puntuales]]/MITRE[[#This Row],[Trenes Corridos]]</f>
        <v>0.67430570429071179</v>
      </c>
      <c r="E238" s="25">
        <f>+MITRE[[#This Row],[Trenes Corridos]]/MITRE[[#This Row],[Trenes Programados]]</f>
        <v>0.93280500799147581</v>
      </c>
      <c r="F238" s="27">
        <f t="shared" si="100"/>
        <v>15016</v>
      </c>
      <c r="G238" s="27">
        <f t="shared" si="101"/>
        <v>1009</v>
      </c>
      <c r="H238" s="27">
        <f t="shared" si="102"/>
        <v>14007</v>
      </c>
      <c r="I238" s="27">
        <f t="shared" si="103"/>
        <v>9445</v>
      </c>
      <c r="J238" s="27">
        <f t="shared" si="104"/>
        <v>4562</v>
      </c>
      <c r="K238" s="27"/>
      <c r="L238" s="4"/>
      <c r="M238" s="29">
        <v>2012</v>
      </c>
      <c r="N238" s="38" t="s">
        <v>42</v>
      </c>
      <c r="O238" s="35">
        <f>+Tabla4[[#This Row],[Trenes Puntuales]]/Tabla4[[#This Row],[Trenes Programados]]</f>
        <v>0.67</v>
      </c>
      <c r="P238" s="35">
        <f>+Tabla4[[#This Row],[Trenes Puntuales]]/Tabla4[[#This Row],[Trenes Corridos]]</f>
        <v>0.72941409342834518</v>
      </c>
      <c r="Q238" s="35">
        <f>+Tabla4[[#This Row],[Trenes Corridos]]/Tabla4[[#This Row],[Trenes Programados]]</f>
        <v>0.91854545454545455</v>
      </c>
      <c r="R238" s="20">
        <v>5500</v>
      </c>
      <c r="S238" s="27">
        <f t="shared" si="124"/>
        <v>448</v>
      </c>
      <c r="T238" s="20">
        <v>5052</v>
      </c>
      <c r="U238" s="20">
        <v>3685</v>
      </c>
      <c r="V238" s="20">
        <f t="shared" si="125"/>
        <v>1367</v>
      </c>
      <c r="W238" s="20"/>
      <c r="X238" s="5"/>
      <c r="Y238" s="29">
        <v>2012</v>
      </c>
      <c r="Z238" s="38" t="s">
        <v>42</v>
      </c>
      <c r="AA238" s="35">
        <f>+Tabla5[[#This Row],[Trenes Puntuales]]/Tabla5[[#This Row],[Trenes Programados]]</f>
        <v>0.61964164209571326</v>
      </c>
      <c r="AB238" s="35">
        <f>+Tabla5[[#This Row],[Trenes Puntuales]]/Tabla5[[#This Row],[Trenes Corridos]]</f>
        <v>0.65531302470616459</v>
      </c>
      <c r="AC238" s="35">
        <f>+Tabla5[[#This Row],[Trenes Corridos]]/Tabla5[[#This Row],[Trenes Programados]]</f>
        <v>0.94556588795645269</v>
      </c>
      <c r="AD238" s="20">
        <v>4409</v>
      </c>
      <c r="AE238" s="27">
        <f t="shared" si="126"/>
        <v>240</v>
      </c>
      <c r="AF238" s="20">
        <v>4169</v>
      </c>
      <c r="AG238" s="20">
        <v>2732</v>
      </c>
      <c r="AH238" s="20">
        <f t="shared" si="127"/>
        <v>1437</v>
      </c>
      <c r="AI238" s="20"/>
      <c r="AJ238" s="5"/>
      <c r="AK238" s="29">
        <v>2012</v>
      </c>
      <c r="AL238" s="38" t="s">
        <v>42</v>
      </c>
      <c r="AM238" s="35">
        <f>+Tabla6[[#This Row],[Trenes Puntuales]]/Tabla6[[#This Row],[Trenes Programados]]</f>
        <v>0.67793427230046943</v>
      </c>
      <c r="AN238" s="35">
        <f>+Tabla6[[#This Row],[Trenes Puntuales]]/Tabla6[[#This Row],[Trenes Corridos]]</f>
        <v>0.7134387351778656</v>
      </c>
      <c r="AO238" s="35">
        <f>+Tabla6[[#This Row],[Trenes Corridos]]/Tabla6[[#This Row],[Trenes Programados]]</f>
        <v>0.95023474178403755</v>
      </c>
      <c r="AP238" s="20">
        <v>3195</v>
      </c>
      <c r="AQ238" s="27">
        <f t="shared" si="128"/>
        <v>159</v>
      </c>
      <c r="AR238" s="20">
        <v>3036</v>
      </c>
      <c r="AS238" s="20">
        <v>2166</v>
      </c>
      <c r="AT238" s="20">
        <f t="shared" si="129"/>
        <v>870</v>
      </c>
      <c r="AU238" s="20"/>
      <c r="AV238" s="5"/>
      <c r="AW238" s="29">
        <v>2012</v>
      </c>
      <c r="AX238" s="38" t="s">
        <v>42</v>
      </c>
      <c r="AY238" s="35">
        <f>+MIT_Vic_Cap[[#This Row],[Trenes Puntuales]]/MIT_Vic_Cap[[#This Row],[Trenes Programados]]</f>
        <v>0.52663934426229508</v>
      </c>
      <c r="AZ238" s="35">
        <f>+MIT_Vic_Cap[[#This Row],[Trenes Puntuales]]/MIT_Vic_Cap[[#This Row],[Trenes Corridos]]</f>
        <v>0.58542141230068334</v>
      </c>
      <c r="BA238" s="35">
        <f>+MIT_Vic_Cap[[#This Row],[Trenes Corridos]]/MIT_Vic_Cap[[#This Row],[Trenes Programados]]</f>
        <v>0.89959016393442626</v>
      </c>
      <c r="BB238" s="20">
        <v>976</v>
      </c>
      <c r="BC238" s="27">
        <f t="shared" si="130"/>
        <v>98</v>
      </c>
      <c r="BD238" s="20">
        <v>878</v>
      </c>
      <c r="BE238" s="20">
        <v>514</v>
      </c>
      <c r="BF238" s="20">
        <f t="shared" si="131"/>
        <v>364</v>
      </c>
      <c r="BG238" s="20"/>
      <c r="BH238" s="5"/>
      <c r="BI238" s="29">
        <v>2012</v>
      </c>
      <c r="BJ238" s="38" t="s">
        <v>42</v>
      </c>
      <c r="BK238" s="35">
        <f>+Tabla8[[#This Row],[Trenes Puntuales]]/Tabla8[[#This Row],[Trenes Programados]]</f>
        <v>0.37179487179487181</v>
      </c>
      <c r="BL238" s="35">
        <f>+Tabla8[[#This Row],[Trenes Puntuales]]/Tabla8[[#This Row],[Trenes Corridos]]</f>
        <v>0.39908256880733944</v>
      </c>
      <c r="BM238" s="35">
        <f>+Tabla8[[#This Row],[Trenes Corridos]]/Tabla8[[#This Row],[Trenes Programados]]</f>
        <v>0.93162393162393164</v>
      </c>
      <c r="BN238" s="20">
        <v>936</v>
      </c>
      <c r="BO238" s="27">
        <f t="shared" si="132"/>
        <v>64</v>
      </c>
      <c r="BP238" s="20">
        <v>872</v>
      </c>
      <c r="BQ238" s="20">
        <v>348</v>
      </c>
      <c r="BR238" s="20">
        <f t="shared" si="133"/>
        <v>524</v>
      </c>
      <c r="BS238" s="34"/>
    </row>
    <row r="239" spans="1:71" s="2" customFormat="1" ht="12.95" customHeight="1">
      <c r="A239" s="3">
        <v>2012</v>
      </c>
      <c r="B239" s="38" t="s">
        <v>43</v>
      </c>
      <c r="C239" s="25">
        <f>+MITRE[[#This Row],[Trenes Puntuales]]/MITRE[[#This Row],[Trenes Programados]]</f>
        <v>0.63600273785078709</v>
      </c>
      <c r="D239" s="25">
        <f>+MITRE[[#This Row],[Trenes Puntuales]]/MITRE[[#This Row],[Trenes Corridos]]</f>
        <v>0.68118173154460815</v>
      </c>
      <c r="E239" s="25">
        <f>+MITRE[[#This Row],[Trenes Corridos]]/MITRE[[#This Row],[Trenes Programados]]</f>
        <v>0.93367556468172486</v>
      </c>
      <c r="F239" s="27">
        <f t="shared" si="100"/>
        <v>14610</v>
      </c>
      <c r="G239" s="27">
        <f t="shared" si="101"/>
        <v>969</v>
      </c>
      <c r="H239" s="27">
        <f t="shared" si="102"/>
        <v>13641</v>
      </c>
      <c r="I239" s="27">
        <f t="shared" si="103"/>
        <v>9292</v>
      </c>
      <c r="J239" s="27">
        <f t="shared" si="104"/>
        <v>4349</v>
      </c>
      <c r="K239" s="27"/>
      <c r="L239" s="4"/>
      <c r="M239" s="29">
        <v>2012</v>
      </c>
      <c r="N239" s="38" t="s">
        <v>43</v>
      </c>
      <c r="O239" s="35">
        <f>+Tabla4[[#This Row],[Trenes Puntuales]]/Tabla4[[#This Row],[Trenes Programados]]</f>
        <v>0.62317757009345798</v>
      </c>
      <c r="P239" s="35">
        <f>+Tabla4[[#This Row],[Trenes Puntuales]]/Tabla4[[#This Row],[Trenes Corridos]]</f>
        <v>0.68474019305812284</v>
      </c>
      <c r="Q239" s="35">
        <f>+Tabla4[[#This Row],[Trenes Corridos]]/Tabla4[[#This Row],[Trenes Programados]]</f>
        <v>0.91009345794392527</v>
      </c>
      <c r="R239" s="20">
        <v>5350</v>
      </c>
      <c r="S239" s="27">
        <f t="shared" si="124"/>
        <v>481</v>
      </c>
      <c r="T239" s="20">
        <v>4869</v>
      </c>
      <c r="U239" s="20">
        <v>3334</v>
      </c>
      <c r="V239" s="20">
        <f t="shared" si="125"/>
        <v>1535</v>
      </c>
      <c r="W239" s="20"/>
      <c r="X239" s="5"/>
      <c r="Y239" s="29">
        <v>2012</v>
      </c>
      <c r="Z239" s="38" t="s">
        <v>43</v>
      </c>
      <c r="AA239" s="35">
        <f>+Tabla5[[#This Row],[Trenes Puntuales]]/Tabla5[[#This Row],[Trenes Programados]]</f>
        <v>0.65611175785797438</v>
      </c>
      <c r="AB239" s="35">
        <f>+Tabla5[[#This Row],[Trenes Puntuales]]/Tabla5[[#This Row],[Trenes Corridos]]</f>
        <v>0.68232445520581109</v>
      </c>
      <c r="AC239" s="35">
        <f>+Tabla5[[#This Row],[Trenes Corridos]]/Tabla5[[#This Row],[Trenes Programados]]</f>
        <v>0.96158323632130382</v>
      </c>
      <c r="AD239" s="20">
        <v>4295</v>
      </c>
      <c r="AE239" s="27">
        <f t="shared" si="126"/>
        <v>165</v>
      </c>
      <c r="AF239" s="20">
        <v>4130</v>
      </c>
      <c r="AG239" s="20">
        <v>2818</v>
      </c>
      <c r="AH239" s="20">
        <f t="shared" si="127"/>
        <v>1312</v>
      </c>
      <c r="AI239" s="20"/>
      <c r="AJ239" s="5"/>
      <c r="AK239" s="29">
        <v>2012</v>
      </c>
      <c r="AL239" s="38" t="s">
        <v>43</v>
      </c>
      <c r="AM239" s="35">
        <f>+Tabla6[[#This Row],[Trenes Puntuales]]/Tabla6[[#This Row],[Trenes Programados]]</f>
        <v>0.7256038647342995</v>
      </c>
      <c r="AN239" s="35">
        <f>+Tabla6[[#This Row],[Trenes Puntuales]]/Tabla6[[#This Row],[Trenes Corridos]]</f>
        <v>0.76114864864864862</v>
      </c>
      <c r="AO239" s="35">
        <f>+Tabla6[[#This Row],[Trenes Corridos]]/Tabla6[[#This Row],[Trenes Programados]]</f>
        <v>0.95330112721417071</v>
      </c>
      <c r="AP239" s="20">
        <v>3105</v>
      </c>
      <c r="AQ239" s="27">
        <f t="shared" si="128"/>
        <v>145</v>
      </c>
      <c r="AR239" s="20">
        <v>2960</v>
      </c>
      <c r="AS239" s="20">
        <v>2253</v>
      </c>
      <c r="AT239" s="20">
        <f t="shared" si="129"/>
        <v>707</v>
      </c>
      <c r="AU239" s="20"/>
      <c r="AV239" s="5"/>
      <c r="AW239" s="29">
        <v>2012</v>
      </c>
      <c r="AX239" s="38" t="s">
        <v>43</v>
      </c>
      <c r="AY239" s="35">
        <f>+MIT_Vic_Cap[[#This Row],[Trenes Puntuales]]/MIT_Vic_Cap[[#This Row],[Trenes Programados]]</f>
        <v>0.54869109947643979</v>
      </c>
      <c r="AZ239" s="35">
        <f>+MIT_Vic_Cap[[#This Row],[Trenes Puntuales]]/MIT_Vic_Cap[[#This Row],[Trenes Corridos]]</f>
        <v>0.6164705882352941</v>
      </c>
      <c r="BA239" s="35">
        <f>+MIT_Vic_Cap[[#This Row],[Trenes Corridos]]/MIT_Vic_Cap[[#This Row],[Trenes Programados]]</f>
        <v>0.89005235602094246</v>
      </c>
      <c r="BB239" s="20">
        <v>955</v>
      </c>
      <c r="BC239" s="27">
        <f t="shared" si="130"/>
        <v>105</v>
      </c>
      <c r="BD239" s="20">
        <v>850</v>
      </c>
      <c r="BE239" s="20">
        <v>524</v>
      </c>
      <c r="BF239" s="20">
        <f t="shared" si="131"/>
        <v>326</v>
      </c>
      <c r="BG239" s="20"/>
      <c r="BH239" s="5"/>
      <c r="BI239" s="29">
        <v>2012</v>
      </c>
      <c r="BJ239" s="38" t="s">
        <v>43</v>
      </c>
      <c r="BK239" s="35">
        <f>+Tabla8[[#This Row],[Trenes Puntuales]]/Tabla8[[#This Row],[Trenes Programados]]</f>
        <v>0.40110497237569059</v>
      </c>
      <c r="BL239" s="35">
        <f>+Tabla8[[#This Row],[Trenes Puntuales]]/Tabla8[[#This Row],[Trenes Corridos]]</f>
        <v>0.43629807692307693</v>
      </c>
      <c r="BM239" s="35">
        <f>+Tabla8[[#This Row],[Trenes Corridos]]/Tabla8[[#This Row],[Trenes Programados]]</f>
        <v>0.91933701657458566</v>
      </c>
      <c r="BN239" s="20">
        <v>905</v>
      </c>
      <c r="BO239" s="27">
        <f t="shared" si="132"/>
        <v>73</v>
      </c>
      <c r="BP239" s="20">
        <v>832</v>
      </c>
      <c r="BQ239" s="20">
        <v>363</v>
      </c>
      <c r="BR239" s="20">
        <f t="shared" si="133"/>
        <v>469</v>
      </c>
      <c r="BS239" s="34"/>
    </row>
    <row r="240" spans="1:71" s="2" customFormat="1" ht="12.95" customHeight="1">
      <c r="A240" s="3">
        <v>2012</v>
      </c>
      <c r="B240" s="38" t="s">
        <v>44</v>
      </c>
      <c r="C240" s="25">
        <f>+MITRE[[#This Row],[Trenes Puntuales]]/MITRE[[#This Row],[Trenes Programados]]</f>
        <v>0.6467101758124667</v>
      </c>
      <c r="D240" s="25">
        <f>+MITRE[[#This Row],[Trenes Puntuales]]/MITRE[[#This Row],[Trenes Corridos]]</f>
        <v>0.70232154480364506</v>
      </c>
      <c r="E240" s="25">
        <f>+MITRE[[#This Row],[Trenes Corridos]]/MITRE[[#This Row],[Trenes Programados]]</f>
        <v>0.92081779435269051</v>
      </c>
      <c r="F240" s="27">
        <f t="shared" si="100"/>
        <v>15016</v>
      </c>
      <c r="G240" s="27">
        <f t="shared" si="101"/>
        <v>1189</v>
      </c>
      <c r="H240" s="27">
        <f t="shared" si="102"/>
        <v>13827</v>
      </c>
      <c r="I240" s="27">
        <f t="shared" si="103"/>
        <v>9711</v>
      </c>
      <c r="J240" s="27">
        <f t="shared" si="104"/>
        <v>4116</v>
      </c>
      <c r="K240" s="27"/>
      <c r="L240" s="4"/>
      <c r="M240" s="29">
        <v>2012</v>
      </c>
      <c r="N240" s="38" t="s">
        <v>44</v>
      </c>
      <c r="O240" s="35">
        <f>+Tabla4[[#This Row],[Trenes Puntuales]]/Tabla4[[#This Row],[Trenes Programados]]</f>
        <v>0.62109090909090914</v>
      </c>
      <c r="P240" s="35">
        <f>+Tabla4[[#This Row],[Trenes Puntuales]]/Tabla4[[#This Row],[Trenes Corridos]]</f>
        <v>0.69360406091370563</v>
      </c>
      <c r="Q240" s="35">
        <f>+Tabla4[[#This Row],[Trenes Corridos]]/Tabla4[[#This Row],[Trenes Programados]]</f>
        <v>0.8954545454545455</v>
      </c>
      <c r="R240" s="20">
        <v>5500</v>
      </c>
      <c r="S240" s="27">
        <f t="shared" si="124"/>
        <v>575</v>
      </c>
      <c r="T240" s="20">
        <v>4925</v>
      </c>
      <c r="U240" s="20">
        <v>3416</v>
      </c>
      <c r="V240" s="20">
        <f t="shared" si="125"/>
        <v>1509</v>
      </c>
      <c r="W240" s="20"/>
      <c r="X240" s="5"/>
      <c r="Y240" s="29">
        <v>2012</v>
      </c>
      <c r="Z240" s="38" t="s">
        <v>44</v>
      </c>
      <c r="AA240" s="35">
        <f>+Tabla5[[#This Row],[Trenes Puntuales]]/Tabla5[[#This Row],[Trenes Programados]]</f>
        <v>0.69040598775232476</v>
      </c>
      <c r="AB240" s="35">
        <f>+Tabla5[[#This Row],[Trenes Puntuales]]/Tabla5[[#This Row],[Trenes Corridos]]</f>
        <v>0.70972254604802987</v>
      </c>
      <c r="AC240" s="35">
        <f>+Tabla5[[#This Row],[Trenes Corridos]]/Tabla5[[#This Row],[Trenes Programados]]</f>
        <v>0.9727829439782264</v>
      </c>
      <c r="AD240" s="20">
        <v>4409</v>
      </c>
      <c r="AE240" s="27">
        <f t="shared" si="126"/>
        <v>120</v>
      </c>
      <c r="AF240" s="20">
        <v>4289</v>
      </c>
      <c r="AG240" s="20">
        <v>3044</v>
      </c>
      <c r="AH240" s="20">
        <f t="shared" si="127"/>
        <v>1245</v>
      </c>
      <c r="AI240" s="20"/>
      <c r="AJ240" s="5"/>
      <c r="AK240" s="29">
        <v>2012</v>
      </c>
      <c r="AL240" s="38" t="s">
        <v>44</v>
      </c>
      <c r="AM240" s="35">
        <f>+Tabla6[[#This Row],[Trenes Puntuales]]/Tabla6[[#This Row],[Trenes Programados]]</f>
        <v>0.76338028169014083</v>
      </c>
      <c r="AN240" s="35">
        <f>+Tabla6[[#This Row],[Trenes Puntuales]]/Tabla6[[#This Row],[Trenes Corridos]]</f>
        <v>0.79111255270840086</v>
      </c>
      <c r="AO240" s="35">
        <f>+Tabla6[[#This Row],[Trenes Corridos]]/Tabla6[[#This Row],[Trenes Programados]]</f>
        <v>0.96494522691705786</v>
      </c>
      <c r="AP240" s="20">
        <v>3195</v>
      </c>
      <c r="AQ240" s="27">
        <f t="shared" si="128"/>
        <v>112</v>
      </c>
      <c r="AR240" s="20">
        <v>3083</v>
      </c>
      <c r="AS240" s="20">
        <v>2439</v>
      </c>
      <c r="AT240" s="20">
        <f t="shared" si="129"/>
        <v>644</v>
      </c>
      <c r="AU240" s="20"/>
      <c r="AV240" s="5"/>
      <c r="AW240" s="29">
        <v>2012</v>
      </c>
      <c r="AX240" s="38" t="s">
        <v>44</v>
      </c>
      <c r="AY240" s="35">
        <f>+MIT_Vic_Cap[[#This Row],[Trenes Puntuales]]/MIT_Vic_Cap[[#This Row],[Trenes Programados]]</f>
        <v>0.43237704918032788</v>
      </c>
      <c r="AZ240" s="35">
        <f>+MIT_Vic_Cap[[#This Row],[Trenes Puntuales]]/MIT_Vic_Cap[[#This Row],[Trenes Corridos]]</f>
        <v>0.5952045133991537</v>
      </c>
      <c r="BA240" s="35">
        <f>+MIT_Vic_Cap[[#This Row],[Trenes Corridos]]/MIT_Vic_Cap[[#This Row],[Trenes Programados]]</f>
        <v>0.72643442622950816</v>
      </c>
      <c r="BB240" s="20">
        <v>976</v>
      </c>
      <c r="BC240" s="27">
        <f t="shared" si="130"/>
        <v>267</v>
      </c>
      <c r="BD240" s="20">
        <v>709</v>
      </c>
      <c r="BE240" s="20">
        <v>422</v>
      </c>
      <c r="BF240" s="20">
        <f t="shared" si="131"/>
        <v>287</v>
      </c>
      <c r="BG240" s="20"/>
      <c r="BH240" s="5"/>
      <c r="BI240" s="29">
        <v>2012</v>
      </c>
      <c r="BJ240" s="38" t="s">
        <v>44</v>
      </c>
      <c r="BK240" s="35">
        <f>+Tabla8[[#This Row],[Trenes Puntuales]]/Tabla8[[#This Row],[Trenes Programados]]</f>
        <v>0.41666666666666669</v>
      </c>
      <c r="BL240" s="35">
        <f>+Tabla8[[#This Row],[Trenes Puntuales]]/Tabla8[[#This Row],[Trenes Corridos]]</f>
        <v>0.47503045066991473</v>
      </c>
      <c r="BM240" s="35">
        <f>+Tabla8[[#This Row],[Trenes Corridos]]/Tabla8[[#This Row],[Trenes Programados]]</f>
        <v>0.87713675213675213</v>
      </c>
      <c r="BN240" s="20">
        <v>936</v>
      </c>
      <c r="BO240" s="27">
        <f t="shared" si="132"/>
        <v>115</v>
      </c>
      <c r="BP240" s="20">
        <v>821</v>
      </c>
      <c r="BQ240" s="20">
        <v>390</v>
      </c>
      <c r="BR240" s="20">
        <f t="shared" si="133"/>
        <v>431</v>
      </c>
      <c r="BS240" s="34"/>
    </row>
    <row r="241" spans="1:71" s="2" customFormat="1" ht="12.95" customHeight="1">
      <c r="A241" s="3">
        <v>2012</v>
      </c>
      <c r="B241" s="38" t="s">
        <v>45</v>
      </c>
      <c r="C241" s="25">
        <f>+MITRE[[#This Row],[Trenes Puntuales]]/MITRE[[#This Row],[Trenes Programados]]</f>
        <v>0.47732195602231703</v>
      </c>
      <c r="D241" s="25">
        <f>+MITRE[[#This Row],[Trenes Puntuales]]/MITRE[[#This Row],[Trenes Corridos]]</f>
        <v>0.56245649315492308</v>
      </c>
      <c r="E241" s="25">
        <f>+MITRE[[#This Row],[Trenes Corridos]]/MITRE[[#This Row],[Trenes Programados]]</f>
        <v>0.8486380045946833</v>
      </c>
      <c r="F241" s="27">
        <f t="shared" si="100"/>
        <v>15235</v>
      </c>
      <c r="G241" s="27">
        <f t="shared" si="101"/>
        <v>2306</v>
      </c>
      <c r="H241" s="27">
        <f t="shared" si="102"/>
        <v>12929</v>
      </c>
      <c r="I241" s="27">
        <f t="shared" si="103"/>
        <v>7272</v>
      </c>
      <c r="J241" s="27">
        <f t="shared" si="104"/>
        <v>5657</v>
      </c>
      <c r="K241" s="27"/>
      <c r="L241" s="4"/>
      <c r="M241" s="29">
        <v>2012</v>
      </c>
      <c r="N241" s="38" t="s">
        <v>45</v>
      </c>
      <c r="O241" s="35">
        <f>+Tabla4[[#This Row],[Trenes Puntuales]]/Tabla4[[#This Row],[Trenes Programados]]</f>
        <v>0.38819320214669051</v>
      </c>
      <c r="P241" s="35">
        <f>+Tabla4[[#This Row],[Trenes Puntuales]]/Tabla4[[#This Row],[Trenes Corridos]]</f>
        <v>0.49827784156142363</v>
      </c>
      <c r="Q241" s="35">
        <f>+Tabla4[[#This Row],[Trenes Corridos]]/Tabla4[[#This Row],[Trenes Programados]]</f>
        <v>0.77906976744186052</v>
      </c>
      <c r="R241" s="20">
        <v>5590</v>
      </c>
      <c r="S241" s="27">
        <f t="shared" si="124"/>
        <v>1235</v>
      </c>
      <c r="T241" s="20">
        <v>4355</v>
      </c>
      <c r="U241" s="20">
        <v>2170</v>
      </c>
      <c r="V241" s="20">
        <f t="shared" si="125"/>
        <v>2185</v>
      </c>
      <c r="W241" s="20"/>
      <c r="X241" s="5"/>
      <c r="Y241" s="29">
        <v>2012</v>
      </c>
      <c r="Z241" s="38" t="s">
        <v>45</v>
      </c>
      <c r="AA241" s="35">
        <f>+Tabla5[[#This Row],[Trenes Puntuales]]/Tabla5[[#This Row],[Trenes Programados]]</f>
        <v>0.54789015405224384</v>
      </c>
      <c r="AB241" s="35">
        <f>+Tabla5[[#This Row],[Trenes Puntuales]]/Tabla5[[#This Row],[Trenes Corridos]]</f>
        <v>0.58637992831541219</v>
      </c>
      <c r="AC241" s="35">
        <f>+Tabla5[[#This Row],[Trenes Corridos]]/Tabla5[[#This Row],[Trenes Programados]]</f>
        <v>0.93436034829202952</v>
      </c>
      <c r="AD241" s="20">
        <v>4479</v>
      </c>
      <c r="AE241" s="27">
        <f t="shared" si="126"/>
        <v>294</v>
      </c>
      <c r="AF241" s="20">
        <v>4185</v>
      </c>
      <c r="AG241" s="20">
        <v>2454</v>
      </c>
      <c r="AH241" s="20">
        <f t="shared" si="127"/>
        <v>1731</v>
      </c>
      <c r="AI241" s="20"/>
      <c r="AJ241" s="5"/>
      <c r="AK241" s="29">
        <v>2012</v>
      </c>
      <c r="AL241" s="38" t="s">
        <v>45</v>
      </c>
      <c r="AM241" s="35">
        <f>+Tabla6[[#This Row],[Trenes Puntuales]]/Tabla6[[#This Row],[Trenes Programados]]</f>
        <v>0.60136603539273514</v>
      </c>
      <c r="AN241" s="35">
        <f>+Tabla6[[#This Row],[Trenes Puntuales]]/Tabla6[[#This Row],[Trenes Corridos]]</f>
        <v>0.65306810519217806</v>
      </c>
      <c r="AO241" s="35">
        <f>+Tabla6[[#This Row],[Trenes Corridos]]/Tabla6[[#This Row],[Trenes Programados]]</f>
        <v>0.92083203973921146</v>
      </c>
      <c r="AP241" s="20">
        <v>3221</v>
      </c>
      <c r="AQ241" s="27">
        <f t="shared" si="128"/>
        <v>255</v>
      </c>
      <c r="AR241" s="20">
        <v>2966</v>
      </c>
      <c r="AS241" s="20">
        <v>1937</v>
      </c>
      <c r="AT241" s="20">
        <f t="shared" si="129"/>
        <v>1029</v>
      </c>
      <c r="AU241" s="20"/>
      <c r="AV241" s="5"/>
      <c r="AW241" s="29">
        <v>2012</v>
      </c>
      <c r="AX241" s="38" t="s">
        <v>45</v>
      </c>
      <c r="AY241" s="35">
        <f>+MIT_Vic_Cap[[#This Row],[Trenes Puntuales]]/MIT_Vic_Cap[[#This Row],[Trenes Programados]]</f>
        <v>0.34782608695652173</v>
      </c>
      <c r="AZ241" s="35">
        <f>+MIT_Vic_Cap[[#This Row],[Trenes Puntuales]]/MIT_Vic_Cap[[#This Row],[Trenes Corridos]]</f>
        <v>0.53834115805946792</v>
      </c>
      <c r="BA241" s="35">
        <f>+MIT_Vic_Cap[[#This Row],[Trenes Corridos]]/MIT_Vic_Cap[[#This Row],[Trenes Programados]]</f>
        <v>0.64610717896865522</v>
      </c>
      <c r="BB241" s="20">
        <v>989</v>
      </c>
      <c r="BC241" s="27">
        <f t="shared" si="130"/>
        <v>350</v>
      </c>
      <c r="BD241" s="20">
        <v>639</v>
      </c>
      <c r="BE241" s="20">
        <v>344</v>
      </c>
      <c r="BF241" s="20">
        <f t="shared" si="131"/>
        <v>295</v>
      </c>
      <c r="BG241" s="20"/>
      <c r="BH241" s="5"/>
      <c r="BI241" s="29">
        <v>2012</v>
      </c>
      <c r="BJ241" s="38" t="s">
        <v>45</v>
      </c>
      <c r="BK241" s="35">
        <f>+Tabla8[[#This Row],[Trenes Puntuales]]/Tabla8[[#This Row],[Trenes Programados]]</f>
        <v>0.38389121338912136</v>
      </c>
      <c r="BL241" s="35">
        <f>+Tabla8[[#This Row],[Trenes Puntuales]]/Tabla8[[#This Row],[Trenes Corridos]]</f>
        <v>0.46811224489795916</v>
      </c>
      <c r="BM241" s="35">
        <f>+Tabla8[[#This Row],[Trenes Corridos]]/Tabla8[[#This Row],[Trenes Programados]]</f>
        <v>0.82008368200836823</v>
      </c>
      <c r="BN241" s="20">
        <v>956</v>
      </c>
      <c r="BO241" s="27">
        <f t="shared" si="132"/>
        <v>172</v>
      </c>
      <c r="BP241" s="20">
        <v>784</v>
      </c>
      <c r="BQ241" s="20">
        <v>367</v>
      </c>
      <c r="BR241" s="20">
        <f t="shared" si="133"/>
        <v>417</v>
      </c>
      <c r="BS241" s="34"/>
    </row>
    <row r="242" spans="1:71" s="2" customFormat="1" ht="12.95" customHeight="1">
      <c r="A242" s="3">
        <v>2012</v>
      </c>
      <c r="B242" s="38" t="s">
        <v>46</v>
      </c>
      <c r="C242" s="25">
        <f>+MITRE[[#This Row],[Trenes Puntuales]]/MITRE[[#This Row],[Trenes Programados]]</f>
        <v>0.37711069418386489</v>
      </c>
      <c r="D242" s="25">
        <f>+MITRE[[#This Row],[Trenes Puntuales]]/MITRE[[#This Row],[Trenes Corridos]]</f>
        <v>0.45589717741935482</v>
      </c>
      <c r="E242" s="25">
        <f>+MITRE[[#This Row],[Trenes Corridos]]/MITRE[[#This Row],[Trenes Programados]]</f>
        <v>0.82718365645194913</v>
      </c>
      <c r="F242" s="27">
        <f t="shared" si="100"/>
        <v>14391</v>
      </c>
      <c r="G242" s="27">
        <f t="shared" si="101"/>
        <v>2487</v>
      </c>
      <c r="H242" s="27">
        <f t="shared" si="102"/>
        <v>11904</v>
      </c>
      <c r="I242" s="27">
        <f t="shared" si="103"/>
        <v>5427</v>
      </c>
      <c r="J242" s="27">
        <f t="shared" si="104"/>
        <v>6477</v>
      </c>
      <c r="K242" s="27"/>
      <c r="L242" s="4"/>
      <c r="M242" s="29">
        <v>2012</v>
      </c>
      <c r="N242" s="38" t="s">
        <v>46</v>
      </c>
      <c r="O242" s="35">
        <f>+Tabla4[[#This Row],[Trenes Puntuales]]/Tabla4[[#This Row],[Trenes Programados]]</f>
        <v>0.26596958174904944</v>
      </c>
      <c r="P242" s="35">
        <f>+Tabla4[[#This Row],[Trenes Puntuales]]/Tabla4[[#This Row],[Trenes Corridos]]</f>
        <v>0.34365020879390812</v>
      </c>
      <c r="Q242" s="35">
        <f>+Tabla4[[#This Row],[Trenes Corridos]]/Tabla4[[#This Row],[Trenes Programados]]</f>
        <v>0.77395437262357414</v>
      </c>
      <c r="R242" s="20">
        <v>5260</v>
      </c>
      <c r="S242" s="27">
        <f t="shared" si="124"/>
        <v>1189</v>
      </c>
      <c r="T242" s="20">
        <v>4071</v>
      </c>
      <c r="U242" s="20">
        <v>1399</v>
      </c>
      <c r="V242" s="20">
        <f t="shared" si="125"/>
        <v>2672</v>
      </c>
      <c r="W242" s="20"/>
      <c r="X242" s="5"/>
      <c r="Y242" s="29">
        <v>2012</v>
      </c>
      <c r="Z242" s="38" t="s">
        <v>46</v>
      </c>
      <c r="AA242" s="35">
        <f>+Tabla5[[#This Row],[Trenes Puntuales]]/Tabla5[[#This Row],[Trenes Programados]]</f>
        <v>0.45562130177514792</v>
      </c>
      <c r="AB242" s="35">
        <f>+Tabla5[[#This Row],[Trenes Puntuales]]/Tabla5[[#This Row],[Trenes Corridos]]</f>
        <v>0.50261096605744127</v>
      </c>
      <c r="AC242" s="35">
        <f>+Tabla5[[#This Row],[Trenes Corridos]]/Tabla5[[#This Row],[Trenes Programados]]</f>
        <v>0.906508875739645</v>
      </c>
      <c r="AD242" s="20">
        <v>4225</v>
      </c>
      <c r="AE242" s="27">
        <f t="shared" si="126"/>
        <v>395</v>
      </c>
      <c r="AF242" s="20">
        <v>3830</v>
      </c>
      <c r="AG242" s="20">
        <v>1925</v>
      </c>
      <c r="AH242" s="20">
        <f t="shared" si="127"/>
        <v>1905</v>
      </c>
      <c r="AI242" s="20"/>
      <c r="AJ242" s="5"/>
      <c r="AK242" s="29">
        <v>2012</v>
      </c>
      <c r="AL242" s="38" t="s">
        <v>46</v>
      </c>
      <c r="AM242" s="35">
        <f>+Tabla6[[#This Row],[Trenes Puntuales]]/Tabla6[[#This Row],[Trenes Programados]]</f>
        <v>0.49204287106203315</v>
      </c>
      <c r="AN242" s="35">
        <f>+Tabla6[[#This Row],[Trenes Puntuales]]/Tabla6[[#This Row],[Trenes Corridos]]</f>
        <v>0.55924695459579177</v>
      </c>
      <c r="AO242" s="35">
        <f>+Tabla6[[#This Row],[Trenes Corridos]]/Tabla6[[#This Row],[Trenes Programados]]</f>
        <v>0.87983111399805136</v>
      </c>
      <c r="AP242" s="20">
        <v>3079</v>
      </c>
      <c r="AQ242" s="27">
        <f t="shared" si="128"/>
        <v>370</v>
      </c>
      <c r="AR242" s="20">
        <v>2709</v>
      </c>
      <c r="AS242" s="20">
        <v>1515</v>
      </c>
      <c r="AT242" s="20">
        <f t="shared" si="129"/>
        <v>1194</v>
      </c>
      <c r="AU242" s="20"/>
      <c r="AV242" s="5"/>
      <c r="AW242" s="29">
        <v>2012</v>
      </c>
      <c r="AX242" s="38" t="s">
        <v>46</v>
      </c>
      <c r="AY242" s="35">
        <f>+MIT_Vic_Cap[[#This Row],[Trenes Puntuales]]/MIT_Vic_Cap[[#This Row],[Trenes Programados]]</f>
        <v>0.30785562632696389</v>
      </c>
      <c r="AZ242" s="35">
        <f>+MIT_Vic_Cap[[#This Row],[Trenes Puntuales]]/MIT_Vic_Cap[[#This Row],[Trenes Corridos]]</f>
        <v>0.5492424242424242</v>
      </c>
      <c r="BA242" s="35">
        <f>+MIT_Vic_Cap[[#This Row],[Trenes Corridos]]/MIT_Vic_Cap[[#This Row],[Trenes Programados]]</f>
        <v>0.56050955414012738</v>
      </c>
      <c r="BB242" s="20">
        <v>942</v>
      </c>
      <c r="BC242" s="27">
        <f t="shared" si="130"/>
        <v>414</v>
      </c>
      <c r="BD242" s="20">
        <v>528</v>
      </c>
      <c r="BE242" s="20">
        <v>290</v>
      </c>
      <c r="BF242" s="20">
        <f t="shared" si="131"/>
        <v>238</v>
      </c>
      <c r="BG242" s="20"/>
      <c r="BH242" s="5"/>
      <c r="BI242" s="29">
        <v>2012</v>
      </c>
      <c r="BJ242" s="38" t="s">
        <v>46</v>
      </c>
      <c r="BK242" s="35">
        <f>+Tabla8[[#This Row],[Trenes Puntuales]]/Tabla8[[#This Row],[Trenes Programados]]</f>
        <v>0.33672316384180789</v>
      </c>
      <c r="BL242" s="35">
        <f>+Tabla8[[#This Row],[Trenes Puntuales]]/Tabla8[[#This Row],[Trenes Corridos]]</f>
        <v>0.38903394255874674</v>
      </c>
      <c r="BM242" s="35">
        <f>+Tabla8[[#This Row],[Trenes Corridos]]/Tabla8[[#This Row],[Trenes Programados]]</f>
        <v>0.86553672316384178</v>
      </c>
      <c r="BN242" s="20">
        <v>885</v>
      </c>
      <c r="BO242" s="27">
        <f t="shared" si="132"/>
        <v>119</v>
      </c>
      <c r="BP242" s="20">
        <v>766</v>
      </c>
      <c r="BQ242" s="20">
        <v>298</v>
      </c>
      <c r="BR242" s="20">
        <f t="shared" si="133"/>
        <v>468</v>
      </c>
      <c r="BS242" s="34"/>
    </row>
    <row r="243" spans="1:71" s="2" customFormat="1" ht="12.95" customHeight="1">
      <c r="A243" s="3">
        <v>2012</v>
      </c>
      <c r="B243" s="38" t="s">
        <v>47</v>
      </c>
      <c r="C243" s="25">
        <f>+MITRE[[#This Row],[Trenes Puntuales]]/MITRE[[#This Row],[Trenes Programados]]</f>
        <v>0.36101083032490977</v>
      </c>
      <c r="D243" s="25">
        <f>+MITRE[[#This Row],[Trenes Puntuales]]/MITRE[[#This Row],[Trenes Corridos]]</f>
        <v>0.44017607042817125</v>
      </c>
      <c r="E243" s="25">
        <f>+MITRE[[#This Row],[Trenes Corridos]]/MITRE[[#This Row],[Trenes Programados]]</f>
        <v>0.82015096816540856</v>
      </c>
      <c r="F243" s="27">
        <f t="shared" si="100"/>
        <v>15235</v>
      </c>
      <c r="G243" s="27">
        <f t="shared" si="101"/>
        <v>2740</v>
      </c>
      <c r="H243" s="27">
        <f t="shared" si="102"/>
        <v>12495</v>
      </c>
      <c r="I243" s="27">
        <f t="shared" si="103"/>
        <v>5500</v>
      </c>
      <c r="J243" s="27">
        <f t="shared" si="104"/>
        <v>6995</v>
      </c>
      <c r="K243" s="27"/>
      <c r="L243" s="4"/>
      <c r="M243" s="29">
        <v>2012</v>
      </c>
      <c r="N243" s="38" t="s">
        <v>47</v>
      </c>
      <c r="O243" s="35">
        <f>+Tabla4[[#This Row],[Trenes Puntuales]]/Tabla4[[#This Row],[Trenes Programados]]</f>
        <v>0.24400715563506262</v>
      </c>
      <c r="P243" s="35">
        <f>+Tabla4[[#This Row],[Trenes Puntuales]]/Tabla4[[#This Row],[Trenes Corridos]]</f>
        <v>0.32499404336430782</v>
      </c>
      <c r="Q243" s="35">
        <f>+Tabla4[[#This Row],[Trenes Corridos]]/Tabla4[[#This Row],[Trenes Programados]]</f>
        <v>0.75080500894454383</v>
      </c>
      <c r="R243" s="20">
        <v>5590</v>
      </c>
      <c r="S243" s="27">
        <f t="shared" si="124"/>
        <v>1393</v>
      </c>
      <c r="T243" s="20">
        <v>4197</v>
      </c>
      <c r="U243" s="20">
        <v>1364</v>
      </c>
      <c r="V243" s="20">
        <f t="shared" si="125"/>
        <v>2833</v>
      </c>
      <c r="W243" s="20"/>
      <c r="X243" s="5"/>
      <c r="Y243" s="29">
        <v>2012</v>
      </c>
      <c r="Z243" s="38" t="s">
        <v>47</v>
      </c>
      <c r="AA243" s="35">
        <f>+Tabla5[[#This Row],[Trenes Puntuales]]/Tabla5[[#This Row],[Trenes Programados]]</f>
        <v>0.42464835900870729</v>
      </c>
      <c r="AB243" s="35">
        <f>+Tabla5[[#This Row],[Trenes Puntuales]]/Tabla5[[#This Row],[Trenes Corridos]]</f>
        <v>0.45809248554913296</v>
      </c>
      <c r="AC243" s="35">
        <f>+Tabla5[[#This Row],[Trenes Corridos]]/Tabla5[[#This Row],[Trenes Programados]]</f>
        <v>0.92699263228399198</v>
      </c>
      <c r="AD243" s="20">
        <v>4479</v>
      </c>
      <c r="AE243" s="27">
        <f t="shared" si="126"/>
        <v>327</v>
      </c>
      <c r="AF243" s="20">
        <v>4152</v>
      </c>
      <c r="AG243" s="20">
        <v>1902</v>
      </c>
      <c r="AH243" s="20">
        <f t="shared" si="127"/>
        <v>2250</v>
      </c>
      <c r="AI243" s="20"/>
      <c r="AJ243" s="5"/>
      <c r="AK243" s="29">
        <v>2012</v>
      </c>
      <c r="AL243" s="38" t="s">
        <v>47</v>
      </c>
      <c r="AM243" s="35">
        <f>+Tabla6[[#This Row],[Trenes Puntuales]]/Tabla6[[#This Row],[Trenes Programados]]</f>
        <v>0.47004036013660355</v>
      </c>
      <c r="AN243" s="35">
        <f>+Tabla6[[#This Row],[Trenes Puntuales]]/Tabla6[[#This Row],[Trenes Corridos]]</f>
        <v>0.52734238941135492</v>
      </c>
      <c r="AO243" s="35">
        <f>+Tabla6[[#This Row],[Trenes Corridos]]/Tabla6[[#This Row],[Trenes Programados]]</f>
        <v>0.89133809375970197</v>
      </c>
      <c r="AP243" s="20">
        <v>3221</v>
      </c>
      <c r="AQ243" s="27">
        <f t="shared" si="128"/>
        <v>350</v>
      </c>
      <c r="AR243" s="20">
        <v>2871</v>
      </c>
      <c r="AS243" s="20">
        <v>1514</v>
      </c>
      <c r="AT243" s="20">
        <f t="shared" si="129"/>
        <v>1357</v>
      </c>
      <c r="AU243" s="20"/>
      <c r="AV243" s="5"/>
      <c r="AW243" s="29">
        <v>2012</v>
      </c>
      <c r="AX243" s="38" t="s">
        <v>47</v>
      </c>
      <c r="AY243" s="35">
        <f>+MIT_Vic_Cap[[#This Row],[Trenes Puntuales]]/MIT_Vic_Cap[[#This Row],[Trenes Programados]]</f>
        <v>0.26390293225480282</v>
      </c>
      <c r="AZ243" s="35">
        <f>+MIT_Vic_Cap[[#This Row],[Trenes Puntuales]]/MIT_Vic_Cap[[#This Row],[Trenes Corridos]]</f>
        <v>0.63503649635036497</v>
      </c>
      <c r="BA243" s="35">
        <f>+MIT_Vic_Cap[[#This Row],[Trenes Corridos]]/MIT_Vic_Cap[[#This Row],[Trenes Programados]]</f>
        <v>0.41557128412537919</v>
      </c>
      <c r="BB243" s="20">
        <v>989</v>
      </c>
      <c r="BC243" s="27">
        <f t="shared" si="130"/>
        <v>578</v>
      </c>
      <c r="BD243" s="20">
        <v>411</v>
      </c>
      <c r="BE243" s="20">
        <v>261</v>
      </c>
      <c r="BF243" s="20">
        <f t="shared" si="131"/>
        <v>150</v>
      </c>
      <c r="BG243" s="20"/>
      <c r="BH243" s="5"/>
      <c r="BI243" s="29">
        <v>2012</v>
      </c>
      <c r="BJ243" s="38" t="s">
        <v>47</v>
      </c>
      <c r="BK243" s="35">
        <f>+Tabla8[[#This Row],[Trenes Puntuales]]/Tabla8[[#This Row],[Trenes Programados]]</f>
        <v>0.48012552301255229</v>
      </c>
      <c r="BL243" s="35">
        <f>+Tabla8[[#This Row],[Trenes Puntuales]]/Tabla8[[#This Row],[Trenes Corridos]]</f>
        <v>0.53125</v>
      </c>
      <c r="BM243" s="35">
        <f>+Tabla8[[#This Row],[Trenes Corridos]]/Tabla8[[#This Row],[Trenes Programados]]</f>
        <v>0.90376569037656906</v>
      </c>
      <c r="BN243" s="20">
        <v>956</v>
      </c>
      <c r="BO243" s="27">
        <f t="shared" si="132"/>
        <v>92</v>
      </c>
      <c r="BP243" s="20">
        <v>864</v>
      </c>
      <c r="BQ243" s="20">
        <v>459</v>
      </c>
      <c r="BR243" s="20">
        <f t="shared" si="133"/>
        <v>405</v>
      </c>
      <c r="BS243" s="34"/>
    </row>
    <row r="244" spans="1:71" s="2" customFormat="1" ht="12.95" customHeight="1">
      <c r="A244" s="3">
        <v>2012</v>
      </c>
      <c r="B244" s="38" t="s">
        <v>48</v>
      </c>
      <c r="C244" s="25">
        <f>+MITRE[[#This Row],[Trenes Puntuales]]/MITRE[[#This Row],[Trenes Programados]]</f>
        <v>0.26134585289514867</v>
      </c>
      <c r="D244" s="25">
        <f>+MITRE[[#This Row],[Trenes Puntuales]]/MITRE[[#This Row],[Trenes Corridos]]</f>
        <v>0.36414486158513465</v>
      </c>
      <c r="E244" s="25">
        <f>+MITRE[[#This Row],[Trenes Corridos]]/MITRE[[#This Row],[Trenes Programados]]</f>
        <v>0.71769748928352728</v>
      </c>
      <c r="F244" s="27">
        <f t="shared" si="100"/>
        <v>14697</v>
      </c>
      <c r="G244" s="27">
        <f t="shared" si="101"/>
        <v>4149</v>
      </c>
      <c r="H244" s="27">
        <f t="shared" si="102"/>
        <v>10548</v>
      </c>
      <c r="I244" s="27">
        <f t="shared" si="103"/>
        <v>3841</v>
      </c>
      <c r="J244" s="27">
        <f t="shared" si="104"/>
        <v>6707</v>
      </c>
      <c r="K244" s="27"/>
      <c r="L244" s="4"/>
      <c r="M244" s="29">
        <v>2012</v>
      </c>
      <c r="N244" s="38" t="s">
        <v>48</v>
      </c>
      <c r="O244" s="35">
        <f>+Tabla4[[#This Row],[Trenes Puntuales]]/Tabla4[[#This Row],[Trenes Programados]]</f>
        <v>0.13840445269016696</v>
      </c>
      <c r="P244" s="35">
        <f>+Tabla4[[#This Row],[Trenes Puntuales]]/Tabla4[[#This Row],[Trenes Corridos]]</f>
        <v>0.23488664987405541</v>
      </c>
      <c r="Q244" s="35">
        <f>+Tabla4[[#This Row],[Trenes Corridos]]/Tabla4[[#This Row],[Trenes Programados]]</f>
        <v>0.58923933209647494</v>
      </c>
      <c r="R244" s="20">
        <v>5390</v>
      </c>
      <c r="S244" s="27">
        <f t="shared" si="124"/>
        <v>2214</v>
      </c>
      <c r="T244" s="20">
        <v>3176</v>
      </c>
      <c r="U244" s="20">
        <v>746</v>
      </c>
      <c r="V244" s="20">
        <f t="shared" si="125"/>
        <v>2430</v>
      </c>
      <c r="W244" s="20"/>
      <c r="X244" s="5"/>
      <c r="Y244" s="29">
        <v>2012</v>
      </c>
      <c r="Z244" s="38" t="s">
        <v>48</v>
      </c>
      <c r="AA244" s="35">
        <f>+Tabla5[[#This Row],[Trenes Puntuales]]/Tabla5[[#This Row],[Trenes Programados]]</f>
        <v>0.31527777777777777</v>
      </c>
      <c r="AB244" s="35">
        <f>+Tabla5[[#This Row],[Trenes Puntuales]]/Tabla5[[#This Row],[Trenes Corridos]]</f>
        <v>0.36970684039087948</v>
      </c>
      <c r="AC244" s="35">
        <f>+Tabla5[[#This Row],[Trenes Corridos]]/Tabla5[[#This Row],[Trenes Programados]]</f>
        <v>0.85277777777777775</v>
      </c>
      <c r="AD244" s="20">
        <v>4320</v>
      </c>
      <c r="AE244" s="27">
        <f t="shared" si="126"/>
        <v>636</v>
      </c>
      <c r="AF244" s="20">
        <v>3684</v>
      </c>
      <c r="AG244" s="20">
        <v>1362</v>
      </c>
      <c r="AH244" s="20">
        <f t="shared" si="127"/>
        <v>2322</v>
      </c>
      <c r="AI244" s="20"/>
      <c r="AJ244" s="5"/>
      <c r="AK244" s="29">
        <v>2012</v>
      </c>
      <c r="AL244" s="38" t="s">
        <v>48</v>
      </c>
      <c r="AM244" s="35">
        <f>+Tabla6[[#This Row],[Trenes Puntuales]]/Tabla6[[#This Row],[Trenes Programados]]</f>
        <v>0.39685089974293059</v>
      </c>
      <c r="AN244" s="35">
        <f>+Tabla6[[#This Row],[Trenes Puntuales]]/Tabla6[[#This Row],[Trenes Corridos]]</f>
        <v>0.48166926677067085</v>
      </c>
      <c r="AO244" s="35">
        <f>+Tabla6[[#This Row],[Trenes Corridos]]/Tabla6[[#This Row],[Trenes Programados]]</f>
        <v>0.82390745501285345</v>
      </c>
      <c r="AP244" s="20">
        <v>3112</v>
      </c>
      <c r="AQ244" s="27">
        <f t="shared" si="128"/>
        <v>548</v>
      </c>
      <c r="AR244" s="20">
        <v>2564</v>
      </c>
      <c r="AS244" s="20">
        <v>1235</v>
      </c>
      <c r="AT244" s="20">
        <f t="shared" si="129"/>
        <v>1329</v>
      </c>
      <c r="AU244" s="20"/>
      <c r="AV244" s="5"/>
      <c r="AW244" s="29">
        <v>2012</v>
      </c>
      <c r="AX244" s="38" t="s">
        <v>48</v>
      </c>
      <c r="AY244" s="35">
        <f>+MIT_Vic_Cap[[#This Row],[Trenes Puntuales]]/MIT_Vic_Cap[[#This Row],[Trenes Programados]]</f>
        <v>0.2</v>
      </c>
      <c r="AZ244" s="35">
        <f>+MIT_Vic_Cap[[#This Row],[Trenes Puntuales]]/MIT_Vic_Cap[[#This Row],[Trenes Corridos]]</f>
        <v>0.56176470588235294</v>
      </c>
      <c r="BA244" s="35">
        <f>+MIT_Vic_Cap[[#This Row],[Trenes Corridos]]/MIT_Vic_Cap[[#This Row],[Trenes Programados]]</f>
        <v>0.35602094240837695</v>
      </c>
      <c r="BB244" s="20">
        <v>955</v>
      </c>
      <c r="BC244" s="27">
        <f t="shared" si="130"/>
        <v>615</v>
      </c>
      <c r="BD244" s="20">
        <v>340</v>
      </c>
      <c r="BE244" s="20">
        <v>191</v>
      </c>
      <c r="BF244" s="20">
        <f t="shared" si="131"/>
        <v>149</v>
      </c>
      <c r="BG244" s="20"/>
      <c r="BH244" s="5"/>
      <c r="BI244" s="29">
        <v>2012</v>
      </c>
      <c r="BJ244" s="38" t="s">
        <v>48</v>
      </c>
      <c r="BK244" s="35">
        <f>+Tabla8[[#This Row],[Trenes Puntuales]]/Tabla8[[#This Row],[Trenes Programados]]</f>
        <v>0.33369565217391306</v>
      </c>
      <c r="BL244" s="35">
        <f>+Tabla8[[#This Row],[Trenes Puntuales]]/Tabla8[[#This Row],[Trenes Corridos]]</f>
        <v>0.39158163265306123</v>
      </c>
      <c r="BM244" s="35">
        <f>+Tabla8[[#This Row],[Trenes Corridos]]/Tabla8[[#This Row],[Trenes Programados]]</f>
        <v>0.85217391304347823</v>
      </c>
      <c r="BN244" s="20">
        <v>920</v>
      </c>
      <c r="BO244" s="27">
        <f t="shared" si="132"/>
        <v>136</v>
      </c>
      <c r="BP244" s="20">
        <v>784</v>
      </c>
      <c r="BQ244" s="20">
        <v>307</v>
      </c>
      <c r="BR244" s="20">
        <f t="shared" si="133"/>
        <v>477</v>
      </c>
      <c r="BS244" s="34"/>
    </row>
    <row r="245" spans="1:71" s="2" customFormat="1" ht="12.95" customHeight="1">
      <c r="A245" s="3">
        <v>2012</v>
      </c>
      <c r="B245" s="38" t="s">
        <v>49</v>
      </c>
      <c r="C245" s="25">
        <f>+MITRE[[#This Row],[Trenes Puntuales]]/MITRE[[#This Row],[Trenes Programados]]</f>
        <v>0.24708464809987651</v>
      </c>
      <c r="D245" s="25">
        <f>+MITRE[[#This Row],[Trenes Puntuales]]/MITRE[[#This Row],[Trenes Corridos]]</f>
        <v>0.33758200562324275</v>
      </c>
      <c r="E245" s="25">
        <f>+MITRE[[#This Row],[Trenes Corridos]]/MITRE[[#This Row],[Trenes Programados]]</f>
        <v>0.7319248182192345</v>
      </c>
      <c r="F245" s="27">
        <f t="shared" si="100"/>
        <v>14578</v>
      </c>
      <c r="G245" s="27">
        <f t="shared" si="101"/>
        <v>3908</v>
      </c>
      <c r="H245" s="27">
        <f t="shared" si="102"/>
        <v>10670</v>
      </c>
      <c r="I245" s="27">
        <f t="shared" si="103"/>
        <v>3602</v>
      </c>
      <c r="J245" s="27">
        <f t="shared" si="104"/>
        <v>7068</v>
      </c>
      <c r="K245" s="27"/>
      <c r="L245" s="4"/>
      <c r="M245" s="29">
        <v>2012</v>
      </c>
      <c r="N245" s="38" t="s">
        <v>49</v>
      </c>
      <c r="O245" s="35">
        <f>+Tabla4[[#This Row],[Trenes Puntuales]]/Tabla4[[#This Row],[Trenes Programados]]</f>
        <v>0.15789473684210525</v>
      </c>
      <c r="P245" s="35">
        <f>+Tabla4[[#This Row],[Trenes Puntuales]]/Tabla4[[#This Row],[Trenes Corridos]]</f>
        <v>0.2481536189069424</v>
      </c>
      <c r="Q245" s="35">
        <f>+Tabla4[[#This Row],[Trenes Corridos]]/Tabla4[[#This Row],[Trenes Programados]]</f>
        <v>0.63627819548872178</v>
      </c>
      <c r="R245" s="20">
        <v>5320</v>
      </c>
      <c r="S245" s="27">
        <f t="shared" si="124"/>
        <v>1935</v>
      </c>
      <c r="T245" s="20">
        <v>3385</v>
      </c>
      <c r="U245" s="20">
        <v>840</v>
      </c>
      <c r="V245" s="20">
        <f t="shared" si="125"/>
        <v>2545</v>
      </c>
      <c r="W245" s="20"/>
      <c r="X245" s="5"/>
      <c r="Y245" s="29">
        <v>2012</v>
      </c>
      <c r="Z245" s="38" t="s">
        <v>49</v>
      </c>
      <c r="AA245" s="35">
        <f>+Tabla5[[#This Row],[Trenes Puntuales]]/Tabla5[[#This Row],[Trenes Programados]]</f>
        <v>0.29983602717263996</v>
      </c>
      <c r="AB245" s="35">
        <f>+Tabla5[[#This Row],[Trenes Puntuales]]/Tabla5[[#This Row],[Trenes Corridos]]</f>
        <v>0.34390112842557763</v>
      </c>
      <c r="AC245" s="35">
        <f>+Tabla5[[#This Row],[Trenes Corridos]]/Tabla5[[#This Row],[Trenes Programados]]</f>
        <v>0.87186694776294216</v>
      </c>
      <c r="AD245" s="20">
        <v>4269</v>
      </c>
      <c r="AE245" s="27">
        <f t="shared" si="126"/>
        <v>547</v>
      </c>
      <c r="AF245" s="20">
        <v>3722</v>
      </c>
      <c r="AG245" s="20">
        <v>1280</v>
      </c>
      <c r="AH245" s="20">
        <f t="shared" si="127"/>
        <v>2442</v>
      </c>
      <c r="AI245" s="20"/>
      <c r="AJ245" s="5"/>
      <c r="AK245" s="29">
        <v>2012</v>
      </c>
      <c r="AL245" s="38" t="s">
        <v>49</v>
      </c>
      <c r="AM245" s="35">
        <f>+Tabla6[[#This Row],[Trenes Puntuales]]/Tabla6[[#This Row],[Trenes Programados]]</f>
        <v>0.33121221762647152</v>
      </c>
      <c r="AN245" s="35">
        <f>+Tabla6[[#This Row],[Trenes Puntuales]]/Tabla6[[#This Row],[Trenes Corridos]]</f>
        <v>0.42077607113985449</v>
      </c>
      <c r="AO245" s="35">
        <f>+Tabla6[[#This Row],[Trenes Corridos]]/Tabla6[[#This Row],[Trenes Programados]]</f>
        <v>0.78714603881641743</v>
      </c>
      <c r="AP245" s="20">
        <v>3143</v>
      </c>
      <c r="AQ245" s="27">
        <f t="shared" si="128"/>
        <v>669</v>
      </c>
      <c r="AR245" s="20">
        <v>2474</v>
      </c>
      <c r="AS245" s="20">
        <v>1041</v>
      </c>
      <c r="AT245" s="20">
        <f t="shared" si="129"/>
        <v>1433</v>
      </c>
      <c r="AU245" s="20"/>
      <c r="AV245" s="5"/>
      <c r="AW245" s="29">
        <v>2012</v>
      </c>
      <c r="AX245" s="38" t="s">
        <v>49</v>
      </c>
      <c r="AY245" s="35">
        <f>+MIT_Vic_Cap[[#This Row],[Trenes Puntuales]]/MIT_Vic_Cap[[#This Row],[Trenes Programados]]</f>
        <v>0.15578947368421053</v>
      </c>
      <c r="AZ245" s="35">
        <f>+MIT_Vic_Cap[[#This Row],[Trenes Puntuales]]/MIT_Vic_Cap[[#This Row],[Trenes Corridos]]</f>
        <v>0.43274853801169588</v>
      </c>
      <c r="BA245" s="35">
        <f>+MIT_Vic_Cap[[#This Row],[Trenes Corridos]]/MIT_Vic_Cap[[#This Row],[Trenes Programados]]</f>
        <v>0.36</v>
      </c>
      <c r="BB245" s="20">
        <v>950</v>
      </c>
      <c r="BC245" s="27">
        <f t="shared" si="130"/>
        <v>608</v>
      </c>
      <c r="BD245" s="20">
        <v>342</v>
      </c>
      <c r="BE245" s="20">
        <v>148</v>
      </c>
      <c r="BF245" s="20">
        <f t="shared" si="131"/>
        <v>194</v>
      </c>
      <c r="BG245" s="20"/>
      <c r="BH245" s="5"/>
      <c r="BI245" s="29">
        <v>2012</v>
      </c>
      <c r="BJ245" s="38" t="s">
        <v>49</v>
      </c>
      <c r="BK245" s="35">
        <f>+Tabla8[[#This Row],[Trenes Puntuales]]/Tabla8[[#This Row],[Trenes Programados]]</f>
        <v>0.32700892857142855</v>
      </c>
      <c r="BL245" s="35">
        <f>+Tabla8[[#This Row],[Trenes Puntuales]]/Tabla8[[#This Row],[Trenes Corridos]]</f>
        <v>0.39223560910307897</v>
      </c>
      <c r="BM245" s="35">
        <f>+Tabla8[[#This Row],[Trenes Corridos]]/Tabla8[[#This Row],[Trenes Programados]]</f>
        <v>0.8337053571428571</v>
      </c>
      <c r="BN245" s="20">
        <v>896</v>
      </c>
      <c r="BO245" s="27">
        <f t="shared" si="132"/>
        <v>149</v>
      </c>
      <c r="BP245" s="20">
        <v>747</v>
      </c>
      <c r="BQ245" s="20">
        <v>293</v>
      </c>
      <c r="BR245" s="20">
        <f t="shared" si="133"/>
        <v>454</v>
      </c>
      <c r="BS245" s="34"/>
    </row>
    <row r="246" spans="1:71" s="2" customFormat="1" ht="12.95" customHeight="1">
      <c r="A246" s="3">
        <v>2013</v>
      </c>
      <c r="B246" s="38" t="s">
        <v>38</v>
      </c>
      <c r="C246" s="25">
        <f>+MITRE[[#This Row],[Trenes Puntuales]]/MITRE[[#This Row],[Trenes Programados]]</f>
        <v>0.30687266915290357</v>
      </c>
      <c r="D246" s="25">
        <f>+MITRE[[#This Row],[Trenes Puntuales]]/MITRE[[#This Row],[Trenes Corridos]]</f>
        <v>0.42325709561862773</v>
      </c>
      <c r="E246" s="25">
        <f>+MITRE[[#This Row],[Trenes Corridos]]/MITRE[[#This Row],[Trenes Programados]]</f>
        <v>0.72502663825253066</v>
      </c>
      <c r="F246" s="27">
        <f t="shared" si="100"/>
        <v>15016</v>
      </c>
      <c r="G246" s="27">
        <f t="shared" si="101"/>
        <v>4129</v>
      </c>
      <c r="H246" s="27">
        <f t="shared" si="102"/>
        <v>10887</v>
      </c>
      <c r="I246" s="27">
        <f t="shared" si="103"/>
        <v>4608</v>
      </c>
      <c r="J246" s="27">
        <f t="shared" si="104"/>
        <v>6279</v>
      </c>
      <c r="K246" s="27"/>
      <c r="L246" s="4"/>
      <c r="M246" s="29">
        <v>2013</v>
      </c>
      <c r="N246" s="38" t="s">
        <v>38</v>
      </c>
      <c r="O246" s="35">
        <f>+Tabla4[[#This Row],[Trenes Puntuales]]/Tabla4[[#This Row],[Trenes Programados]]</f>
        <v>0.16563636363636364</v>
      </c>
      <c r="P246" s="35">
        <f>+Tabla4[[#This Row],[Trenes Puntuales]]/Tabla4[[#This Row],[Trenes Corridos]]</f>
        <v>0.28004918536735324</v>
      </c>
      <c r="Q246" s="35">
        <f>+Tabla4[[#This Row],[Trenes Corridos]]/Tabla4[[#This Row],[Trenes Programados]]</f>
        <v>0.59145454545454546</v>
      </c>
      <c r="R246" s="20">
        <v>5500</v>
      </c>
      <c r="S246" s="27">
        <f t="shared" ref="S246:S257" si="134">R246-T246</f>
        <v>2247</v>
      </c>
      <c r="T246" s="20">
        <v>3253</v>
      </c>
      <c r="U246" s="20">
        <v>911</v>
      </c>
      <c r="V246" s="20">
        <f t="shared" ref="V246:V257" si="135">T246-U246</f>
        <v>2342</v>
      </c>
      <c r="W246" s="20"/>
      <c r="X246" s="5"/>
      <c r="Y246" s="29">
        <v>2013</v>
      </c>
      <c r="Z246" s="38" t="s">
        <v>38</v>
      </c>
      <c r="AA246" s="35">
        <f>+Tabla5[[#This Row],[Trenes Puntuales]]/Tabla5[[#This Row],[Trenes Programados]]</f>
        <v>0.39578135631662509</v>
      </c>
      <c r="AB246" s="35">
        <f>+Tabla5[[#This Row],[Trenes Puntuales]]/Tabla5[[#This Row],[Trenes Corridos]]</f>
        <v>0.46620358001602991</v>
      </c>
      <c r="AC246" s="35">
        <f>+Tabla5[[#This Row],[Trenes Corridos]]/Tabla5[[#This Row],[Trenes Programados]]</f>
        <v>0.84894533907915626</v>
      </c>
      <c r="AD246" s="20">
        <v>4409</v>
      </c>
      <c r="AE246" s="27">
        <f t="shared" ref="AE246:AE257" si="136">AD246-AF246</f>
        <v>666</v>
      </c>
      <c r="AF246" s="20">
        <v>3743</v>
      </c>
      <c r="AG246" s="20">
        <v>1745</v>
      </c>
      <c r="AH246" s="20">
        <f t="shared" ref="AH246:AH257" si="137">AF246-AG246</f>
        <v>1998</v>
      </c>
      <c r="AI246" s="20"/>
      <c r="AJ246" s="5"/>
      <c r="AK246" s="29">
        <v>2013</v>
      </c>
      <c r="AL246" s="38" t="s">
        <v>38</v>
      </c>
      <c r="AM246" s="35">
        <f>+Tabla6[[#This Row],[Trenes Puntuales]]/Tabla6[[#This Row],[Trenes Programados]]</f>
        <v>0.46228482003129889</v>
      </c>
      <c r="AN246" s="35">
        <f>+Tabla6[[#This Row],[Trenes Puntuales]]/Tabla6[[#This Row],[Trenes Corridos]]</f>
        <v>0.56829549826856485</v>
      </c>
      <c r="AO246" s="35">
        <f>+Tabla6[[#This Row],[Trenes Corridos]]/Tabla6[[#This Row],[Trenes Programados]]</f>
        <v>0.81345852895148674</v>
      </c>
      <c r="AP246" s="20">
        <v>3195</v>
      </c>
      <c r="AQ246" s="27">
        <f t="shared" ref="AQ246:AQ257" si="138">AP246-AR246</f>
        <v>596</v>
      </c>
      <c r="AR246" s="20">
        <v>2599</v>
      </c>
      <c r="AS246" s="20">
        <v>1477</v>
      </c>
      <c r="AT246" s="20">
        <f t="shared" ref="AT246:AT257" si="139">AR246-AS246</f>
        <v>1122</v>
      </c>
      <c r="AU246" s="20"/>
      <c r="AV246" s="5"/>
      <c r="AW246" s="29">
        <v>2013</v>
      </c>
      <c r="AX246" s="38" t="s">
        <v>38</v>
      </c>
      <c r="AY246" s="35">
        <f>+MIT_Vic_Cap[[#This Row],[Trenes Puntuales]]/MIT_Vic_Cap[[#This Row],[Trenes Programados]]</f>
        <v>0.22540983606557377</v>
      </c>
      <c r="AZ246" s="35">
        <f>+MIT_Vic_Cap[[#This Row],[Trenes Puntuales]]/MIT_Vic_Cap[[#This Row],[Trenes Corridos]]</f>
        <v>0.48997772828507796</v>
      </c>
      <c r="BA246" s="35">
        <f>+MIT_Vic_Cap[[#This Row],[Trenes Corridos]]/MIT_Vic_Cap[[#This Row],[Trenes Programados]]</f>
        <v>0.46004098360655737</v>
      </c>
      <c r="BB246" s="20">
        <v>976</v>
      </c>
      <c r="BC246" s="27">
        <f t="shared" ref="BC246:BC257" si="140">BB246-BD246</f>
        <v>527</v>
      </c>
      <c r="BD246" s="20">
        <v>449</v>
      </c>
      <c r="BE246" s="20">
        <v>220</v>
      </c>
      <c r="BF246" s="20">
        <f t="shared" ref="BF246:BF257" si="141">BD246-BE246</f>
        <v>229</v>
      </c>
      <c r="BG246" s="20"/>
      <c r="BH246" s="5"/>
      <c r="BI246" s="29">
        <v>2013</v>
      </c>
      <c r="BJ246" s="38" t="s">
        <v>38</v>
      </c>
      <c r="BK246" s="35">
        <f>+Tabla8[[#This Row],[Trenes Puntuales]]/Tabla8[[#This Row],[Trenes Programados]]</f>
        <v>0.27243589743589741</v>
      </c>
      <c r="BL246" s="35">
        <f>+Tabla8[[#This Row],[Trenes Puntuales]]/Tabla8[[#This Row],[Trenes Corridos]]</f>
        <v>0.302491103202847</v>
      </c>
      <c r="BM246" s="35">
        <f>+Tabla8[[#This Row],[Trenes Corridos]]/Tabla8[[#This Row],[Trenes Programados]]</f>
        <v>0.90064102564102566</v>
      </c>
      <c r="BN246" s="20">
        <v>936</v>
      </c>
      <c r="BO246" s="27">
        <f t="shared" ref="BO246:BO257" si="142">BN246-BP246</f>
        <v>93</v>
      </c>
      <c r="BP246" s="20">
        <v>843</v>
      </c>
      <c r="BQ246" s="20">
        <v>255</v>
      </c>
      <c r="BR246" s="20">
        <f t="shared" ref="BR246:BR257" si="143">BP246-BQ246</f>
        <v>588</v>
      </c>
      <c r="BS246" s="34"/>
    </row>
    <row r="247" spans="1:71" s="2" customFormat="1" ht="12.95" customHeight="1">
      <c r="A247" s="3">
        <v>2013</v>
      </c>
      <c r="B247" s="38" t="s">
        <v>39</v>
      </c>
      <c r="C247" s="25">
        <f>+MITRE[[#This Row],[Trenes Puntuales]]/MITRE[[#This Row],[Trenes Programados]]</f>
        <v>0.18303876204202382</v>
      </c>
      <c r="D247" s="25">
        <f>+MITRE[[#This Row],[Trenes Puntuales]]/MITRE[[#This Row],[Trenes Corridos]]</f>
        <v>0.27352074359555656</v>
      </c>
      <c r="E247" s="25">
        <f>+MITRE[[#This Row],[Trenes Corridos]]/MITRE[[#This Row],[Trenes Programados]]</f>
        <v>0.66919517560494579</v>
      </c>
      <c r="F247" s="27">
        <f t="shared" si="100"/>
        <v>13183</v>
      </c>
      <c r="G247" s="27">
        <f t="shared" si="101"/>
        <v>4361</v>
      </c>
      <c r="H247" s="27">
        <f t="shared" si="102"/>
        <v>8822</v>
      </c>
      <c r="I247" s="27">
        <f t="shared" si="103"/>
        <v>2413</v>
      </c>
      <c r="J247" s="27">
        <f t="shared" si="104"/>
        <v>6409</v>
      </c>
      <c r="K247" s="27"/>
      <c r="L247" s="4"/>
      <c r="M247" s="29">
        <v>2013</v>
      </c>
      <c r="N247" s="38" t="s">
        <v>39</v>
      </c>
      <c r="O247" s="35">
        <f>+Tabla4[[#This Row],[Trenes Puntuales]]/Tabla4[[#This Row],[Trenes Programados]]</f>
        <v>9.1060291060291065E-2</v>
      </c>
      <c r="P247" s="35">
        <f>+Tabla4[[#This Row],[Trenes Puntuales]]/Tabla4[[#This Row],[Trenes Corridos]]</f>
        <v>0.15626114876917588</v>
      </c>
      <c r="Q247" s="35">
        <f>+Tabla4[[#This Row],[Trenes Corridos]]/Tabla4[[#This Row],[Trenes Programados]]</f>
        <v>0.58274428274428269</v>
      </c>
      <c r="R247" s="20">
        <v>4810</v>
      </c>
      <c r="S247" s="27">
        <f t="shared" si="134"/>
        <v>2007</v>
      </c>
      <c r="T247" s="20">
        <v>2803</v>
      </c>
      <c r="U247" s="20">
        <v>438</v>
      </c>
      <c r="V247" s="20">
        <f t="shared" si="135"/>
        <v>2365</v>
      </c>
      <c r="W247" s="20"/>
      <c r="X247" s="5"/>
      <c r="Y247" s="29">
        <v>2013</v>
      </c>
      <c r="Z247" s="38" t="s">
        <v>39</v>
      </c>
      <c r="AA247" s="35">
        <f>+Tabla5[[#This Row],[Trenes Puntuales]]/Tabla5[[#This Row],[Trenes Programados]]</f>
        <v>0.19808389435525633</v>
      </c>
      <c r="AB247" s="35">
        <f>+Tabla5[[#This Row],[Trenes Puntuales]]/Tabla5[[#This Row],[Trenes Corridos]]</f>
        <v>0.25783619817997977</v>
      </c>
      <c r="AC247" s="35">
        <f>+Tabla5[[#This Row],[Trenes Corridos]]/Tabla5[[#This Row],[Trenes Programados]]</f>
        <v>0.76825479026411181</v>
      </c>
      <c r="AD247" s="20">
        <v>3862</v>
      </c>
      <c r="AE247" s="27">
        <f t="shared" si="136"/>
        <v>895</v>
      </c>
      <c r="AF247" s="20">
        <v>2967</v>
      </c>
      <c r="AG247" s="20">
        <v>765</v>
      </c>
      <c r="AH247" s="20">
        <f t="shared" si="137"/>
        <v>2202</v>
      </c>
      <c r="AI247" s="20"/>
      <c r="AJ247" s="5"/>
      <c r="AK247" s="29">
        <v>2013</v>
      </c>
      <c r="AL247" s="38" t="s">
        <v>39</v>
      </c>
      <c r="AM247" s="35">
        <f>+Tabla6[[#This Row],[Trenes Puntuales]]/Tabla6[[#This Row],[Trenes Programados]]</f>
        <v>0.29415904292751582</v>
      </c>
      <c r="AN247" s="35">
        <f>+Tabla6[[#This Row],[Trenes Puntuales]]/Tabla6[[#This Row],[Trenes Corridos]]</f>
        <v>0.42031171442936149</v>
      </c>
      <c r="AO247" s="35">
        <f>+Tabla6[[#This Row],[Trenes Corridos]]/Tabla6[[#This Row],[Trenes Programados]]</f>
        <v>0.69985925404644611</v>
      </c>
      <c r="AP247" s="20">
        <v>2842</v>
      </c>
      <c r="AQ247" s="27">
        <f t="shared" si="138"/>
        <v>853</v>
      </c>
      <c r="AR247" s="20">
        <v>1989</v>
      </c>
      <c r="AS247" s="20">
        <v>836</v>
      </c>
      <c r="AT247" s="20">
        <f t="shared" si="139"/>
        <v>1153</v>
      </c>
      <c r="AU247" s="20"/>
      <c r="AV247" s="5"/>
      <c r="AW247" s="29">
        <v>2013</v>
      </c>
      <c r="AX247" s="38" t="s">
        <v>39</v>
      </c>
      <c r="AY247" s="35">
        <f>+MIT_Vic_Cap[[#This Row],[Trenes Puntuales]]/MIT_Vic_Cap[[#This Row],[Trenes Programados]]</f>
        <v>0.22183507549361209</v>
      </c>
      <c r="AZ247" s="35">
        <f>+MIT_Vic_Cap[[#This Row],[Trenes Puntuales]]/MIT_Vic_Cap[[#This Row],[Trenes Corridos]]</f>
        <v>0.57357357357357353</v>
      </c>
      <c r="BA247" s="35">
        <f>+MIT_Vic_Cap[[#This Row],[Trenes Corridos]]/MIT_Vic_Cap[[#This Row],[Trenes Programados]]</f>
        <v>0.38675958188153309</v>
      </c>
      <c r="BB247" s="20">
        <v>861</v>
      </c>
      <c r="BC247" s="27">
        <f t="shared" si="140"/>
        <v>528</v>
      </c>
      <c r="BD247" s="20">
        <v>333</v>
      </c>
      <c r="BE247" s="20">
        <v>191</v>
      </c>
      <c r="BF247" s="20">
        <f t="shared" si="141"/>
        <v>142</v>
      </c>
      <c r="BG247" s="20"/>
      <c r="BH247" s="5"/>
      <c r="BI247" s="29">
        <v>2013</v>
      </c>
      <c r="BJ247" s="38" t="s">
        <v>39</v>
      </c>
      <c r="BK247" s="35">
        <f>+Tabla8[[#This Row],[Trenes Puntuales]]/Tabla8[[#This Row],[Trenes Programados]]</f>
        <v>0.22648514851485149</v>
      </c>
      <c r="BL247" s="35">
        <f>+Tabla8[[#This Row],[Trenes Puntuales]]/Tabla8[[#This Row],[Trenes Corridos]]</f>
        <v>0.25068493150684934</v>
      </c>
      <c r="BM247" s="35">
        <f>+Tabla8[[#This Row],[Trenes Corridos]]/Tabla8[[#This Row],[Trenes Programados]]</f>
        <v>0.90346534653465349</v>
      </c>
      <c r="BN247" s="20">
        <v>808</v>
      </c>
      <c r="BO247" s="27">
        <f t="shared" si="142"/>
        <v>78</v>
      </c>
      <c r="BP247" s="20">
        <v>730</v>
      </c>
      <c r="BQ247" s="20">
        <v>183</v>
      </c>
      <c r="BR247" s="20">
        <f t="shared" si="143"/>
        <v>547</v>
      </c>
      <c r="BS247" s="34"/>
    </row>
    <row r="248" spans="1:71" s="2" customFormat="1" ht="12.95" customHeight="1">
      <c r="A248" s="3">
        <v>2013</v>
      </c>
      <c r="B248" s="38" t="s">
        <v>40</v>
      </c>
      <c r="C248" s="25">
        <f>+MITRE[[#This Row],[Trenes Puntuales]]/MITRE[[#This Row],[Trenes Programados]]</f>
        <v>0.16965368548713111</v>
      </c>
      <c r="D248" s="25">
        <f>+MITRE[[#This Row],[Trenes Puntuales]]/MITRE[[#This Row],[Trenes Corridos]]</f>
        <v>0.25408678102926335</v>
      </c>
      <c r="E248" s="25">
        <f>+MITRE[[#This Row],[Trenes Corridos]]/MITRE[[#This Row],[Trenes Programados]]</f>
        <v>0.66769977092036115</v>
      </c>
      <c r="F248" s="27">
        <f t="shared" si="100"/>
        <v>14842</v>
      </c>
      <c r="G248" s="27">
        <f t="shared" si="101"/>
        <v>4932</v>
      </c>
      <c r="H248" s="27">
        <f t="shared" si="102"/>
        <v>9910</v>
      </c>
      <c r="I248" s="27">
        <f t="shared" si="103"/>
        <v>2518</v>
      </c>
      <c r="J248" s="27">
        <f t="shared" si="104"/>
        <v>7392</v>
      </c>
      <c r="K248" s="27"/>
      <c r="L248" s="4"/>
      <c r="M248" s="29">
        <v>2013</v>
      </c>
      <c r="N248" s="38" t="s">
        <v>40</v>
      </c>
      <c r="O248" s="35">
        <f>+Tabla4[[#This Row],[Trenes Puntuales]]/Tabla4[[#This Row],[Trenes Programados]]</f>
        <v>4.0221402214022144E-2</v>
      </c>
      <c r="P248" s="35">
        <f>+Tabla4[[#This Row],[Trenes Puntuales]]/Tabla4[[#This Row],[Trenes Corridos]]</f>
        <v>7.220934084133819E-2</v>
      </c>
      <c r="Q248" s="35">
        <f>+Tabla4[[#This Row],[Trenes Corridos]]/Tabla4[[#This Row],[Trenes Programados]]</f>
        <v>0.55701107011070106</v>
      </c>
      <c r="R248" s="20">
        <v>5420</v>
      </c>
      <c r="S248" s="27">
        <f t="shared" si="134"/>
        <v>2401</v>
      </c>
      <c r="T248" s="20">
        <v>3019</v>
      </c>
      <c r="U248" s="20">
        <v>218</v>
      </c>
      <c r="V248" s="20">
        <f t="shared" si="135"/>
        <v>2801</v>
      </c>
      <c r="W248" s="20"/>
      <c r="X248" s="5"/>
      <c r="Y248" s="29">
        <v>2013</v>
      </c>
      <c r="Z248" s="38" t="s">
        <v>40</v>
      </c>
      <c r="AA248" s="35">
        <f>+Tabla5[[#This Row],[Trenes Puntuales]]/Tabla5[[#This Row],[Trenes Programados]]</f>
        <v>0.2099105299380592</v>
      </c>
      <c r="AB248" s="35">
        <f>+Tabla5[[#This Row],[Trenes Puntuales]]/Tabla5[[#This Row],[Trenes Corridos]]</f>
        <v>0.26498696785403997</v>
      </c>
      <c r="AC248" s="35">
        <f>+Tabla5[[#This Row],[Trenes Corridos]]/Tabla5[[#This Row],[Trenes Programados]]</f>
        <v>0.79215416379903647</v>
      </c>
      <c r="AD248" s="20">
        <v>4359</v>
      </c>
      <c r="AE248" s="27">
        <f t="shared" si="136"/>
        <v>906</v>
      </c>
      <c r="AF248" s="20">
        <v>3453</v>
      </c>
      <c r="AG248" s="20">
        <v>915</v>
      </c>
      <c r="AH248" s="20">
        <f t="shared" si="137"/>
        <v>2538</v>
      </c>
      <c r="AI248" s="20"/>
      <c r="AJ248" s="5"/>
      <c r="AK248" s="29">
        <v>2013</v>
      </c>
      <c r="AL248" s="38" t="s">
        <v>40</v>
      </c>
      <c r="AM248" s="35">
        <f>+Tabla6[[#This Row],[Trenes Puntuales]]/Tabla6[[#This Row],[Trenes Programados]]</f>
        <v>0.29078906004401134</v>
      </c>
      <c r="AN248" s="35">
        <f>+Tabla6[[#This Row],[Trenes Puntuales]]/Tabla6[[#This Row],[Trenes Corridos]]</f>
        <v>0.40077989601386482</v>
      </c>
      <c r="AO248" s="35">
        <f>+Tabla6[[#This Row],[Trenes Corridos]]/Tabla6[[#This Row],[Trenes Programados]]</f>
        <v>0.7255580006287331</v>
      </c>
      <c r="AP248" s="20">
        <v>3181</v>
      </c>
      <c r="AQ248" s="27">
        <f t="shared" si="138"/>
        <v>873</v>
      </c>
      <c r="AR248" s="20">
        <v>2308</v>
      </c>
      <c r="AS248" s="20">
        <v>925</v>
      </c>
      <c r="AT248" s="20">
        <f t="shared" si="139"/>
        <v>1383</v>
      </c>
      <c r="AU248" s="20"/>
      <c r="AV248" s="5"/>
      <c r="AW248" s="29">
        <v>2013</v>
      </c>
      <c r="AX248" s="38" t="s">
        <v>40</v>
      </c>
      <c r="AY248" s="35">
        <f>+MIT_Vic_Cap[[#This Row],[Trenes Puntuales]]/MIT_Vic_Cap[[#This Row],[Trenes Programados]]</f>
        <v>0.22643442622950818</v>
      </c>
      <c r="AZ248" s="35">
        <f>+MIT_Vic_Cap[[#This Row],[Trenes Puntuales]]/MIT_Vic_Cap[[#This Row],[Trenes Corridos]]</f>
        <v>0.6155988857938719</v>
      </c>
      <c r="BA248" s="35">
        <f>+MIT_Vic_Cap[[#This Row],[Trenes Corridos]]/MIT_Vic_Cap[[#This Row],[Trenes Programados]]</f>
        <v>0.36782786885245899</v>
      </c>
      <c r="BB248" s="20">
        <v>976</v>
      </c>
      <c r="BC248" s="27">
        <f t="shared" si="140"/>
        <v>617</v>
      </c>
      <c r="BD248" s="20">
        <v>359</v>
      </c>
      <c r="BE248" s="20">
        <v>221</v>
      </c>
      <c r="BF248" s="20">
        <f t="shared" si="141"/>
        <v>138</v>
      </c>
      <c r="BG248" s="20"/>
      <c r="BH248" s="5"/>
      <c r="BI248" s="29">
        <v>2013</v>
      </c>
      <c r="BJ248" s="38" t="s">
        <v>40</v>
      </c>
      <c r="BK248" s="35">
        <f>+Tabla8[[#This Row],[Trenes Puntuales]]/Tabla8[[#This Row],[Trenes Programados]]</f>
        <v>0.26379690949227375</v>
      </c>
      <c r="BL248" s="35">
        <f>+Tabla8[[#This Row],[Trenes Puntuales]]/Tabla8[[#This Row],[Trenes Corridos]]</f>
        <v>0.30998702983138782</v>
      </c>
      <c r="BM248" s="35">
        <f>+Tabla8[[#This Row],[Trenes Corridos]]/Tabla8[[#This Row],[Trenes Programados]]</f>
        <v>0.85099337748344372</v>
      </c>
      <c r="BN248" s="20">
        <v>906</v>
      </c>
      <c r="BO248" s="27">
        <f t="shared" si="142"/>
        <v>135</v>
      </c>
      <c r="BP248" s="20">
        <v>771</v>
      </c>
      <c r="BQ248" s="20">
        <v>239</v>
      </c>
      <c r="BR248" s="20">
        <f t="shared" si="143"/>
        <v>532</v>
      </c>
      <c r="BS248" s="34"/>
    </row>
    <row r="249" spans="1:71" s="2" customFormat="1" ht="12.95" customHeight="1">
      <c r="A249" s="3">
        <v>2013</v>
      </c>
      <c r="B249" s="38" t="s">
        <v>41</v>
      </c>
      <c r="C249" s="25">
        <f>+MITRE[[#This Row],[Trenes Puntuales]]/MITRE[[#This Row],[Trenes Programados]]</f>
        <v>0.37573369109508636</v>
      </c>
      <c r="D249" s="25">
        <f>+MITRE[[#This Row],[Trenes Puntuales]]/MITRE[[#This Row],[Trenes Corridos]]</f>
        <v>0.51422997475327059</v>
      </c>
      <c r="E249" s="25">
        <f>+MITRE[[#This Row],[Trenes Corridos]]/MITRE[[#This Row],[Trenes Programados]]</f>
        <v>0.73067248029515341</v>
      </c>
      <c r="F249" s="27">
        <f t="shared" si="100"/>
        <v>11926</v>
      </c>
      <c r="G249" s="27">
        <f t="shared" si="101"/>
        <v>3212</v>
      </c>
      <c r="H249" s="27">
        <f t="shared" si="102"/>
        <v>8714</v>
      </c>
      <c r="I249" s="27">
        <f t="shared" si="103"/>
        <v>4481</v>
      </c>
      <c r="J249" s="27">
        <f t="shared" si="104"/>
        <v>4233</v>
      </c>
      <c r="K249" s="27"/>
      <c r="L249" s="4"/>
      <c r="M249" s="29">
        <v>2013</v>
      </c>
      <c r="N249" s="38" t="s">
        <v>41</v>
      </c>
      <c r="O249" s="35">
        <f>+Tabla4[[#This Row],[Trenes Puntuales]]/Tabla4[[#This Row],[Trenes Programados]]</f>
        <v>0.33317096931320017</v>
      </c>
      <c r="P249" s="35">
        <f>+Tabla4[[#This Row],[Trenes Puntuales]]/Tabla4[[#This Row],[Trenes Corridos]]</f>
        <v>0.4935064935064935</v>
      </c>
      <c r="Q249" s="35">
        <f>+Tabla4[[#This Row],[Trenes Corridos]]/Tabla4[[#This Row],[Trenes Programados]]</f>
        <v>0.67510959571358986</v>
      </c>
      <c r="R249" s="20">
        <v>4106</v>
      </c>
      <c r="S249" s="27">
        <f t="shared" si="134"/>
        <v>1334</v>
      </c>
      <c r="T249" s="20">
        <v>2772</v>
      </c>
      <c r="U249" s="20">
        <v>1368</v>
      </c>
      <c r="V249" s="20">
        <f t="shared" si="135"/>
        <v>1404</v>
      </c>
      <c r="W249" s="20"/>
      <c r="X249" s="5"/>
      <c r="Y249" s="29">
        <v>2013</v>
      </c>
      <c r="Z249" s="38" t="s">
        <v>41</v>
      </c>
      <c r="AA249" s="35">
        <f>+Tabla5[[#This Row],[Trenes Puntuales]]/Tabla5[[#This Row],[Trenes Programados]]</f>
        <v>0.44302721088435376</v>
      </c>
      <c r="AB249" s="35">
        <f>+Tabla5[[#This Row],[Trenes Puntuales]]/Tabla5[[#This Row],[Trenes Corridos]]</f>
        <v>0.51944167497507476</v>
      </c>
      <c r="AC249" s="35">
        <f>+Tabla5[[#This Row],[Trenes Corridos]]/Tabla5[[#This Row],[Trenes Programados]]</f>
        <v>0.85289115646258506</v>
      </c>
      <c r="AD249" s="20">
        <v>3528</v>
      </c>
      <c r="AE249" s="27">
        <f t="shared" si="136"/>
        <v>519</v>
      </c>
      <c r="AF249" s="20">
        <v>3009</v>
      </c>
      <c r="AG249" s="20">
        <v>1563</v>
      </c>
      <c r="AH249" s="20">
        <f t="shared" si="137"/>
        <v>1446</v>
      </c>
      <c r="AI249" s="20"/>
      <c r="AJ249" s="5"/>
      <c r="AK249" s="29">
        <v>2013</v>
      </c>
      <c r="AL249" s="38" t="s">
        <v>41</v>
      </c>
      <c r="AM249" s="35">
        <f>+Tabla6[[#This Row],[Trenes Puntuales]]/Tabla6[[#This Row],[Trenes Programados]]</f>
        <v>0.46571428571428569</v>
      </c>
      <c r="AN249" s="35">
        <f>+Tabla6[[#This Row],[Trenes Puntuales]]/Tabla6[[#This Row],[Trenes Corridos]]</f>
        <v>0.63073521282476508</v>
      </c>
      <c r="AO249" s="35">
        <f>+Tabla6[[#This Row],[Trenes Corridos]]/Tabla6[[#This Row],[Trenes Programados]]</f>
        <v>0.73836734693877548</v>
      </c>
      <c r="AP249" s="20">
        <v>2450</v>
      </c>
      <c r="AQ249" s="27">
        <f t="shared" si="138"/>
        <v>641</v>
      </c>
      <c r="AR249" s="20">
        <v>1809</v>
      </c>
      <c r="AS249" s="20">
        <v>1141</v>
      </c>
      <c r="AT249" s="20">
        <f t="shared" si="139"/>
        <v>668</v>
      </c>
      <c r="AU249" s="20"/>
      <c r="AV249" s="5"/>
      <c r="AW249" s="29">
        <v>2013</v>
      </c>
      <c r="AX249" s="38" t="s">
        <v>41</v>
      </c>
      <c r="AY249" s="35">
        <f>+MIT_Vic_Cap[[#This Row],[Trenes Puntuales]]/MIT_Vic_Cap[[#This Row],[Trenes Programados]]</f>
        <v>0.21019108280254778</v>
      </c>
      <c r="AZ249" s="35">
        <f>+MIT_Vic_Cap[[#This Row],[Trenes Puntuales]]/MIT_Vic_Cap[[#This Row],[Trenes Corridos]]</f>
        <v>0.53083109919571048</v>
      </c>
      <c r="BA249" s="35">
        <f>+MIT_Vic_Cap[[#This Row],[Trenes Corridos]]/MIT_Vic_Cap[[#This Row],[Trenes Programados]]</f>
        <v>0.39596602972399153</v>
      </c>
      <c r="BB249" s="20">
        <v>942</v>
      </c>
      <c r="BC249" s="27">
        <f t="shared" si="140"/>
        <v>569</v>
      </c>
      <c r="BD249" s="20">
        <v>373</v>
      </c>
      <c r="BE249" s="20">
        <v>198</v>
      </c>
      <c r="BF249" s="20">
        <f t="shared" si="141"/>
        <v>175</v>
      </c>
      <c r="BG249" s="20"/>
      <c r="BH249" s="5"/>
      <c r="BI249" s="29">
        <v>2013</v>
      </c>
      <c r="BJ249" s="38" t="s">
        <v>41</v>
      </c>
      <c r="BK249" s="35">
        <f>+Tabla8[[#This Row],[Trenes Puntuales]]/Tabla8[[#This Row],[Trenes Programados]]</f>
        <v>0.23444444444444446</v>
      </c>
      <c r="BL249" s="35">
        <f>+Tabla8[[#This Row],[Trenes Puntuales]]/Tabla8[[#This Row],[Trenes Corridos]]</f>
        <v>0.28095872170439412</v>
      </c>
      <c r="BM249" s="35">
        <f>+Tabla8[[#This Row],[Trenes Corridos]]/Tabla8[[#This Row],[Trenes Programados]]</f>
        <v>0.83444444444444443</v>
      </c>
      <c r="BN249" s="20">
        <v>900</v>
      </c>
      <c r="BO249" s="27">
        <f t="shared" si="142"/>
        <v>149</v>
      </c>
      <c r="BP249" s="20">
        <v>751</v>
      </c>
      <c r="BQ249" s="20">
        <v>211</v>
      </c>
      <c r="BR249" s="20">
        <f t="shared" si="143"/>
        <v>540</v>
      </c>
      <c r="BS249" s="34"/>
    </row>
    <row r="250" spans="1:71" s="2" customFormat="1" ht="12.95" customHeight="1">
      <c r="A250" s="3">
        <v>2013</v>
      </c>
      <c r="B250" s="38" t="s">
        <v>42</v>
      </c>
      <c r="C250" s="25">
        <f>+MITRE[[#This Row],[Trenes Puntuales]]/MITRE[[#This Row],[Trenes Programados]]</f>
        <v>0.6858101629913711</v>
      </c>
      <c r="D250" s="25">
        <f>+MITRE[[#This Row],[Trenes Puntuales]]/MITRE[[#This Row],[Trenes Corridos]]</f>
        <v>0.85164900583402781</v>
      </c>
      <c r="E250" s="25">
        <f>+MITRE[[#This Row],[Trenes Corridos]]/MITRE[[#This Row],[Trenes Programados]]</f>
        <v>0.80527325023969321</v>
      </c>
      <c r="F250" s="27">
        <f t="shared" si="100"/>
        <v>10430</v>
      </c>
      <c r="G250" s="27">
        <f t="shared" si="101"/>
        <v>2031</v>
      </c>
      <c r="H250" s="27">
        <f t="shared" si="102"/>
        <v>8399</v>
      </c>
      <c r="I250" s="27">
        <f t="shared" si="103"/>
        <v>7153</v>
      </c>
      <c r="J250" s="27">
        <f t="shared" si="104"/>
        <v>1246</v>
      </c>
      <c r="K250" s="27"/>
      <c r="L250" s="4"/>
      <c r="M250" s="29">
        <v>2013</v>
      </c>
      <c r="N250" s="38" t="s">
        <v>42</v>
      </c>
      <c r="O250" s="35">
        <f>+Tabla4[[#This Row],[Trenes Puntuales]]/Tabla4[[#This Row],[Trenes Programados]]</f>
        <v>0.71045576407506705</v>
      </c>
      <c r="P250" s="35">
        <f>+Tabla4[[#This Row],[Trenes Puntuales]]/Tabla4[[#This Row],[Trenes Corridos]]</f>
        <v>0.89058999253174009</v>
      </c>
      <c r="Q250" s="35">
        <f>+Tabla4[[#This Row],[Trenes Corridos]]/Tabla4[[#This Row],[Trenes Programados]]</f>
        <v>0.79773607387548406</v>
      </c>
      <c r="R250" s="20">
        <v>3357</v>
      </c>
      <c r="S250" s="27">
        <f t="shared" si="134"/>
        <v>679</v>
      </c>
      <c r="T250" s="20">
        <v>2678</v>
      </c>
      <c r="U250" s="20">
        <v>2385</v>
      </c>
      <c r="V250" s="20">
        <f t="shared" si="135"/>
        <v>293</v>
      </c>
      <c r="W250" s="20"/>
      <c r="X250" s="5"/>
      <c r="Y250" s="29">
        <v>2013</v>
      </c>
      <c r="Z250" s="38" t="s">
        <v>42</v>
      </c>
      <c r="AA250" s="35">
        <f>+Tabla5[[#This Row],[Trenes Puntuales]]/Tabla5[[#This Row],[Trenes Programados]]</f>
        <v>0.88803582853486884</v>
      </c>
      <c r="AB250" s="35">
        <f>+Tabla5[[#This Row],[Trenes Puntuales]]/Tabla5[[#This Row],[Trenes Corridos]]</f>
        <v>0.92379367720465888</v>
      </c>
      <c r="AC250" s="35">
        <f>+Tabla5[[#This Row],[Trenes Corridos]]/Tabla5[[#This Row],[Trenes Programados]]</f>
        <v>0.96129238643634041</v>
      </c>
      <c r="AD250" s="20">
        <v>3126</v>
      </c>
      <c r="AE250" s="27">
        <f t="shared" si="136"/>
        <v>121</v>
      </c>
      <c r="AF250" s="20">
        <v>3005</v>
      </c>
      <c r="AG250" s="20">
        <v>2776</v>
      </c>
      <c r="AH250" s="20">
        <f t="shared" si="137"/>
        <v>229</v>
      </c>
      <c r="AI250" s="20"/>
      <c r="AJ250" s="5"/>
      <c r="AK250" s="29">
        <v>2013</v>
      </c>
      <c r="AL250" s="38" t="s">
        <v>42</v>
      </c>
      <c r="AM250" s="35">
        <f>+Tabla6[[#This Row],[Trenes Puntuales]]/Tabla6[[#This Row],[Trenes Programados]]</f>
        <v>0.82367632367632371</v>
      </c>
      <c r="AN250" s="35">
        <f>+Tabla6[[#This Row],[Trenes Puntuales]]/Tabla6[[#This Row],[Trenes Corridos]]</f>
        <v>0.95262853841709993</v>
      </c>
      <c r="AO250" s="35">
        <f>+Tabla6[[#This Row],[Trenes Corridos]]/Tabla6[[#This Row],[Trenes Programados]]</f>
        <v>0.86463536463536461</v>
      </c>
      <c r="AP250" s="20">
        <v>2002</v>
      </c>
      <c r="AQ250" s="27">
        <f t="shared" si="138"/>
        <v>271</v>
      </c>
      <c r="AR250" s="20">
        <v>1731</v>
      </c>
      <c r="AS250" s="20">
        <v>1649</v>
      </c>
      <c r="AT250" s="20">
        <f t="shared" si="139"/>
        <v>82</v>
      </c>
      <c r="AU250" s="20"/>
      <c r="AV250" s="5"/>
      <c r="AW250" s="29">
        <v>2013</v>
      </c>
      <c r="AX250" s="38" t="s">
        <v>42</v>
      </c>
      <c r="AY250" s="35">
        <f>+MIT_Vic_Cap[[#This Row],[Trenes Puntuales]]/MIT_Vic_Cap[[#This Row],[Trenes Programados]]</f>
        <v>0.1385237613751264</v>
      </c>
      <c r="AZ250" s="35">
        <f>+MIT_Vic_Cap[[#This Row],[Trenes Puntuales]]/MIT_Vic_Cap[[#This Row],[Trenes Corridos]]</f>
        <v>0.56378600823045266</v>
      </c>
      <c r="BA250" s="35">
        <f>+MIT_Vic_Cap[[#This Row],[Trenes Corridos]]/MIT_Vic_Cap[[#This Row],[Trenes Programados]]</f>
        <v>0.24570273003033366</v>
      </c>
      <c r="BB250" s="20">
        <v>989</v>
      </c>
      <c r="BC250" s="27">
        <f t="shared" si="140"/>
        <v>746</v>
      </c>
      <c r="BD250" s="20">
        <v>243</v>
      </c>
      <c r="BE250" s="20">
        <v>137</v>
      </c>
      <c r="BF250" s="20">
        <f t="shared" si="141"/>
        <v>106</v>
      </c>
      <c r="BG250" s="20"/>
      <c r="BH250" s="5"/>
      <c r="BI250" s="29">
        <v>2013</v>
      </c>
      <c r="BJ250" s="38" t="s">
        <v>42</v>
      </c>
      <c r="BK250" s="35">
        <f>+Tabla8[[#This Row],[Trenes Puntuales]]/Tabla8[[#This Row],[Trenes Programados]]</f>
        <v>0.21548117154811716</v>
      </c>
      <c r="BL250" s="35">
        <f>+Tabla8[[#This Row],[Trenes Puntuales]]/Tabla8[[#This Row],[Trenes Corridos]]</f>
        <v>0.27762803234501349</v>
      </c>
      <c r="BM250" s="35">
        <f>+Tabla8[[#This Row],[Trenes Corridos]]/Tabla8[[#This Row],[Trenes Programados]]</f>
        <v>0.77615062761506282</v>
      </c>
      <c r="BN250" s="20">
        <v>956</v>
      </c>
      <c r="BO250" s="27">
        <f t="shared" si="142"/>
        <v>214</v>
      </c>
      <c r="BP250" s="20">
        <v>742</v>
      </c>
      <c r="BQ250" s="20">
        <v>206</v>
      </c>
      <c r="BR250" s="20">
        <f t="shared" si="143"/>
        <v>536</v>
      </c>
      <c r="BS250" s="34"/>
    </row>
    <row r="251" spans="1:71" s="2" customFormat="1" ht="12.95" customHeight="1">
      <c r="A251" s="3">
        <v>2013</v>
      </c>
      <c r="B251" s="38" t="s">
        <v>43</v>
      </c>
      <c r="C251" s="25">
        <f>+MITRE[[#This Row],[Trenes Puntuales]]/MITRE[[#This Row],[Trenes Programados]]</f>
        <v>0.6483661457276233</v>
      </c>
      <c r="D251" s="25">
        <f>+MITRE[[#This Row],[Trenes Puntuales]]/MITRE[[#This Row],[Trenes Corridos]]</f>
        <v>0.85862115307082376</v>
      </c>
      <c r="E251" s="25">
        <f>+MITRE[[#This Row],[Trenes Corridos]]/MITRE[[#This Row],[Trenes Programados]]</f>
        <v>0.75512482240714429</v>
      </c>
      <c r="F251" s="27">
        <f t="shared" si="100"/>
        <v>9854</v>
      </c>
      <c r="G251" s="27">
        <f t="shared" si="101"/>
        <v>2413</v>
      </c>
      <c r="H251" s="27">
        <f t="shared" si="102"/>
        <v>7441</v>
      </c>
      <c r="I251" s="27">
        <f t="shared" si="103"/>
        <v>6389</v>
      </c>
      <c r="J251" s="27">
        <f t="shared" si="104"/>
        <v>1052</v>
      </c>
      <c r="K251" s="27"/>
      <c r="L251" s="4"/>
      <c r="M251" s="29">
        <v>2013</v>
      </c>
      <c r="N251" s="38" t="s">
        <v>43</v>
      </c>
      <c r="O251" s="35">
        <f>+Tabla4[[#This Row],[Trenes Puntuales]]/Tabla4[[#This Row],[Trenes Programados]]</f>
        <v>0.66427008440137547</v>
      </c>
      <c r="P251" s="35">
        <f>+Tabla4[[#This Row],[Trenes Puntuales]]/Tabla4[[#This Row],[Trenes Corridos]]</f>
        <v>0.90118744698897368</v>
      </c>
      <c r="Q251" s="35">
        <f>+Tabla4[[#This Row],[Trenes Corridos]]/Tabla4[[#This Row],[Trenes Programados]]</f>
        <v>0.73710534542044392</v>
      </c>
      <c r="R251" s="20">
        <v>3199</v>
      </c>
      <c r="S251" s="27">
        <f t="shared" si="134"/>
        <v>841</v>
      </c>
      <c r="T251" s="20">
        <v>2358</v>
      </c>
      <c r="U251" s="20">
        <v>2125</v>
      </c>
      <c r="V251" s="20">
        <f t="shared" si="135"/>
        <v>233</v>
      </c>
      <c r="W251" s="20"/>
      <c r="X251" s="5"/>
      <c r="Y251" s="29">
        <v>2013</v>
      </c>
      <c r="Z251" s="38" t="s">
        <v>43</v>
      </c>
      <c r="AA251" s="35">
        <f>+Tabla5[[#This Row],[Trenes Puntuales]]/Tabla5[[#This Row],[Trenes Programados]]</f>
        <v>0.84133964817320706</v>
      </c>
      <c r="AB251" s="35">
        <f>+Tabla5[[#This Row],[Trenes Puntuales]]/Tabla5[[#This Row],[Trenes Corridos]]</f>
        <v>0.91568483063328421</v>
      </c>
      <c r="AC251" s="35">
        <f>+Tabla5[[#This Row],[Trenes Corridos]]/Tabla5[[#This Row],[Trenes Programados]]</f>
        <v>0.91880920162381596</v>
      </c>
      <c r="AD251" s="20">
        <v>2956</v>
      </c>
      <c r="AE251" s="27">
        <f t="shared" si="136"/>
        <v>240</v>
      </c>
      <c r="AF251" s="20">
        <v>2716</v>
      </c>
      <c r="AG251" s="20">
        <v>2487</v>
      </c>
      <c r="AH251" s="20">
        <f t="shared" si="137"/>
        <v>229</v>
      </c>
      <c r="AI251" s="20"/>
      <c r="AJ251" s="5"/>
      <c r="AK251" s="29">
        <v>2013</v>
      </c>
      <c r="AL251" s="38" t="s">
        <v>43</v>
      </c>
      <c r="AM251" s="35">
        <f>+Tabla6[[#This Row],[Trenes Puntuales]]/Tabla6[[#This Row],[Trenes Programados]]</f>
        <v>0.76167979002624675</v>
      </c>
      <c r="AN251" s="35">
        <f>+Tabla6[[#This Row],[Trenes Puntuales]]/Tabla6[[#This Row],[Trenes Corridos]]</f>
        <v>0.94960732984293195</v>
      </c>
      <c r="AO251" s="35">
        <f>+Tabla6[[#This Row],[Trenes Corridos]]/Tabla6[[#This Row],[Trenes Programados]]</f>
        <v>0.80209973753280839</v>
      </c>
      <c r="AP251" s="20">
        <v>1905</v>
      </c>
      <c r="AQ251" s="27">
        <f t="shared" si="138"/>
        <v>377</v>
      </c>
      <c r="AR251" s="20">
        <v>1528</v>
      </c>
      <c r="AS251" s="20">
        <v>1451</v>
      </c>
      <c r="AT251" s="20">
        <f t="shared" si="139"/>
        <v>77</v>
      </c>
      <c r="AU251" s="20"/>
      <c r="AV251" s="5"/>
      <c r="AW251" s="29">
        <v>2013</v>
      </c>
      <c r="AX251" s="38" t="s">
        <v>43</v>
      </c>
      <c r="AY251" s="35">
        <f>+MIT_Vic_Cap[[#This Row],[Trenes Puntuales]]/MIT_Vic_Cap[[#This Row],[Trenes Programados]]</f>
        <v>0.19913885898815931</v>
      </c>
      <c r="AZ251" s="35">
        <f>+MIT_Vic_Cap[[#This Row],[Trenes Puntuales]]/MIT_Vic_Cap[[#This Row],[Trenes Corridos]]</f>
        <v>0.55059523809523814</v>
      </c>
      <c r="BA251" s="35">
        <f>+MIT_Vic_Cap[[#This Row],[Trenes Corridos]]/MIT_Vic_Cap[[#This Row],[Trenes Programados]]</f>
        <v>0.36167922497308935</v>
      </c>
      <c r="BB251" s="20">
        <v>929</v>
      </c>
      <c r="BC251" s="27">
        <f t="shared" si="140"/>
        <v>593</v>
      </c>
      <c r="BD251" s="20">
        <v>336</v>
      </c>
      <c r="BE251" s="20">
        <v>185</v>
      </c>
      <c r="BF251" s="20">
        <f t="shared" si="141"/>
        <v>151</v>
      </c>
      <c r="BG251" s="20"/>
      <c r="BH251" s="5"/>
      <c r="BI251" s="29">
        <v>2013</v>
      </c>
      <c r="BJ251" s="38" t="s">
        <v>43</v>
      </c>
      <c r="BK251" s="35">
        <f>+Tabla8[[#This Row],[Trenes Puntuales]]/Tabla8[[#This Row],[Trenes Programados]]</f>
        <v>0.16300578034682081</v>
      </c>
      <c r="BL251" s="35">
        <f>+Tabla8[[#This Row],[Trenes Puntuales]]/Tabla8[[#This Row],[Trenes Corridos]]</f>
        <v>0.28031809145129227</v>
      </c>
      <c r="BM251" s="35">
        <f>+Tabla8[[#This Row],[Trenes Corridos]]/Tabla8[[#This Row],[Trenes Programados]]</f>
        <v>0.58150289017341039</v>
      </c>
      <c r="BN251" s="20">
        <v>865</v>
      </c>
      <c r="BO251" s="27">
        <f t="shared" si="142"/>
        <v>362</v>
      </c>
      <c r="BP251" s="20">
        <v>503</v>
      </c>
      <c r="BQ251" s="20">
        <v>141</v>
      </c>
      <c r="BR251" s="20">
        <f t="shared" si="143"/>
        <v>362</v>
      </c>
      <c r="BS251" s="34"/>
    </row>
    <row r="252" spans="1:71" s="2" customFormat="1" ht="12.95" customHeight="1">
      <c r="A252" s="3">
        <v>2013</v>
      </c>
      <c r="B252" s="38" t="s">
        <v>44</v>
      </c>
      <c r="C252" s="25">
        <f>+MITRE[[#This Row],[Trenes Puntuales]]/MITRE[[#This Row],[Trenes Programados]]</f>
        <v>0.65167785234899334</v>
      </c>
      <c r="D252" s="25">
        <f>+MITRE[[#This Row],[Trenes Puntuales]]/MITRE[[#This Row],[Trenes Corridos]]</f>
        <v>0.86027085179091256</v>
      </c>
      <c r="E252" s="25">
        <f>+MITRE[[#This Row],[Trenes Corridos]]/MITRE[[#This Row],[Trenes Programados]]</f>
        <v>0.75752636625119851</v>
      </c>
      <c r="F252" s="27">
        <f t="shared" si="100"/>
        <v>10430</v>
      </c>
      <c r="G252" s="27">
        <f t="shared" si="101"/>
        <v>2529</v>
      </c>
      <c r="H252" s="27">
        <f t="shared" si="102"/>
        <v>7901</v>
      </c>
      <c r="I252" s="27">
        <f t="shared" si="103"/>
        <v>6797</v>
      </c>
      <c r="J252" s="27">
        <f t="shared" si="104"/>
        <v>1104</v>
      </c>
      <c r="K252" s="27"/>
      <c r="L252" s="4"/>
      <c r="M252" s="29">
        <v>2013</v>
      </c>
      <c r="N252" s="38" t="s">
        <v>44</v>
      </c>
      <c r="O252" s="35">
        <f>+Tabla4[[#This Row],[Trenes Puntuales]]/Tabla4[[#This Row],[Trenes Programados]]</f>
        <v>0.64283586535597259</v>
      </c>
      <c r="P252" s="35">
        <f>+Tabla4[[#This Row],[Trenes Puntuales]]/Tabla4[[#This Row],[Trenes Corridos]]</f>
        <v>0.85668916236601822</v>
      </c>
      <c r="Q252" s="35">
        <f>+Tabla4[[#This Row],[Trenes Corridos]]/Tabla4[[#This Row],[Trenes Programados]]</f>
        <v>0.7503723562704796</v>
      </c>
      <c r="R252" s="20">
        <v>3357</v>
      </c>
      <c r="S252" s="27">
        <f t="shared" si="134"/>
        <v>838</v>
      </c>
      <c r="T252" s="20">
        <v>2519</v>
      </c>
      <c r="U252" s="20">
        <v>2158</v>
      </c>
      <c r="V252" s="20">
        <f t="shared" si="135"/>
        <v>361</v>
      </c>
      <c r="W252" s="20"/>
      <c r="X252" s="5"/>
      <c r="Y252" s="29">
        <v>2013</v>
      </c>
      <c r="Z252" s="38" t="s">
        <v>44</v>
      </c>
      <c r="AA252" s="35">
        <f>+Tabla5[[#This Row],[Trenes Puntuales]]/Tabla5[[#This Row],[Trenes Programados]]</f>
        <v>0.8550863723608445</v>
      </c>
      <c r="AB252" s="35">
        <f>+Tabla5[[#This Row],[Trenes Puntuales]]/Tabla5[[#This Row],[Trenes Corridos]]</f>
        <v>0.9226786330686918</v>
      </c>
      <c r="AC252" s="35">
        <f>+Tabla5[[#This Row],[Trenes Corridos]]/Tabla5[[#This Row],[Trenes Programados]]</f>
        <v>0.92674344209852844</v>
      </c>
      <c r="AD252" s="20">
        <v>3126</v>
      </c>
      <c r="AE252" s="27">
        <f t="shared" si="136"/>
        <v>229</v>
      </c>
      <c r="AF252" s="20">
        <v>2897</v>
      </c>
      <c r="AG252" s="20">
        <v>2673</v>
      </c>
      <c r="AH252" s="20">
        <f t="shared" si="137"/>
        <v>224</v>
      </c>
      <c r="AI252" s="20"/>
      <c r="AJ252" s="5"/>
      <c r="AK252" s="29">
        <v>2013</v>
      </c>
      <c r="AL252" s="38" t="s">
        <v>44</v>
      </c>
      <c r="AM252" s="35">
        <f>+Tabla6[[#This Row],[Trenes Puntuales]]/Tabla6[[#This Row],[Trenes Programados]]</f>
        <v>0.81218781218781222</v>
      </c>
      <c r="AN252" s="35">
        <f>+Tabla6[[#This Row],[Trenes Puntuales]]/Tabla6[[#This Row],[Trenes Corridos]]</f>
        <v>0.96384113811499705</v>
      </c>
      <c r="AO252" s="35">
        <f>+Tabla6[[#This Row],[Trenes Corridos]]/Tabla6[[#This Row],[Trenes Programados]]</f>
        <v>0.84265734265734271</v>
      </c>
      <c r="AP252" s="20">
        <v>2002</v>
      </c>
      <c r="AQ252" s="27">
        <f t="shared" si="138"/>
        <v>315</v>
      </c>
      <c r="AR252" s="20">
        <v>1687</v>
      </c>
      <c r="AS252" s="20">
        <v>1626</v>
      </c>
      <c r="AT252" s="20">
        <f t="shared" si="139"/>
        <v>61</v>
      </c>
      <c r="AU252" s="20"/>
      <c r="AV252" s="5"/>
      <c r="AW252" s="29">
        <v>2013</v>
      </c>
      <c r="AX252" s="38" t="s">
        <v>44</v>
      </c>
      <c r="AY252" s="35">
        <f>+MIT_Vic_Cap[[#This Row],[Trenes Puntuales]]/MIT_Vic_Cap[[#This Row],[Trenes Programados]]</f>
        <v>0.18503538928210314</v>
      </c>
      <c r="AZ252" s="35">
        <f>+MIT_Vic_Cap[[#This Row],[Trenes Puntuales]]/MIT_Vic_Cap[[#This Row],[Trenes Corridos]]</f>
        <v>0.60596026490066224</v>
      </c>
      <c r="BA252" s="35">
        <f>+MIT_Vic_Cap[[#This Row],[Trenes Corridos]]/MIT_Vic_Cap[[#This Row],[Trenes Programados]]</f>
        <v>0.30535894843276035</v>
      </c>
      <c r="BB252" s="20">
        <v>989</v>
      </c>
      <c r="BC252" s="27">
        <f t="shared" si="140"/>
        <v>687</v>
      </c>
      <c r="BD252" s="20">
        <v>302</v>
      </c>
      <c r="BE252" s="20">
        <v>183</v>
      </c>
      <c r="BF252" s="20">
        <f t="shared" si="141"/>
        <v>119</v>
      </c>
      <c r="BG252" s="20"/>
      <c r="BH252" s="5"/>
      <c r="BI252" s="29">
        <v>2013</v>
      </c>
      <c r="BJ252" s="38" t="s">
        <v>44</v>
      </c>
      <c r="BK252" s="35">
        <f>+Tabla8[[#This Row],[Trenes Puntuales]]/Tabla8[[#This Row],[Trenes Programados]]</f>
        <v>0.16422594142259414</v>
      </c>
      <c r="BL252" s="35">
        <f>+Tabla8[[#This Row],[Trenes Puntuales]]/Tabla8[[#This Row],[Trenes Corridos]]</f>
        <v>0.31653225806451613</v>
      </c>
      <c r="BM252" s="35">
        <f>+Tabla8[[#This Row],[Trenes Corridos]]/Tabla8[[#This Row],[Trenes Programados]]</f>
        <v>0.51882845188284521</v>
      </c>
      <c r="BN252" s="20">
        <v>956</v>
      </c>
      <c r="BO252" s="27">
        <f t="shared" si="142"/>
        <v>460</v>
      </c>
      <c r="BP252" s="20">
        <v>496</v>
      </c>
      <c r="BQ252" s="20">
        <v>157</v>
      </c>
      <c r="BR252" s="20">
        <f t="shared" si="143"/>
        <v>339</v>
      </c>
      <c r="BS252" s="34"/>
    </row>
    <row r="253" spans="1:71" s="2" customFormat="1" ht="12.95" customHeight="1">
      <c r="A253" s="3">
        <v>2013</v>
      </c>
      <c r="B253" s="38" t="s">
        <v>45</v>
      </c>
      <c r="C253" s="25">
        <f>+MITRE[[#This Row],[Trenes Puntuales]]/MITRE[[#This Row],[Trenes Programados]]</f>
        <v>0.64733557369179073</v>
      </c>
      <c r="D253" s="25">
        <f>+MITRE[[#This Row],[Trenes Puntuales]]/MITRE[[#This Row],[Trenes Corridos]]</f>
        <v>0.87004774809652863</v>
      </c>
      <c r="E253" s="25">
        <f>+MITRE[[#This Row],[Trenes Corridos]]/MITRE[[#This Row],[Trenes Programados]]</f>
        <v>0.7440230436869899</v>
      </c>
      <c r="F253" s="27">
        <f t="shared" si="100"/>
        <v>10415</v>
      </c>
      <c r="G253" s="27">
        <f t="shared" si="101"/>
        <v>2666</v>
      </c>
      <c r="H253" s="27">
        <f t="shared" si="102"/>
        <v>7749</v>
      </c>
      <c r="I253" s="27">
        <f t="shared" si="103"/>
        <v>6742</v>
      </c>
      <c r="J253" s="27">
        <f t="shared" si="104"/>
        <v>1007</v>
      </c>
      <c r="K253" s="27"/>
      <c r="L253" s="4"/>
      <c r="M253" s="29">
        <v>2013</v>
      </c>
      <c r="N253" s="38" t="s">
        <v>45</v>
      </c>
      <c r="O253" s="35">
        <f>+Tabla4[[#This Row],[Trenes Puntuales]]/Tabla4[[#This Row],[Trenes Programados]]</f>
        <v>0.66309204647006259</v>
      </c>
      <c r="P253" s="35">
        <f>+Tabla4[[#This Row],[Trenes Puntuales]]/Tabla4[[#This Row],[Trenes Corridos]]</f>
        <v>0.8836840015879317</v>
      </c>
      <c r="Q253" s="35">
        <f>+Tabla4[[#This Row],[Trenes Corridos]]/Tabla4[[#This Row],[Trenes Programados]]</f>
        <v>0.7503723562704796</v>
      </c>
      <c r="R253" s="20">
        <v>3357</v>
      </c>
      <c r="S253" s="27">
        <f t="shared" si="134"/>
        <v>838</v>
      </c>
      <c r="T253" s="20">
        <v>2519</v>
      </c>
      <c r="U253" s="20">
        <v>2226</v>
      </c>
      <c r="V253" s="20">
        <f t="shared" si="135"/>
        <v>293</v>
      </c>
      <c r="W253" s="20"/>
      <c r="X253" s="5"/>
      <c r="Y253" s="29">
        <v>2013</v>
      </c>
      <c r="Z253" s="38" t="s">
        <v>45</v>
      </c>
      <c r="AA253" s="35">
        <f>+Tabla5[[#This Row],[Trenes Puntuales]]/Tabla5[[#This Row],[Trenes Programados]]</f>
        <v>0.88771593090211132</v>
      </c>
      <c r="AB253" s="35">
        <f>+Tabla5[[#This Row],[Trenes Puntuales]]/Tabla5[[#This Row],[Trenes Corridos]]</f>
        <v>0.93845113290497129</v>
      </c>
      <c r="AC253" s="35">
        <f>+Tabla5[[#This Row],[Trenes Corridos]]/Tabla5[[#This Row],[Trenes Programados]]</f>
        <v>0.94593730006397958</v>
      </c>
      <c r="AD253" s="20">
        <v>3126</v>
      </c>
      <c r="AE253" s="27">
        <f t="shared" si="136"/>
        <v>169</v>
      </c>
      <c r="AF253" s="20">
        <v>2957</v>
      </c>
      <c r="AG253" s="20">
        <v>2775</v>
      </c>
      <c r="AH253" s="20">
        <f t="shared" si="137"/>
        <v>182</v>
      </c>
      <c r="AI253" s="20"/>
      <c r="AJ253" s="5"/>
      <c r="AK253" s="29">
        <v>2013</v>
      </c>
      <c r="AL253" s="38" t="s">
        <v>45</v>
      </c>
      <c r="AM253" s="35">
        <f>+Tabla6[[#This Row],[Trenes Puntuales]]/Tabla6[[#This Row],[Trenes Programados]]</f>
        <v>0.78321678321678323</v>
      </c>
      <c r="AN253" s="35">
        <f>+Tabla6[[#This Row],[Trenes Puntuales]]/Tabla6[[#This Row],[Trenes Corridos]]</f>
        <v>0.96730413325107956</v>
      </c>
      <c r="AO253" s="35">
        <f>+Tabla6[[#This Row],[Trenes Corridos]]/Tabla6[[#This Row],[Trenes Programados]]</f>
        <v>0.80969030969030964</v>
      </c>
      <c r="AP253" s="20">
        <v>2002</v>
      </c>
      <c r="AQ253" s="27">
        <f t="shared" si="138"/>
        <v>381</v>
      </c>
      <c r="AR253" s="20">
        <v>1621</v>
      </c>
      <c r="AS253" s="20">
        <v>1568</v>
      </c>
      <c r="AT253" s="20">
        <f t="shared" si="139"/>
        <v>53</v>
      </c>
      <c r="AU253" s="20"/>
      <c r="AV253" s="5"/>
      <c r="AW253" s="29">
        <v>2013</v>
      </c>
      <c r="AX253" s="38" t="s">
        <v>45</v>
      </c>
      <c r="AY253" s="35">
        <f>+MIT_Vic_Cap[[#This Row],[Trenes Puntuales]]/MIT_Vic_Cap[[#This Row],[Trenes Programados]]</f>
        <v>3.2355915065722954E-2</v>
      </c>
      <c r="AZ253" s="35">
        <f>+MIT_Vic_Cap[[#This Row],[Trenes Puntuales]]/MIT_Vic_Cap[[#This Row],[Trenes Corridos]]</f>
        <v>0.13852813852813853</v>
      </c>
      <c r="BA253" s="35">
        <f>+MIT_Vic_Cap[[#This Row],[Trenes Corridos]]/MIT_Vic_Cap[[#This Row],[Trenes Programados]]</f>
        <v>0.23356926188068755</v>
      </c>
      <c r="BB253" s="20">
        <v>989</v>
      </c>
      <c r="BC253" s="27">
        <f t="shared" si="140"/>
        <v>758</v>
      </c>
      <c r="BD253" s="20">
        <v>231</v>
      </c>
      <c r="BE253" s="20">
        <v>32</v>
      </c>
      <c r="BF253" s="20">
        <f t="shared" si="141"/>
        <v>199</v>
      </c>
      <c r="BG253" s="20"/>
      <c r="BH253" s="5"/>
      <c r="BI253" s="29">
        <v>2013</v>
      </c>
      <c r="BJ253" s="38" t="s">
        <v>45</v>
      </c>
      <c r="BK253" s="35">
        <f>+Tabla8[[#This Row],[Trenes Puntuales]]/Tabla8[[#This Row],[Trenes Programados]]</f>
        <v>0.14984059511158343</v>
      </c>
      <c r="BL253" s="35">
        <f>+Tabla8[[#This Row],[Trenes Puntuales]]/Tabla8[[#This Row],[Trenes Corridos]]</f>
        <v>0.33491686460807601</v>
      </c>
      <c r="BM253" s="35">
        <f>+Tabla8[[#This Row],[Trenes Corridos]]/Tabla8[[#This Row],[Trenes Programados]]</f>
        <v>0.44739638682252925</v>
      </c>
      <c r="BN253" s="20">
        <v>941</v>
      </c>
      <c r="BO253" s="27">
        <f t="shared" si="142"/>
        <v>520</v>
      </c>
      <c r="BP253" s="20">
        <v>421</v>
      </c>
      <c r="BQ253" s="20">
        <v>141</v>
      </c>
      <c r="BR253" s="20">
        <f t="shared" si="143"/>
        <v>280</v>
      </c>
      <c r="BS253" s="34"/>
    </row>
    <row r="254" spans="1:71" s="2" customFormat="1" ht="12.95" customHeight="1">
      <c r="A254" s="3">
        <v>2013</v>
      </c>
      <c r="B254" s="38" t="s">
        <v>46</v>
      </c>
      <c r="C254" s="25">
        <f>+MITRE[[#This Row],[Trenes Puntuales]]/MITRE[[#This Row],[Trenes Programados]]</f>
        <v>0.63227277232629597</v>
      </c>
      <c r="D254" s="25">
        <f>+MITRE[[#This Row],[Trenes Puntuales]]/MITRE[[#This Row],[Trenes Corridos]]</f>
        <v>0.86577090119435396</v>
      </c>
      <c r="E254" s="25">
        <f>+MITRE[[#This Row],[Trenes Corridos]]/MITRE[[#This Row],[Trenes Programados]]</f>
        <v>0.73030032708890869</v>
      </c>
      <c r="F254" s="27">
        <f t="shared" si="100"/>
        <v>10089</v>
      </c>
      <c r="G254" s="27">
        <f t="shared" si="101"/>
        <v>2721</v>
      </c>
      <c r="H254" s="27">
        <f t="shared" si="102"/>
        <v>7368</v>
      </c>
      <c r="I254" s="27">
        <f t="shared" si="103"/>
        <v>6379</v>
      </c>
      <c r="J254" s="27">
        <f t="shared" si="104"/>
        <v>989</v>
      </c>
      <c r="K254" s="27"/>
      <c r="L254" s="4"/>
      <c r="M254" s="29">
        <v>2013</v>
      </c>
      <c r="N254" s="38" t="s">
        <v>46</v>
      </c>
      <c r="O254" s="35">
        <f>+Tabla4[[#This Row],[Trenes Puntuales]]/Tabla4[[#This Row],[Trenes Programados]]</f>
        <v>0.6333231052470083</v>
      </c>
      <c r="P254" s="35">
        <f>+Tabla4[[#This Row],[Trenes Puntuales]]/Tabla4[[#This Row],[Trenes Corridos]]</f>
        <v>0.86</v>
      </c>
      <c r="Q254" s="35">
        <f>+Tabla4[[#This Row],[Trenes Corridos]]/Tabla4[[#This Row],[Trenes Programados]]</f>
        <v>0.73642221540349806</v>
      </c>
      <c r="R254" s="20">
        <v>3259</v>
      </c>
      <c r="S254" s="27">
        <f t="shared" si="134"/>
        <v>859</v>
      </c>
      <c r="T254" s="20">
        <v>2400</v>
      </c>
      <c r="U254" s="20">
        <v>2064</v>
      </c>
      <c r="V254" s="20">
        <f t="shared" si="135"/>
        <v>336</v>
      </c>
      <c r="W254" s="20"/>
      <c r="X254" s="5"/>
      <c r="Y254" s="29">
        <v>2013</v>
      </c>
      <c r="Z254" s="38" t="s">
        <v>46</v>
      </c>
      <c r="AA254" s="35">
        <f>+Tabla5[[#This Row],[Trenes Puntuales]]/Tabla5[[#This Row],[Trenes Programados]]</f>
        <v>0.84304635761589408</v>
      </c>
      <c r="AB254" s="35">
        <f>+Tabla5[[#This Row],[Trenes Puntuales]]/Tabla5[[#This Row],[Trenes Corridos]]</f>
        <v>0.94823091247672253</v>
      </c>
      <c r="AC254" s="35">
        <f>+Tabla5[[#This Row],[Trenes Corridos]]/Tabla5[[#This Row],[Trenes Programados]]</f>
        <v>0.88907284768211925</v>
      </c>
      <c r="AD254" s="20">
        <v>3020</v>
      </c>
      <c r="AE254" s="27">
        <f t="shared" si="136"/>
        <v>335</v>
      </c>
      <c r="AF254" s="20">
        <v>2685</v>
      </c>
      <c r="AG254" s="20">
        <v>2546</v>
      </c>
      <c r="AH254" s="20">
        <f t="shared" si="137"/>
        <v>139</v>
      </c>
      <c r="AI254" s="20"/>
      <c r="AJ254" s="5"/>
      <c r="AK254" s="29">
        <v>2013</v>
      </c>
      <c r="AL254" s="38" t="s">
        <v>46</v>
      </c>
      <c r="AM254" s="35">
        <f>+Tabla6[[#This Row],[Trenes Puntuales]]/Tabla6[[#This Row],[Trenes Programados]]</f>
        <v>0.79121447028423775</v>
      </c>
      <c r="AN254" s="35">
        <f>+Tabla6[[#This Row],[Trenes Puntuales]]/Tabla6[[#This Row],[Trenes Corridos]]</f>
        <v>0.9622878692646134</v>
      </c>
      <c r="AO254" s="35">
        <f>+Tabla6[[#This Row],[Trenes Corridos]]/Tabla6[[#This Row],[Trenes Programados]]</f>
        <v>0.82222222222222219</v>
      </c>
      <c r="AP254" s="20">
        <v>1935</v>
      </c>
      <c r="AQ254" s="27">
        <f t="shared" si="138"/>
        <v>344</v>
      </c>
      <c r="AR254" s="20">
        <v>1591</v>
      </c>
      <c r="AS254" s="20">
        <v>1531</v>
      </c>
      <c r="AT254" s="20">
        <f t="shared" si="139"/>
        <v>60</v>
      </c>
      <c r="AU254" s="20"/>
      <c r="AV254" s="5"/>
      <c r="AW254" s="29">
        <v>2013</v>
      </c>
      <c r="AX254" s="38" t="s">
        <v>46</v>
      </c>
      <c r="AY254" s="35">
        <f>+MIT_Vic_Cap[[#This Row],[Trenes Puntuales]]/MIT_Vic_Cap[[#This Row],[Trenes Programados]]</f>
        <v>8.4816753926701571E-2</v>
      </c>
      <c r="AZ254" s="35">
        <f>+MIT_Vic_Cap[[#This Row],[Trenes Puntuales]]/MIT_Vic_Cap[[#This Row],[Trenes Corridos]]</f>
        <v>0.34763948497854075</v>
      </c>
      <c r="BA254" s="35">
        <f>+MIT_Vic_Cap[[#This Row],[Trenes Corridos]]/MIT_Vic_Cap[[#This Row],[Trenes Programados]]</f>
        <v>0.24397905759162303</v>
      </c>
      <c r="BB254" s="20">
        <v>955</v>
      </c>
      <c r="BC254" s="27">
        <f t="shared" si="140"/>
        <v>722</v>
      </c>
      <c r="BD254" s="20">
        <v>233</v>
      </c>
      <c r="BE254" s="20">
        <v>81</v>
      </c>
      <c r="BF254" s="20">
        <f t="shared" si="141"/>
        <v>152</v>
      </c>
      <c r="BG254" s="20"/>
      <c r="BH254" s="5"/>
      <c r="BI254" s="29">
        <v>2013</v>
      </c>
      <c r="BJ254" s="38" t="s">
        <v>46</v>
      </c>
      <c r="BK254" s="35">
        <f>+Tabla8[[#This Row],[Trenes Puntuales]]/Tabla8[[#This Row],[Trenes Programados]]</f>
        <v>0.17065217391304346</v>
      </c>
      <c r="BL254" s="35">
        <f>+Tabla8[[#This Row],[Trenes Puntuales]]/Tabla8[[#This Row],[Trenes Corridos]]</f>
        <v>0.34204793028322439</v>
      </c>
      <c r="BM254" s="35">
        <f>+Tabla8[[#This Row],[Trenes Corridos]]/Tabla8[[#This Row],[Trenes Programados]]</f>
        <v>0.49891304347826088</v>
      </c>
      <c r="BN254" s="20">
        <v>920</v>
      </c>
      <c r="BO254" s="27">
        <f t="shared" si="142"/>
        <v>461</v>
      </c>
      <c r="BP254" s="20">
        <v>459</v>
      </c>
      <c r="BQ254" s="20">
        <v>157</v>
      </c>
      <c r="BR254" s="20">
        <f t="shared" si="143"/>
        <v>302</v>
      </c>
      <c r="BS254" s="34"/>
    </row>
    <row r="255" spans="1:71" s="2" customFormat="1" ht="12.95" customHeight="1">
      <c r="A255" s="3">
        <v>2013</v>
      </c>
      <c r="B255" s="38" t="s">
        <v>47</v>
      </c>
      <c r="C255" s="25">
        <f>+MITRE[[#This Row],[Trenes Puntuales]]/MITRE[[#This Row],[Trenes Programados]]</f>
        <v>0.60697394046183806</v>
      </c>
      <c r="D255" s="25">
        <f>+MITRE[[#This Row],[Trenes Puntuales]]/MITRE[[#This Row],[Trenes Corridos]]</f>
        <v>0.78383233532934127</v>
      </c>
      <c r="E255" s="25">
        <f>+MITRE[[#This Row],[Trenes Corridos]]/MITRE[[#This Row],[Trenes Programados]]</f>
        <v>0.7743670592599462</v>
      </c>
      <c r="F255" s="27">
        <f t="shared" si="100"/>
        <v>10783</v>
      </c>
      <c r="G255" s="27">
        <f t="shared" si="101"/>
        <v>2433</v>
      </c>
      <c r="H255" s="27">
        <f t="shared" si="102"/>
        <v>8350</v>
      </c>
      <c r="I255" s="27">
        <f t="shared" si="103"/>
        <v>6545</v>
      </c>
      <c r="J255" s="27">
        <f t="shared" si="104"/>
        <v>1805</v>
      </c>
      <c r="K255" s="27"/>
      <c r="L255" s="4"/>
      <c r="M255" s="29">
        <v>2013</v>
      </c>
      <c r="N255" s="38" t="s">
        <v>47</v>
      </c>
      <c r="O255" s="35">
        <f>+Tabla4[[#This Row],[Trenes Puntuales]]/Tabla4[[#This Row],[Trenes Programados]]</f>
        <v>0.66495956873315365</v>
      </c>
      <c r="P255" s="35">
        <f>+Tabla4[[#This Row],[Trenes Puntuales]]/Tabla4[[#This Row],[Trenes Corridos]]</f>
        <v>0.74419306184012068</v>
      </c>
      <c r="Q255" s="35">
        <f>+Tabla4[[#This Row],[Trenes Corridos]]/Tabla4[[#This Row],[Trenes Programados]]</f>
        <v>0.89353099730458219</v>
      </c>
      <c r="R255" s="20">
        <v>3710</v>
      </c>
      <c r="S255" s="27">
        <f t="shared" si="134"/>
        <v>395</v>
      </c>
      <c r="T255" s="20">
        <v>3315</v>
      </c>
      <c r="U255" s="20">
        <v>2467</v>
      </c>
      <c r="V255" s="20">
        <f t="shared" si="135"/>
        <v>848</v>
      </c>
      <c r="W255" s="20"/>
      <c r="X255" s="5"/>
      <c r="Y255" s="29">
        <v>2013</v>
      </c>
      <c r="Z255" s="38" t="s">
        <v>47</v>
      </c>
      <c r="AA255" s="35">
        <f>+Tabla5[[#This Row],[Trenes Puntuales]]/Tabla5[[#This Row],[Trenes Programados]]</f>
        <v>0.73704414587332057</v>
      </c>
      <c r="AB255" s="35">
        <f>+Tabla5[[#This Row],[Trenes Puntuales]]/Tabla5[[#This Row],[Trenes Corridos]]</f>
        <v>0.85746185336806846</v>
      </c>
      <c r="AC255" s="35">
        <f>+Tabla5[[#This Row],[Trenes Corridos]]/Tabla5[[#This Row],[Trenes Programados]]</f>
        <v>0.85956493921944976</v>
      </c>
      <c r="AD255" s="20">
        <v>3126</v>
      </c>
      <c r="AE255" s="27">
        <f t="shared" si="136"/>
        <v>439</v>
      </c>
      <c r="AF255" s="20">
        <v>2687</v>
      </c>
      <c r="AG255" s="20">
        <v>2304</v>
      </c>
      <c r="AH255" s="20">
        <f t="shared" si="137"/>
        <v>383</v>
      </c>
      <c r="AI255" s="20"/>
      <c r="AJ255" s="5"/>
      <c r="AK255" s="29">
        <v>2013</v>
      </c>
      <c r="AL255" s="38" t="s">
        <v>47</v>
      </c>
      <c r="AM255" s="35">
        <f>+Tabla6[[#This Row],[Trenes Puntuales]]/Tabla6[[#This Row],[Trenes Programados]]</f>
        <v>0.77322677322677325</v>
      </c>
      <c r="AN255" s="35">
        <f>+Tabla6[[#This Row],[Trenes Puntuales]]/Tabla6[[#This Row],[Trenes Corridos]]</f>
        <v>0.90632318501170961</v>
      </c>
      <c r="AO255" s="35">
        <f>+Tabla6[[#This Row],[Trenes Corridos]]/Tabla6[[#This Row],[Trenes Programados]]</f>
        <v>0.85314685314685312</v>
      </c>
      <c r="AP255" s="20">
        <v>2002</v>
      </c>
      <c r="AQ255" s="27">
        <f t="shared" si="138"/>
        <v>294</v>
      </c>
      <c r="AR255" s="20">
        <v>1708</v>
      </c>
      <c r="AS255" s="20">
        <v>1548</v>
      </c>
      <c r="AT255" s="20">
        <f t="shared" si="139"/>
        <v>160</v>
      </c>
      <c r="AU255" s="20"/>
      <c r="AV255" s="5"/>
      <c r="AW255" s="29">
        <v>2013</v>
      </c>
      <c r="AX255" s="38" t="s">
        <v>47</v>
      </c>
      <c r="AY255" s="35">
        <f>+MIT_Vic_Cap[[#This Row],[Trenes Puntuales]]/MIT_Vic_Cap[[#This Row],[Trenes Programados]]</f>
        <v>8.2912032355915072E-2</v>
      </c>
      <c r="AZ255" s="35">
        <f>+MIT_Vic_Cap[[#This Row],[Trenes Puntuales]]/MIT_Vic_Cap[[#This Row],[Trenes Corridos]]</f>
        <v>0.36444444444444446</v>
      </c>
      <c r="BA255" s="35">
        <f>+MIT_Vic_Cap[[#This Row],[Trenes Corridos]]/MIT_Vic_Cap[[#This Row],[Trenes Programados]]</f>
        <v>0.2275025278058645</v>
      </c>
      <c r="BB255" s="20">
        <v>989</v>
      </c>
      <c r="BC255" s="27">
        <f t="shared" si="140"/>
        <v>764</v>
      </c>
      <c r="BD255" s="20">
        <v>225</v>
      </c>
      <c r="BE255" s="20">
        <v>82</v>
      </c>
      <c r="BF255" s="20">
        <f t="shared" si="141"/>
        <v>143</v>
      </c>
      <c r="BG255" s="20"/>
      <c r="BH255" s="5"/>
      <c r="BI255" s="29">
        <v>2013</v>
      </c>
      <c r="BJ255" s="38" t="s">
        <v>47</v>
      </c>
      <c r="BK255" s="35">
        <f>+Tabla8[[#This Row],[Trenes Puntuales]]/Tabla8[[#This Row],[Trenes Programados]]</f>
        <v>0.15062761506276151</v>
      </c>
      <c r="BL255" s="35">
        <f>+Tabla8[[#This Row],[Trenes Puntuales]]/Tabla8[[#This Row],[Trenes Corridos]]</f>
        <v>0.34698795180722891</v>
      </c>
      <c r="BM255" s="35">
        <f>+Tabla8[[#This Row],[Trenes Corridos]]/Tabla8[[#This Row],[Trenes Programados]]</f>
        <v>0.43410041841004182</v>
      </c>
      <c r="BN255" s="20">
        <v>956</v>
      </c>
      <c r="BO255" s="27">
        <f t="shared" si="142"/>
        <v>541</v>
      </c>
      <c r="BP255" s="20">
        <v>415</v>
      </c>
      <c r="BQ255" s="20">
        <v>144</v>
      </c>
      <c r="BR255" s="20">
        <f t="shared" si="143"/>
        <v>271</v>
      </c>
      <c r="BS255" s="34"/>
    </row>
    <row r="256" spans="1:71" s="2" customFormat="1" ht="12.95" customHeight="1">
      <c r="A256" s="3">
        <v>2013</v>
      </c>
      <c r="B256" s="38" t="s">
        <v>48</v>
      </c>
      <c r="C256" s="25">
        <f>+MITRE[[#This Row],[Trenes Puntuales]]/MITRE[[#This Row],[Trenes Programados]]</f>
        <v>0.49387951807228914</v>
      </c>
      <c r="D256" s="25">
        <f>+MITRE[[#This Row],[Trenes Puntuales]]/MITRE[[#This Row],[Trenes Corridos]]</f>
        <v>0.66502271252433487</v>
      </c>
      <c r="E256" s="25">
        <f>+MITRE[[#This Row],[Trenes Corridos]]/MITRE[[#This Row],[Trenes Programados]]</f>
        <v>0.74265060240963854</v>
      </c>
      <c r="F256" s="27">
        <f t="shared" si="100"/>
        <v>10375</v>
      </c>
      <c r="G256" s="27">
        <f t="shared" si="101"/>
        <v>2670</v>
      </c>
      <c r="H256" s="27">
        <f t="shared" si="102"/>
        <v>7705</v>
      </c>
      <c r="I256" s="27">
        <f t="shared" si="103"/>
        <v>5124</v>
      </c>
      <c r="J256" s="27">
        <f t="shared" si="104"/>
        <v>2581</v>
      </c>
      <c r="K256" s="27"/>
      <c r="L256" s="4"/>
      <c r="M256" s="29">
        <v>2013</v>
      </c>
      <c r="N256" s="38" t="s">
        <v>48</v>
      </c>
      <c r="O256" s="35">
        <f>+Tabla4[[#This Row],[Trenes Puntuales]]/Tabla4[[#This Row],[Trenes Programados]]</f>
        <v>0.48820224719101124</v>
      </c>
      <c r="P256" s="35">
        <f>+Tabla4[[#This Row],[Trenes Puntuales]]/Tabla4[[#This Row],[Trenes Corridos]]</f>
        <v>0.56100710135571341</v>
      </c>
      <c r="Q256" s="35">
        <f>+Tabla4[[#This Row],[Trenes Corridos]]/Tabla4[[#This Row],[Trenes Programados]]</f>
        <v>0.87022471910112364</v>
      </c>
      <c r="R256" s="20">
        <v>3560</v>
      </c>
      <c r="S256" s="27">
        <f t="shared" si="134"/>
        <v>462</v>
      </c>
      <c r="T256" s="20">
        <v>3098</v>
      </c>
      <c r="U256" s="20">
        <v>1738</v>
      </c>
      <c r="V256" s="20">
        <f t="shared" si="135"/>
        <v>1360</v>
      </c>
      <c r="W256" s="20"/>
      <c r="X256" s="5"/>
      <c r="Y256" s="29">
        <v>2013</v>
      </c>
      <c r="Z256" s="38" t="s">
        <v>48</v>
      </c>
      <c r="AA256" s="35">
        <f>+Tabla5[[#This Row],[Trenes Puntuales]]/Tabla5[[#This Row],[Trenes Programados]]</f>
        <v>0.62549668874172182</v>
      </c>
      <c r="AB256" s="35">
        <f>+Tabla5[[#This Row],[Trenes Puntuales]]/Tabla5[[#This Row],[Trenes Corridos]]</f>
        <v>0.74136577708006279</v>
      </c>
      <c r="AC256" s="35">
        <f>+Tabla5[[#This Row],[Trenes Corridos]]/Tabla5[[#This Row],[Trenes Programados]]</f>
        <v>0.84370860927152314</v>
      </c>
      <c r="AD256" s="20">
        <v>3020</v>
      </c>
      <c r="AE256" s="27">
        <f t="shared" si="136"/>
        <v>472</v>
      </c>
      <c r="AF256" s="20">
        <v>2548</v>
      </c>
      <c r="AG256" s="20">
        <v>1889</v>
      </c>
      <c r="AH256" s="20">
        <f t="shared" si="137"/>
        <v>659</v>
      </c>
      <c r="AI256" s="20"/>
      <c r="AJ256" s="5"/>
      <c r="AK256" s="29">
        <v>2013</v>
      </c>
      <c r="AL256" s="38" t="s">
        <v>48</v>
      </c>
      <c r="AM256" s="35">
        <f>+Tabla6[[#This Row],[Trenes Puntuales]]/Tabla6[[#This Row],[Trenes Programados]]</f>
        <v>0.67958656330749356</v>
      </c>
      <c r="AN256" s="35">
        <f>+Tabla6[[#This Row],[Trenes Puntuales]]/Tabla6[[#This Row],[Trenes Corridos]]</f>
        <v>0.87608261159227185</v>
      </c>
      <c r="AO256" s="35">
        <f>+Tabla6[[#This Row],[Trenes Corridos]]/Tabla6[[#This Row],[Trenes Programados]]</f>
        <v>0.77571059431524547</v>
      </c>
      <c r="AP256" s="20">
        <v>1935</v>
      </c>
      <c r="AQ256" s="27">
        <f t="shared" si="138"/>
        <v>434</v>
      </c>
      <c r="AR256" s="20">
        <v>1501</v>
      </c>
      <c r="AS256" s="20">
        <v>1315</v>
      </c>
      <c r="AT256" s="20">
        <f t="shared" si="139"/>
        <v>186</v>
      </c>
      <c r="AU256" s="20"/>
      <c r="AV256" s="5"/>
      <c r="AW256" s="29">
        <v>2013</v>
      </c>
      <c r="AX256" s="38" t="s">
        <v>48</v>
      </c>
      <c r="AY256" s="35">
        <f>+MIT_Vic_Cap[[#This Row],[Trenes Puntuales]]/MIT_Vic_Cap[[#This Row],[Trenes Programados]]</f>
        <v>9.7382198952879584E-2</v>
      </c>
      <c r="AZ256" s="35">
        <f>+MIT_Vic_Cap[[#This Row],[Trenes Puntuales]]/MIT_Vic_Cap[[#This Row],[Trenes Corridos]]</f>
        <v>0.44285714285714284</v>
      </c>
      <c r="BA256" s="35">
        <f>+MIT_Vic_Cap[[#This Row],[Trenes Corridos]]/MIT_Vic_Cap[[#This Row],[Trenes Programados]]</f>
        <v>0.21989528795811519</v>
      </c>
      <c r="BB256" s="20">
        <v>955</v>
      </c>
      <c r="BC256" s="27">
        <f t="shared" si="140"/>
        <v>745</v>
      </c>
      <c r="BD256" s="20">
        <v>210</v>
      </c>
      <c r="BE256" s="20">
        <v>93</v>
      </c>
      <c r="BF256" s="20">
        <f t="shared" si="141"/>
        <v>117</v>
      </c>
      <c r="BG256" s="20"/>
      <c r="BH256" s="5"/>
      <c r="BI256" s="29">
        <v>2013</v>
      </c>
      <c r="BJ256" s="38" t="s">
        <v>48</v>
      </c>
      <c r="BK256" s="35">
        <f>+Tabla8[[#This Row],[Trenes Puntuales]]/Tabla8[[#This Row],[Trenes Programados]]</f>
        <v>9.8342541436464093E-2</v>
      </c>
      <c r="BL256" s="35">
        <f>+Tabla8[[#This Row],[Trenes Puntuales]]/Tabla8[[#This Row],[Trenes Corridos]]</f>
        <v>0.2557471264367816</v>
      </c>
      <c r="BM256" s="35">
        <f>+Tabla8[[#This Row],[Trenes Corridos]]/Tabla8[[#This Row],[Trenes Programados]]</f>
        <v>0.38453038674033146</v>
      </c>
      <c r="BN256" s="20">
        <v>905</v>
      </c>
      <c r="BO256" s="27">
        <f t="shared" si="142"/>
        <v>557</v>
      </c>
      <c r="BP256" s="20">
        <v>348</v>
      </c>
      <c r="BQ256" s="20">
        <v>89</v>
      </c>
      <c r="BR256" s="20">
        <f t="shared" si="143"/>
        <v>259</v>
      </c>
      <c r="BS256" s="34"/>
    </row>
    <row r="257" spans="1:71" s="2" customFormat="1" ht="12.95" customHeight="1">
      <c r="A257" s="3">
        <v>2013</v>
      </c>
      <c r="B257" s="38" t="s">
        <v>49</v>
      </c>
      <c r="C257" s="25">
        <f>+MITRE[[#This Row],[Trenes Puntuales]]/MITRE[[#This Row],[Trenes Programados]]</f>
        <v>0.46522512402883087</v>
      </c>
      <c r="D257" s="25">
        <f>+MITRE[[#This Row],[Trenes Puntuales]]/MITRE[[#This Row],[Trenes Corridos]]</f>
        <v>0.6583653464034972</v>
      </c>
      <c r="E257" s="25">
        <f>+MITRE[[#This Row],[Trenes Corridos]]/MITRE[[#This Row],[Trenes Programados]]</f>
        <v>0.70663671253393245</v>
      </c>
      <c r="F257" s="27">
        <f t="shared" si="100"/>
        <v>10683</v>
      </c>
      <c r="G257" s="27">
        <f t="shared" si="101"/>
        <v>3134</v>
      </c>
      <c r="H257" s="27">
        <f t="shared" si="102"/>
        <v>7549</v>
      </c>
      <c r="I257" s="27">
        <f t="shared" si="103"/>
        <v>4970</v>
      </c>
      <c r="J257" s="27">
        <f t="shared" si="104"/>
        <v>2579</v>
      </c>
      <c r="K257" s="27"/>
      <c r="L257" s="4"/>
      <c r="M257" s="29">
        <v>2013</v>
      </c>
      <c r="N257" s="38" t="s">
        <v>49</v>
      </c>
      <c r="O257" s="35">
        <f>+Tabla4[[#This Row],[Trenes Puntuales]]/Tabla4[[#This Row],[Trenes Programados]]</f>
        <v>0.42547425474254741</v>
      </c>
      <c r="P257" s="35">
        <f>+Tabla4[[#This Row],[Trenes Puntuales]]/Tabla4[[#This Row],[Trenes Corridos]]</f>
        <v>0.5398899587345255</v>
      </c>
      <c r="Q257" s="35">
        <f>+Tabla4[[#This Row],[Trenes Corridos]]/Tabla4[[#This Row],[Trenes Programados]]</f>
        <v>0.78807588075880763</v>
      </c>
      <c r="R257" s="20">
        <v>3690</v>
      </c>
      <c r="S257" s="27">
        <f t="shared" si="134"/>
        <v>782</v>
      </c>
      <c r="T257" s="20">
        <v>2908</v>
      </c>
      <c r="U257" s="20">
        <v>1570</v>
      </c>
      <c r="V257" s="20">
        <f t="shared" si="135"/>
        <v>1338</v>
      </c>
      <c r="W257" s="20"/>
      <c r="X257" s="5"/>
      <c r="Y257" s="29">
        <v>2013</v>
      </c>
      <c r="Z257" s="38" t="s">
        <v>49</v>
      </c>
      <c r="AA257" s="35">
        <f>+Tabla5[[#This Row],[Trenes Puntuales]]/Tabla5[[#This Row],[Trenes Programados]]</f>
        <v>0.59696186166774401</v>
      </c>
      <c r="AB257" s="35">
        <f>+Tabla5[[#This Row],[Trenes Puntuales]]/Tabla5[[#This Row],[Trenes Corridos]]</f>
        <v>0.73909563825530211</v>
      </c>
      <c r="AC257" s="35">
        <f>+Tabla5[[#This Row],[Trenes Corridos]]/Tabla5[[#This Row],[Trenes Programados]]</f>
        <v>0.80769230769230771</v>
      </c>
      <c r="AD257" s="20">
        <v>3094</v>
      </c>
      <c r="AE257" s="27">
        <f t="shared" si="136"/>
        <v>595</v>
      </c>
      <c r="AF257" s="20">
        <v>2499</v>
      </c>
      <c r="AG257" s="20">
        <v>1847</v>
      </c>
      <c r="AH257" s="20">
        <f t="shared" si="137"/>
        <v>652</v>
      </c>
      <c r="AI257" s="20"/>
      <c r="AJ257" s="5"/>
      <c r="AK257" s="29">
        <v>2013</v>
      </c>
      <c r="AL257" s="38" t="s">
        <v>49</v>
      </c>
      <c r="AM257" s="35">
        <f>+Tabla6[[#This Row],[Trenes Puntuales]]/Tabla6[[#This Row],[Trenes Programados]]</f>
        <v>0.66230498238550584</v>
      </c>
      <c r="AN257" s="35">
        <f>+Tabla6[[#This Row],[Trenes Puntuales]]/Tabla6[[#This Row],[Trenes Corridos]]</f>
        <v>0.8652202498356345</v>
      </c>
      <c r="AO257" s="35">
        <f>+Tabla6[[#This Row],[Trenes Corridos]]/Tabla6[[#This Row],[Trenes Programados]]</f>
        <v>0.76547559134373422</v>
      </c>
      <c r="AP257" s="20">
        <v>1987</v>
      </c>
      <c r="AQ257" s="27">
        <f t="shared" si="138"/>
        <v>466</v>
      </c>
      <c r="AR257" s="20">
        <v>1521</v>
      </c>
      <c r="AS257" s="20">
        <v>1316</v>
      </c>
      <c r="AT257" s="20">
        <f t="shared" si="139"/>
        <v>205</v>
      </c>
      <c r="AU257" s="20"/>
      <c r="AV257" s="5"/>
      <c r="AW257" s="29">
        <v>2013</v>
      </c>
      <c r="AX257" s="38" t="s">
        <v>49</v>
      </c>
      <c r="AY257" s="35">
        <f>+MIT_Vic_Cap[[#This Row],[Trenes Puntuales]]/MIT_Vic_Cap[[#This Row],[Trenes Programados]]</f>
        <v>0.10553278688524591</v>
      </c>
      <c r="AZ257" s="35">
        <f>+MIT_Vic_Cap[[#This Row],[Trenes Puntuales]]/MIT_Vic_Cap[[#This Row],[Trenes Corridos]]</f>
        <v>0.49519230769230771</v>
      </c>
      <c r="BA257" s="35">
        <f>+MIT_Vic_Cap[[#This Row],[Trenes Corridos]]/MIT_Vic_Cap[[#This Row],[Trenes Programados]]</f>
        <v>0.21311475409836064</v>
      </c>
      <c r="BB257" s="20">
        <v>976</v>
      </c>
      <c r="BC257" s="27">
        <f t="shared" si="140"/>
        <v>768</v>
      </c>
      <c r="BD257" s="20">
        <v>208</v>
      </c>
      <c r="BE257" s="20">
        <v>103</v>
      </c>
      <c r="BF257" s="20">
        <f t="shared" si="141"/>
        <v>105</v>
      </c>
      <c r="BG257" s="20"/>
      <c r="BH257" s="5"/>
      <c r="BI257" s="29">
        <v>2013</v>
      </c>
      <c r="BJ257" s="38" t="s">
        <v>49</v>
      </c>
      <c r="BK257" s="35">
        <f>+Tabla8[[#This Row],[Trenes Puntuales]]/Tabla8[[#This Row],[Trenes Programados]]</f>
        <v>0.14316239316239315</v>
      </c>
      <c r="BL257" s="35">
        <f>+Tabla8[[#This Row],[Trenes Puntuales]]/Tabla8[[#This Row],[Trenes Corridos]]</f>
        <v>0.32445520581113801</v>
      </c>
      <c r="BM257" s="35">
        <f>+Tabla8[[#This Row],[Trenes Corridos]]/Tabla8[[#This Row],[Trenes Programados]]</f>
        <v>0.44123931623931623</v>
      </c>
      <c r="BN257" s="20">
        <v>936</v>
      </c>
      <c r="BO257" s="27">
        <f t="shared" si="142"/>
        <v>523</v>
      </c>
      <c r="BP257" s="20">
        <v>413</v>
      </c>
      <c r="BQ257" s="20">
        <v>134</v>
      </c>
      <c r="BR257" s="20">
        <f t="shared" si="143"/>
        <v>279</v>
      </c>
      <c r="BS257" s="34"/>
    </row>
    <row r="258" spans="1:71" s="3" customFormat="1" ht="12.75">
      <c r="A258" s="3">
        <v>2014</v>
      </c>
      <c r="B258" s="38" t="s">
        <v>38</v>
      </c>
      <c r="C258" s="25">
        <f>+MITRE[[#This Row],[Trenes Puntuales]]/MITRE[[#This Row],[Trenes Programados]]</f>
        <v>0.5122878605211908</v>
      </c>
      <c r="D258" s="25">
        <f>+MITRE[[#This Row],[Trenes Puntuales]]/MITRE[[#This Row],[Trenes Corridos]]</f>
        <v>0.71434113539376698</v>
      </c>
      <c r="E258" s="25">
        <f>+MITRE[[#This Row],[Trenes Corridos]]/MITRE[[#This Row],[Trenes Programados]]</f>
        <v>0.71714736158768433</v>
      </c>
      <c r="F258" s="27">
        <f t="shared" si="100"/>
        <v>10783</v>
      </c>
      <c r="G258" s="27">
        <f t="shared" si="101"/>
        <v>3050</v>
      </c>
      <c r="H258" s="27">
        <f t="shared" si="102"/>
        <v>7733</v>
      </c>
      <c r="I258" s="27">
        <f t="shared" si="103"/>
        <v>5524</v>
      </c>
      <c r="J258" s="27">
        <f t="shared" si="104"/>
        <v>2209</v>
      </c>
      <c r="K258" s="27"/>
      <c r="L258" s="4"/>
      <c r="M258" s="29">
        <v>2014</v>
      </c>
      <c r="N258" s="38" t="s">
        <v>38</v>
      </c>
      <c r="O258" s="35">
        <f>+Tabla4[[#This Row],[Trenes Puntuales]]/Tabla4[[#This Row],[Trenes Programados]]</f>
        <v>0.5417789757412399</v>
      </c>
      <c r="P258" s="35">
        <f>+Tabla4[[#This Row],[Trenes Puntuales]]/Tabla4[[#This Row],[Trenes Corridos]]</f>
        <v>0.67</v>
      </c>
      <c r="Q258" s="35">
        <f>+Tabla4[[#This Row],[Trenes Corridos]]/Tabla4[[#This Row],[Trenes Programados]]</f>
        <v>0.80862533692722371</v>
      </c>
      <c r="R258" s="20">
        <v>3710</v>
      </c>
      <c r="S258" s="27">
        <f t="shared" ref="S258:S266" si="144">R258-T258</f>
        <v>710</v>
      </c>
      <c r="T258" s="20">
        <v>3000</v>
      </c>
      <c r="U258" s="20">
        <v>2010</v>
      </c>
      <c r="V258" s="20">
        <f t="shared" ref="V258:V269" si="145">T258-U258</f>
        <v>990</v>
      </c>
      <c r="W258" s="20"/>
      <c r="X258" s="5"/>
      <c r="Y258" s="29">
        <v>2014</v>
      </c>
      <c r="Z258" s="38" t="s">
        <v>38</v>
      </c>
      <c r="AA258" s="35">
        <f>+Tabla5[[#This Row],[Trenes Puntuales]]/Tabla5[[#This Row],[Trenes Programados]]</f>
        <v>0.61100447856685858</v>
      </c>
      <c r="AB258" s="35">
        <f>+Tabla5[[#This Row],[Trenes Puntuales]]/Tabla5[[#This Row],[Trenes Corridos]]</f>
        <v>0.74901960784313726</v>
      </c>
      <c r="AC258" s="35">
        <f>+Tabla5[[#This Row],[Trenes Corridos]]/Tabla5[[#This Row],[Trenes Programados]]</f>
        <v>0.81573896353166986</v>
      </c>
      <c r="AD258" s="20">
        <v>3126</v>
      </c>
      <c r="AE258" s="27">
        <f t="shared" ref="AE258:AE266" si="146">AD258-AF258</f>
        <v>576</v>
      </c>
      <c r="AF258" s="20">
        <v>2550</v>
      </c>
      <c r="AG258" s="20">
        <v>1910</v>
      </c>
      <c r="AH258" s="20">
        <f t="shared" ref="AH258:AH269" si="147">AF258-AG258</f>
        <v>640</v>
      </c>
      <c r="AI258" s="20"/>
      <c r="AJ258" s="5"/>
      <c r="AK258" s="29">
        <v>2014</v>
      </c>
      <c r="AL258" s="38" t="s">
        <v>38</v>
      </c>
      <c r="AM258" s="35">
        <f>+Tabla6[[#This Row],[Trenes Puntuales]]/Tabla6[[#This Row],[Trenes Programados]]</f>
        <v>0.66933066933066931</v>
      </c>
      <c r="AN258" s="35">
        <f>+Tabla6[[#This Row],[Trenes Puntuales]]/Tabla6[[#This Row],[Trenes Corridos]]</f>
        <v>0.84329767149150414</v>
      </c>
      <c r="AO258" s="35">
        <f>+Tabla6[[#This Row],[Trenes Corridos]]/Tabla6[[#This Row],[Trenes Programados]]</f>
        <v>0.79370629370629375</v>
      </c>
      <c r="AP258" s="20">
        <v>2002</v>
      </c>
      <c r="AQ258" s="27">
        <f t="shared" ref="AQ258:AQ266" si="148">AP258-AR258</f>
        <v>413</v>
      </c>
      <c r="AR258" s="20">
        <v>1589</v>
      </c>
      <c r="AS258" s="20">
        <v>1340</v>
      </c>
      <c r="AT258" s="20">
        <f t="shared" ref="AT258:AT269" si="149">AR258-AS258</f>
        <v>249</v>
      </c>
      <c r="AU258" s="20"/>
      <c r="AV258" s="5"/>
      <c r="AW258" s="29">
        <v>2014</v>
      </c>
      <c r="AX258" s="38" t="s">
        <v>38</v>
      </c>
      <c r="AY258" s="35">
        <f>+MIT_Vic_Cap[[#This Row],[Trenes Puntuales]]/MIT_Vic_Cap[[#This Row],[Trenes Programados]]</f>
        <v>9.9089989888776542E-2</v>
      </c>
      <c r="AZ258" s="35">
        <f>+MIT_Vic_Cap[[#This Row],[Trenes Puntuales]]/MIT_Vic_Cap[[#This Row],[Trenes Corridos]]</f>
        <v>0.59756097560975607</v>
      </c>
      <c r="BA258" s="35">
        <f>+MIT_Vic_Cap[[#This Row],[Trenes Corridos]]/MIT_Vic_Cap[[#This Row],[Trenes Programados]]</f>
        <v>0.16582406471183014</v>
      </c>
      <c r="BB258" s="20">
        <v>989</v>
      </c>
      <c r="BC258" s="27">
        <f t="shared" ref="BC258:BC266" si="150">BB258-BD258</f>
        <v>825</v>
      </c>
      <c r="BD258" s="20">
        <v>164</v>
      </c>
      <c r="BE258" s="20">
        <v>98</v>
      </c>
      <c r="BF258" s="20">
        <f t="shared" ref="BF258:BF269" si="151">BD258-BE258</f>
        <v>66</v>
      </c>
      <c r="BG258" s="20"/>
      <c r="BH258" s="5"/>
      <c r="BI258" s="29">
        <v>2014</v>
      </c>
      <c r="BJ258" s="38" t="s">
        <v>38</v>
      </c>
      <c r="BK258" s="35">
        <f>+Tabla8[[#This Row],[Trenes Puntuales]]/Tabla8[[#This Row],[Trenes Programados]]</f>
        <v>0.17364016736401675</v>
      </c>
      <c r="BL258" s="35">
        <f>+Tabla8[[#This Row],[Trenes Puntuales]]/Tabla8[[#This Row],[Trenes Corridos]]</f>
        <v>0.38604651162790699</v>
      </c>
      <c r="BM258" s="35">
        <f>+Tabla8[[#This Row],[Trenes Corridos]]/Tabla8[[#This Row],[Trenes Programados]]</f>
        <v>0.44979079497907948</v>
      </c>
      <c r="BN258" s="20">
        <v>956</v>
      </c>
      <c r="BO258" s="27">
        <f t="shared" ref="BO258:BO266" si="152">BN258-BP258</f>
        <v>526</v>
      </c>
      <c r="BP258" s="20">
        <v>430</v>
      </c>
      <c r="BQ258" s="20">
        <v>166</v>
      </c>
      <c r="BR258" s="20">
        <f t="shared" ref="BR258:BR269" si="153">BP258-BQ258</f>
        <v>264</v>
      </c>
      <c r="BS258" s="29"/>
    </row>
    <row r="259" spans="1:71" s="3" customFormat="1" ht="12.75">
      <c r="A259" s="3">
        <v>2014</v>
      </c>
      <c r="B259" s="38" t="s">
        <v>39</v>
      </c>
      <c r="C259" s="25">
        <f>+MITRE[[#This Row],[Trenes Puntuales]]/MITRE[[#This Row],[Trenes Programados]]</f>
        <v>0.3755114566284779</v>
      </c>
      <c r="D259" s="25">
        <f>+MITRE[[#This Row],[Trenes Puntuales]]/MITRE[[#This Row],[Trenes Corridos]]</f>
        <v>0.53087490961677508</v>
      </c>
      <c r="E259" s="25">
        <f>+MITRE[[#This Row],[Trenes Corridos]]/MITRE[[#This Row],[Trenes Programados]]</f>
        <v>0.70734451718494273</v>
      </c>
      <c r="F259" s="27">
        <f t="shared" si="100"/>
        <v>9776</v>
      </c>
      <c r="G259" s="27">
        <f t="shared" si="101"/>
        <v>2861</v>
      </c>
      <c r="H259" s="27">
        <f t="shared" si="102"/>
        <v>6915</v>
      </c>
      <c r="I259" s="27">
        <f t="shared" si="103"/>
        <v>3671</v>
      </c>
      <c r="J259" s="27">
        <f t="shared" si="104"/>
        <v>3244</v>
      </c>
      <c r="K259" s="27"/>
      <c r="L259" s="4"/>
      <c r="M259" s="29">
        <v>2014</v>
      </c>
      <c r="N259" s="38" t="s">
        <v>39</v>
      </c>
      <c r="O259" s="35">
        <f>+Tabla4[[#This Row],[Trenes Puntuales]]/Tabla4[[#This Row],[Trenes Programados]]</f>
        <v>0.51610978520286399</v>
      </c>
      <c r="P259" s="35">
        <f>+Tabla4[[#This Row],[Trenes Puntuales]]/Tabla4[[#This Row],[Trenes Corridos]]</f>
        <v>0.61609686609686609</v>
      </c>
      <c r="Q259" s="35">
        <f>+Tabla4[[#This Row],[Trenes Corridos]]/Tabla4[[#This Row],[Trenes Programados]]</f>
        <v>0.83770883054892598</v>
      </c>
      <c r="R259" s="20">
        <v>3352</v>
      </c>
      <c r="S259" s="27">
        <f t="shared" si="144"/>
        <v>544</v>
      </c>
      <c r="T259" s="20">
        <v>2808</v>
      </c>
      <c r="U259" s="20">
        <v>1730</v>
      </c>
      <c r="V259" s="20">
        <f t="shared" si="145"/>
        <v>1078</v>
      </c>
      <c r="W259" s="20"/>
      <c r="X259" s="5"/>
      <c r="Y259" s="29">
        <v>2014</v>
      </c>
      <c r="Z259" s="38" t="s">
        <v>39</v>
      </c>
      <c r="AA259" s="35">
        <f>+Tabla5[[#This Row],[Trenes Puntuales]]/Tabla5[[#This Row],[Trenes Programados]]</f>
        <v>0.33133802816901409</v>
      </c>
      <c r="AB259" s="35">
        <f>+Tabla5[[#This Row],[Trenes Puntuales]]/Tabla5[[#This Row],[Trenes Corridos]]</f>
        <v>0.4112762237762238</v>
      </c>
      <c r="AC259" s="35">
        <f>+Tabla5[[#This Row],[Trenes Corridos]]/Tabla5[[#This Row],[Trenes Programados]]</f>
        <v>0.80563380281690145</v>
      </c>
      <c r="AD259" s="20">
        <v>2840</v>
      </c>
      <c r="AE259" s="27">
        <f t="shared" si="146"/>
        <v>552</v>
      </c>
      <c r="AF259" s="20">
        <v>2288</v>
      </c>
      <c r="AG259" s="20">
        <v>941</v>
      </c>
      <c r="AH259" s="20">
        <f t="shared" si="147"/>
        <v>1347</v>
      </c>
      <c r="AI259" s="20"/>
      <c r="AJ259" s="5"/>
      <c r="AK259" s="29">
        <v>2014</v>
      </c>
      <c r="AL259" s="38" t="s">
        <v>39</v>
      </c>
      <c r="AM259" s="35">
        <f>+Tabla6[[#This Row],[Trenes Puntuales]]/Tabla6[[#This Row],[Trenes Programados]]</f>
        <v>0.47246696035242292</v>
      </c>
      <c r="AN259" s="35">
        <f>+Tabla6[[#This Row],[Trenes Puntuales]]/Tabla6[[#This Row],[Trenes Corridos]]</f>
        <v>0.61682242990654201</v>
      </c>
      <c r="AO259" s="35">
        <f>+Tabla6[[#This Row],[Trenes Corridos]]/Tabla6[[#This Row],[Trenes Programados]]</f>
        <v>0.7659691629955947</v>
      </c>
      <c r="AP259" s="20">
        <v>1816</v>
      </c>
      <c r="AQ259" s="27">
        <f t="shared" si="148"/>
        <v>425</v>
      </c>
      <c r="AR259" s="20">
        <v>1391</v>
      </c>
      <c r="AS259" s="20">
        <v>858</v>
      </c>
      <c r="AT259" s="20">
        <f t="shared" si="149"/>
        <v>533</v>
      </c>
      <c r="AU259" s="20"/>
      <c r="AV259" s="5"/>
      <c r="AW259" s="29">
        <v>2014</v>
      </c>
      <c r="AX259" s="38" t="s">
        <v>39</v>
      </c>
      <c r="AY259" s="35">
        <f>+MIT_Vic_Cap[[#This Row],[Trenes Puntuales]]/MIT_Vic_Cap[[#This Row],[Trenes Programados]]</f>
        <v>2.8888888888888888E-2</v>
      </c>
      <c r="AZ259" s="35">
        <f>+MIT_Vic_Cap[[#This Row],[Trenes Puntuales]]/MIT_Vic_Cap[[#This Row],[Trenes Corridos]]</f>
        <v>0.47272727272727272</v>
      </c>
      <c r="BA259" s="35">
        <f>+MIT_Vic_Cap[[#This Row],[Trenes Corridos]]/MIT_Vic_Cap[[#This Row],[Trenes Programados]]</f>
        <v>6.1111111111111109E-2</v>
      </c>
      <c r="BB259" s="20">
        <v>900</v>
      </c>
      <c r="BC259" s="27">
        <f t="shared" si="150"/>
        <v>845</v>
      </c>
      <c r="BD259" s="20">
        <v>55</v>
      </c>
      <c r="BE259" s="20">
        <v>26</v>
      </c>
      <c r="BF259" s="20">
        <f t="shared" si="151"/>
        <v>29</v>
      </c>
      <c r="BG259" s="20"/>
      <c r="BH259" s="5"/>
      <c r="BI259" s="29">
        <v>2014</v>
      </c>
      <c r="BJ259" s="38" t="s">
        <v>39</v>
      </c>
      <c r="BK259" s="35">
        <f>+Tabla8[[#This Row],[Trenes Puntuales]]/Tabla8[[#This Row],[Trenes Programados]]</f>
        <v>0.13364055299539171</v>
      </c>
      <c r="BL259" s="35">
        <f>+Tabla8[[#This Row],[Trenes Puntuales]]/Tabla8[[#This Row],[Trenes Corridos]]</f>
        <v>0.31099195710455763</v>
      </c>
      <c r="BM259" s="35">
        <f>+Tabla8[[#This Row],[Trenes Corridos]]/Tabla8[[#This Row],[Trenes Programados]]</f>
        <v>0.42972350230414746</v>
      </c>
      <c r="BN259" s="20">
        <v>868</v>
      </c>
      <c r="BO259" s="27">
        <f t="shared" si="152"/>
        <v>495</v>
      </c>
      <c r="BP259" s="20">
        <v>373</v>
      </c>
      <c r="BQ259" s="20">
        <v>116</v>
      </c>
      <c r="BR259" s="20">
        <f t="shared" si="153"/>
        <v>257</v>
      </c>
      <c r="BS259" s="29"/>
    </row>
    <row r="260" spans="1:71" s="3" customFormat="1" ht="12.75">
      <c r="A260" s="3">
        <v>2014</v>
      </c>
      <c r="B260" s="38" t="s">
        <v>40</v>
      </c>
      <c r="C260" s="25">
        <f>+MITRE[[#This Row],[Trenes Puntuales]]/MITRE[[#This Row],[Trenes Programados]]</f>
        <v>0.56368483412322279</v>
      </c>
      <c r="D260" s="25">
        <f>+MITRE[[#This Row],[Trenes Puntuales]]/MITRE[[#This Row],[Trenes Corridos]]</f>
        <v>0.73126681183553222</v>
      </c>
      <c r="E260" s="25">
        <f>+MITRE[[#This Row],[Trenes Corridos]]/MITRE[[#This Row],[Trenes Programados]]</f>
        <v>0.77083333333333337</v>
      </c>
      <c r="F260" s="27">
        <f t="shared" si="100"/>
        <v>10128</v>
      </c>
      <c r="G260" s="27">
        <f t="shared" si="101"/>
        <v>2321</v>
      </c>
      <c r="H260" s="27">
        <f t="shared" si="102"/>
        <v>7807</v>
      </c>
      <c r="I260" s="27">
        <f t="shared" si="103"/>
        <v>5709</v>
      </c>
      <c r="J260" s="27">
        <f t="shared" si="104"/>
        <v>2098</v>
      </c>
      <c r="K260" s="27"/>
      <c r="L260" s="4"/>
      <c r="M260" s="29">
        <v>2014</v>
      </c>
      <c r="N260" s="38" t="s">
        <v>40</v>
      </c>
      <c r="O260" s="35">
        <f>+Tabla4[[#This Row],[Trenes Puntuales]]/Tabla4[[#This Row],[Trenes Programados]]</f>
        <v>0.61858797573083291</v>
      </c>
      <c r="P260" s="35">
        <f>+Tabla4[[#This Row],[Trenes Puntuales]]/Tabla4[[#This Row],[Trenes Corridos]]</f>
        <v>0.70357590966122963</v>
      </c>
      <c r="Q260" s="35">
        <f>+Tabla4[[#This Row],[Trenes Corridos]]/Tabla4[[#This Row],[Trenes Programados]]</f>
        <v>0.87920573634859345</v>
      </c>
      <c r="R260" s="20">
        <v>3626</v>
      </c>
      <c r="S260" s="27">
        <f t="shared" si="144"/>
        <v>438</v>
      </c>
      <c r="T260" s="20">
        <v>3188</v>
      </c>
      <c r="U260" s="20">
        <v>2243</v>
      </c>
      <c r="V260" s="20">
        <f t="shared" si="145"/>
        <v>945</v>
      </c>
      <c r="W260" s="20"/>
      <c r="X260" s="5"/>
      <c r="Y260" s="29">
        <v>2014</v>
      </c>
      <c r="Z260" s="38" t="s">
        <v>40</v>
      </c>
      <c r="AA260" s="35">
        <f>+Tabla5[[#This Row],[Trenes Puntuales]]/Tabla5[[#This Row],[Trenes Programados]]</f>
        <v>0.63181504485852313</v>
      </c>
      <c r="AB260" s="35">
        <f>+Tabla5[[#This Row],[Trenes Puntuales]]/Tabla5[[#This Row],[Trenes Corridos]]</f>
        <v>0.71832091016084743</v>
      </c>
      <c r="AC260" s="35">
        <f>+Tabla5[[#This Row],[Trenes Corridos]]/Tabla5[[#This Row],[Trenes Programados]]</f>
        <v>0.87957211870255347</v>
      </c>
      <c r="AD260" s="20">
        <v>2898</v>
      </c>
      <c r="AE260" s="27">
        <f t="shared" si="146"/>
        <v>349</v>
      </c>
      <c r="AF260" s="20">
        <v>2549</v>
      </c>
      <c r="AG260" s="20">
        <v>1831</v>
      </c>
      <c r="AH260" s="20">
        <f t="shared" si="147"/>
        <v>718</v>
      </c>
      <c r="AI260" s="20"/>
      <c r="AJ260" s="5"/>
      <c r="AK260" s="29">
        <v>2014</v>
      </c>
      <c r="AL260" s="38" t="s">
        <v>40</v>
      </c>
      <c r="AM260" s="35">
        <f>+Tabla6[[#This Row],[Trenes Puntuales]]/Tabla6[[#This Row],[Trenes Programados]]</f>
        <v>0.75118608328940428</v>
      </c>
      <c r="AN260" s="35">
        <f>+Tabla6[[#This Row],[Trenes Puntuales]]/Tabla6[[#This Row],[Trenes Corridos]]</f>
        <v>0.86363636363636365</v>
      </c>
      <c r="AO260" s="35">
        <f>+Tabla6[[#This Row],[Trenes Corridos]]/Tabla6[[#This Row],[Trenes Programados]]</f>
        <v>0.86979441222983656</v>
      </c>
      <c r="AP260" s="20">
        <v>1897</v>
      </c>
      <c r="AQ260" s="27">
        <f t="shared" si="148"/>
        <v>247</v>
      </c>
      <c r="AR260" s="20">
        <v>1650</v>
      </c>
      <c r="AS260" s="20">
        <v>1425</v>
      </c>
      <c r="AT260" s="20">
        <f t="shared" si="149"/>
        <v>225</v>
      </c>
      <c r="AU260" s="20"/>
      <c r="AV260" s="5"/>
      <c r="AW260" s="29">
        <v>2014</v>
      </c>
      <c r="AX260" s="38" t="s">
        <v>40</v>
      </c>
      <c r="AY260" s="35">
        <f>+MIT_Vic_Cap[[#This Row],[Trenes Puntuales]]/MIT_Vic_Cap[[#This Row],[Trenes Programados]]</f>
        <v>6.8421052631578952E-2</v>
      </c>
      <c r="AZ260" s="35">
        <f>+MIT_Vic_Cap[[#This Row],[Trenes Puntuales]]/MIT_Vic_Cap[[#This Row],[Trenes Corridos]]</f>
        <v>0.51587301587301593</v>
      </c>
      <c r="BA260" s="35">
        <f>+MIT_Vic_Cap[[#This Row],[Trenes Corridos]]/MIT_Vic_Cap[[#This Row],[Trenes Programados]]</f>
        <v>0.13263157894736843</v>
      </c>
      <c r="BB260" s="20">
        <v>950</v>
      </c>
      <c r="BC260" s="27">
        <f t="shared" si="150"/>
        <v>824</v>
      </c>
      <c r="BD260" s="20">
        <v>126</v>
      </c>
      <c r="BE260" s="20">
        <v>65</v>
      </c>
      <c r="BF260" s="20">
        <f t="shared" si="151"/>
        <v>61</v>
      </c>
      <c r="BG260" s="31" t="s">
        <v>53</v>
      </c>
      <c r="BH260" s="5"/>
      <c r="BI260" s="29">
        <v>2014</v>
      </c>
      <c r="BJ260" s="38" t="s">
        <v>40</v>
      </c>
      <c r="BK260" s="35">
        <f>+Tabla8[[#This Row],[Trenes Puntuales]]/Tabla8[[#This Row],[Trenes Programados]]</f>
        <v>0.19154557463672392</v>
      </c>
      <c r="BL260" s="35">
        <f>+Tabla8[[#This Row],[Trenes Puntuales]]/Tabla8[[#This Row],[Trenes Corridos]]</f>
        <v>0.49319727891156462</v>
      </c>
      <c r="BM260" s="35">
        <f>+Tabla8[[#This Row],[Trenes Corridos]]/Tabla8[[#This Row],[Trenes Programados]]</f>
        <v>0.38837516512549536</v>
      </c>
      <c r="BN260" s="20">
        <v>757</v>
      </c>
      <c r="BO260" s="27">
        <f t="shared" si="152"/>
        <v>463</v>
      </c>
      <c r="BP260" s="20">
        <v>294</v>
      </c>
      <c r="BQ260" s="20">
        <v>145</v>
      </c>
      <c r="BR260" s="20">
        <f t="shared" si="153"/>
        <v>149</v>
      </c>
      <c r="BS260" s="29"/>
    </row>
    <row r="261" spans="1:71" s="3" customFormat="1" ht="12.75">
      <c r="A261" s="3">
        <v>2014</v>
      </c>
      <c r="B261" s="38" t="s">
        <v>41</v>
      </c>
      <c r="C261" s="25">
        <f>+MITRE[[#This Row],[Trenes Puntuales]]/MITRE[[#This Row],[Trenes Programados]]</f>
        <v>0.61051435653790542</v>
      </c>
      <c r="D261" s="25">
        <f>+MITRE[[#This Row],[Trenes Puntuales]]/MITRE[[#This Row],[Trenes Corridos]]</f>
        <v>0.79055771031162236</v>
      </c>
      <c r="E261" s="25">
        <f>+MITRE[[#This Row],[Trenes Corridos]]/MITRE[[#This Row],[Trenes Programados]]</f>
        <v>0.77225779797562488</v>
      </c>
      <c r="F261" s="27">
        <f t="shared" si="100"/>
        <v>9682</v>
      </c>
      <c r="G261" s="27">
        <f t="shared" si="101"/>
        <v>2205</v>
      </c>
      <c r="H261" s="27">
        <f t="shared" si="102"/>
        <v>7477</v>
      </c>
      <c r="I261" s="27">
        <f t="shared" si="103"/>
        <v>5911</v>
      </c>
      <c r="J261" s="27">
        <f t="shared" si="104"/>
        <v>1566</v>
      </c>
      <c r="K261" s="27"/>
      <c r="L261" s="4"/>
      <c r="M261" s="29">
        <v>2014</v>
      </c>
      <c r="N261" s="38" t="s">
        <v>41</v>
      </c>
      <c r="O261" s="35">
        <f>+Tabla4[[#This Row],[Trenes Puntuales]]/Tabla4[[#This Row],[Trenes Programados]]</f>
        <v>0.67480359147025815</v>
      </c>
      <c r="P261" s="35">
        <f>+Tabla4[[#This Row],[Trenes Puntuales]]/Tabla4[[#This Row],[Trenes Corridos]]</f>
        <v>0.77430779137153893</v>
      </c>
      <c r="Q261" s="35">
        <f>+Tabla4[[#This Row],[Trenes Corridos]]/Tabla4[[#This Row],[Trenes Programados]]</f>
        <v>0.87149270482603813</v>
      </c>
      <c r="R261" s="20">
        <v>3564</v>
      </c>
      <c r="S261" s="27">
        <f t="shared" si="144"/>
        <v>458</v>
      </c>
      <c r="T261" s="20">
        <v>3106</v>
      </c>
      <c r="U261" s="20">
        <v>2405</v>
      </c>
      <c r="V261" s="20">
        <f t="shared" si="145"/>
        <v>701</v>
      </c>
      <c r="W261" s="20"/>
      <c r="X261" s="5"/>
      <c r="Y261" s="29">
        <v>2014</v>
      </c>
      <c r="Z261" s="38" t="s">
        <v>41</v>
      </c>
      <c r="AA261" s="35">
        <f>+Tabla5[[#This Row],[Trenes Puntuales]]/Tabla5[[#This Row],[Trenes Programados]]</f>
        <v>0.66886930983847281</v>
      </c>
      <c r="AB261" s="35">
        <f>+Tabla5[[#This Row],[Trenes Puntuales]]/Tabla5[[#This Row],[Trenes Corridos]]</f>
        <v>0.76202425763278958</v>
      </c>
      <c r="AC261" s="35">
        <f>+Tabla5[[#This Row],[Trenes Corridos]]/Tabla5[[#This Row],[Trenes Programados]]</f>
        <v>0.8777533039647577</v>
      </c>
      <c r="AD261" s="20">
        <v>2724</v>
      </c>
      <c r="AE261" s="27">
        <f t="shared" si="146"/>
        <v>333</v>
      </c>
      <c r="AF261" s="20">
        <v>2391</v>
      </c>
      <c r="AG261" s="20">
        <v>1822</v>
      </c>
      <c r="AH261" s="20">
        <f t="shared" si="147"/>
        <v>569</v>
      </c>
      <c r="AI261" s="20"/>
      <c r="AJ261" s="5"/>
      <c r="AK261" s="29">
        <v>2014</v>
      </c>
      <c r="AL261" s="38" t="s">
        <v>41</v>
      </c>
      <c r="AM261" s="35">
        <f>+Tabla6[[#This Row],[Trenes Puntuales]]/Tabla6[[#This Row],[Trenes Programados]]</f>
        <v>0.77888888888888885</v>
      </c>
      <c r="AN261" s="35">
        <f>+Tabla6[[#This Row],[Trenes Puntuales]]/Tabla6[[#This Row],[Trenes Corridos]]</f>
        <v>0.89470325462667522</v>
      </c>
      <c r="AO261" s="35">
        <f>+Tabla6[[#This Row],[Trenes Corridos]]/Tabla6[[#This Row],[Trenes Programados]]</f>
        <v>0.87055555555555553</v>
      </c>
      <c r="AP261" s="20">
        <v>1800</v>
      </c>
      <c r="AQ261" s="27">
        <f t="shared" si="148"/>
        <v>233</v>
      </c>
      <c r="AR261" s="20">
        <v>1567</v>
      </c>
      <c r="AS261" s="20">
        <v>1402</v>
      </c>
      <c r="AT261" s="20">
        <f t="shared" si="149"/>
        <v>165</v>
      </c>
      <c r="AU261" s="20"/>
      <c r="AV261" s="5"/>
      <c r="AW261" s="29">
        <v>2014</v>
      </c>
      <c r="AX261" s="38" t="s">
        <v>41</v>
      </c>
      <c r="AY261" s="35">
        <f>+MIT_Vic_Cap[[#This Row],[Trenes Puntuales]]/MIT_Vic_Cap[[#This Row],[Trenes Programados]]</f>
        <v>0.1602972399150743</v>
      </c>
      <c r="AZ261" s="35">
        <f>+MIT_Vic_Cap[[#This Row],[Trenes Puntuales]]/MIT_Vic_Cap[[#This Row],[Trenes Corridos]]</f>
        <v>0.85310734463276838</v>
      </c>
      <c r="BA261" s="35">
        <f>+MIT_Vic_Cap[[#This Row],[Trenes Corridos]]/MIT_Vic_Cap[[#This Row],[Trenes Programados]]</f>
        <v>0.18789808917197454</v>
      </c>
      <c r="BB261" s="20">
        <v>942</v>
      </c>
      <c r="BC261" s="27">
        <f t="shared" si="150"/>
        <v>765</v>
      </c>
      <c r="BD261" s="20">
        <v>177</v>
      </c>
      <c r="BE261" s="20">
        <v>151</v>
      </c>
      <c r="BF261" s="20">
        <f t="shared" si="151"/>
        <v>26</v>
      </c>
      <c r="BG261" s="20"/>
      <c r="BH261" s="5"/>
      <c r="BI261" s="29">
        <v>2014</v>
      </c>
      <c r="BJ261" s="38" t="s">
        <v>41</v>
      </c>
      <c r="BK261" s="35">
        <f>+Tabla8[[#This Row],[Trenes Puntuales]]/Tabla8[[#This Row],[Trenes Programados]]</f>
        <v>0.20092024539877301</v>
      </c>
      <c r="BL261" s="35">
        <f>+Tabla8[[#This Row],[Trenes Puntuales]]/Tabla8[[#This Row],[Trenes Corridos]]</f>
        <v>0.55508474576271183</v>
      </c>
      <c r="BM261" s="35">
        <f>+Tabla8[[#This Row],[Trenes Corridos]]/Tabla8[[#This Row],[Trenes Programados]]</f>
        <v>0.3619631901840491</v>
      </c>
      <c r="BN261" s="20">
        <v>652</v>
      </c>
      <c r="BO261" s="27">
        <f t="shared" si="152"/>
        <v>416</v>
      </c>
      <c r="BP261" s="20">
        <v>236</v>
      </c>
      <c r="BQ261" s="20">
        <v>131</v>
      </c>
      <c r="BR261" s="20">
        <f t="shared" si="153"/>
        <v>105</v>
      </c>
      <c r="BS261" s="29"/>
    </row>
    <row r="262" spans="1:71" s="3" customFormat="1" ht="12.75">
      <c r="A262" s="3">
        <v>2014</v>
      </c>
      <c r="B262" s="38" t="s">
        <v>42</v>
      </c>
      <c r="C262" s="25">
        <f>+MITRE[[#This Row],[Trenes Puntuales]]/MITRE[[#This Row],[Trenes Programados]]</f>
        <v>0.70400618033329654</v>
      </c>
      <c r="D262" s="25">
        <f>+MITRE[[#This Row],[Trenes Puntuales]]/MITRE[[#This Row],[Trenes Corridos]]</f>
        <v>0.78433542358293373</v>
      </c>
      <c r="E262" s="25">
        <f>+MITRE[[#This Row],[Trenes Corridos]]/MITRE[[#This Row],[Trenes Programados]]</f>
        <v>0.8975830482286723</v>
      </c>
      <c r="F262" s="27">
        <f t="shared" si="100"/>
        <v>9061</v>
      </c>
      <c r="G262" s="27">
        <f t="shared" si="101"/>
        <v>928</v>
      </c>
      <c r="H262" s="27">
        <f t="shared" si="102"/>
        <v>8133</v>
      </c>
      <c r="I262" s="27">
        <f t="shared" si="103"/>
        <v>6379</v>
      </c>
      <c r="J262" s="27">
        <f t="shared" si="104"/>
        <v>1754</v>
      </c>
      <c r="K262" s="27"/>
      <c r="L262" s="4"/>
      <c r="M262" s="29">
        <v>2014</v>
      </c>
      <c r="N262" s="38" t="s">
        <v>42</v>
      </c>
      <c r="O262" s="35">
        <f>+Tabla4[[#This Row],[Trenes Puntuales]]/Tabla4[[#This Row],[Trenes Programados]]</f>
        <v>0.76568466993998907</v>
      </c>
      <c r="P262" s="35">
        <f>+Tabla4[[#This Row],[Trenes Puntuales]]/Tabla4[[#This Row],[Trenes Corridos]]</f>
        <v>0.8138590895911858</v>
      </c>
      <c r="Q262" s="35">
        <f>+Tabla4[[#This Row],[Trenes Corridos]]/Tabla4[[#This Row],[Trenes Programados]]</f>
        <v>0.94080741953082381</v>
      </c>
      <c r="R262" s="20">
        <v>3666</v>
      </c>
      <c r="S262" s="27">
        <f t="shared" si="144"/>
        <v>217</v>
      </c>
      <c r="T262" s="20">
        <v>3449</v>
      </c>
      <c r="U262" s="20">
        <v>2807</v>
      </c>
      <c r="V262" s="20">
        <f t="shared" si="145"/>
        <v>642</v>
      </c>
      <c r="W262" s="20"/>
      <c r="X262" s="5"/>
      <c r="Y262" s="29">
        <v>2014</v>
      </c>
      <c r="Z262" s="38" t="s">
        <v>42</v>
      </c>
      <c r="AA262" s="35">
        <f>+Tabla5[[#This Row],[Trenes Puntuales]]/Tabla5[[#This Row],[Trenes Programados]]</f>
        <v>0.63355799929052858</v>
      </c>
      <c r="AB262" s="35">
        <f>+Tabla5[[#This Row],[Trenes Puntuales]]/Tabla5[[#This Row],[Trenes Corridos]]</f>
        <v>0.69575379820802496</v>
      </c>
      <c r="AC262" s="35">
        <f>+Tabla5[[#This Row],[Trenes Corridos]]/Tabla5[[#This Row],[Trenes Programados]]</f>
        <v>0.91060659808442712</v>
      </c>
      <c r="AD262" s="20">
        <v>2819</v>
      </c>
      <c r="AE262" s="27">
        <f t="shared" si="146"/>
        <v>252</v>
      </c>
      <c r="AF262" s="20">
        <v>2567</v>
      </c>
      <c r="AG262" s="20">
        <v>1786</v>
      </c>
      <c r="AH262" s="20">
        <f t="shared" si="147"/>
        <v>781</v>
      </c>
      <c r="AI262" s="20"/>
      <c r="AJ262" s="5"/>
      <c r="AK262" s="29">
        <v>2014</v>
      </c>
      <c r="AL262" s="38" t="s">
        <v>42</v>
      </c>
      <c r="AM262" s="35">
        <f>+Tabla6[[#This Row],[Trenes Puntuales]]/Tabla6[[#This Row],[Trenes Programados]]</f>
        <v>0.85338345864661658</v>
      </c>
      <c r="AN262" s="35">
        <f>+Tabla6[[#This Row],[Trenes Puntuales]]/Tabla6[[#This Row],[Trenes Corridos]]</f>
        <v>0.92978349912229374</v>
      </c>
      <c r="AO262" s="35">
        <f>+Tabla6[[#This Row],[Trenes Corridos]]/Tabla6[[#This Row],[Trenes Programados]]</f>
        <v>0.91783029001074112</v>
      </c>
      <c r="AP262" s="20">
        <v>1862</v>
      </c>
      <c r="AQ262" s="27">
        <f t="shared" si="148"/>
        <v>153</v>
      </c>
      <c r="AR262" s="20">
        <v>1709</v>
      </c>
      <c r="AS262" s="20">
        <v>1589</v>
      </c>
      <c r="AT262" s="20">
        <f t="shared" si="149"/>
        <v>120</v>
      </c>
      <c r="AU262" s="20"/>
      <c r="AV262" s="5"/>
      <c r="AW262" s="29">
        <v>2014</v>
      </c>
      <c r="AX262" s="38" t="s">
        <v>42</v>
      </c>
      <c r="AY262" s="35">
        <f>+MIT_Vic_Cap[[#This Row],[Trenes Puntuales]]/MIT_Vic_Cap[[#This Row],[Trenes Programados]]</f>
        <v>0.31951219512195123</v>
      </c>
      <c r="AZ262" s="35">
        <f>+MIT_Vic_Cap[[#This Row],[Trenes Puntuales]]/MIT_Vic_Cap[[#This Row],[Trenes Corridos]]</f>
        <v>0.83974358974358976</v>
      </c>
      <c r="BA262" s="35">
        <f>+MIT_Vic_Cap[[#This Row],[Trenes Corridos]]/MIT_Vic_Cap[[#This Row],[Trenes Programados]]</f>
        <v>0.38048780487804879</v>
      </c>
      <c r="BB262" s="20">
        <v>410</v>
      </c>
      <c r="BC262" s="27">
        <f t="shared" si="150"/>
        <v>254</v>
      </c>
      <c r="BD262" s="20">
        <v>156</v>
      </c>
      <c r="BE262" s="20">
        <v>131</v>
      </c>
      <c r="BF262" s="20">
        <f t="shared" si="151"/>
        <v>25</v>
      </c>
      <c r="BG262" s="20"/>
      <c r="BH262" s="5"/>
      <c r="BI262" s="29">
        <v>2014</v>
      </c>
      <c r="BJ262" s="38" t="s">
        <v>42</v>
      </c>
      <c r="BK262" s="35">
        <f>+Tabla8[[#This Row],[Trenes Puntuales]]/Tabla8[[#This Row],[Trenes Programados]]</f>
        <v>0.21710526315789475</v>
      </c>
      <c r="BL262" s="35">
        <f>+Tabla8[[#This Row],[Trenes Puntuales]]/Tabla8[[#This Row],[Trenes Corridos]]</f>
        <v>0.26190476190476192</v>
      </c>
      <c r="BM262" s="35">
        <f>+Tabla8[[#This Row],[Trenes Corridos]]/Tabla8[[#This Row],[Trenes Programados]]</f>
        <v>0.82894736842105265</v>
      </c>
      <c r="BN262" s="20">
        <v>304</v>
      </c>
      <c r="BO262" s="27">
        <f t="shared" si="152"/>
        <v>52</v>
      </c>
      <c r="BP262" s="20">
        <v>252</v>
      </c>
      <c r="BQ262" s="20">
        <v>66</v>
      </c>
      <c r="BR262" s="20">
        <f t="shared" si="153"/>
        <v>186</v>
      </c>
      <c r="BS262" s="29"/>
    </row>
    <row r="263" spans="1:71" s="3" customFormat="1" ht="12.75">
      <c r="A263" s="3">
        <v>2014</v>
      </c>
      <c r="B263" s="38" t="s">
        <v>43</v>
      </c>
      <c r="C263" s="25">
        <f>+MITRE[[#This Row],[Trenes Puntuales]]/MITRE[[#This Row],[Trenes Programados]]</f>
        <v>0.74129864201757389</v>
      </c>
      <c r="D263" s="25">
        <f>+MITRE[[#This Row],[Trenes Puntuales]]/MITRE[[#This Row],[Trenes Corridos]]</f>
        <v>0.82020202020202015</v>
      </c>
      <c r="E263" s="25">
        <f>+MITRE[[#This Row],[Trenes Corridos]]/MITRE[[#This Row],[Trenes Programados]]</f>
        <v>0.90380006846970218</v>
      </c>
      <c r="F263" s="27">
        <f t="shared" si="100"/>
        <v>8763</v>
      </c>
      <c r="G263" s="27">
        <f t="shared" si="101"/>
        <v>843</v>
      </c>
      <c r="H263" s="27">
        <f t="shared" si="102"/>
        <v>7920</v>
      </c>
      <c r="I263" s="27">
        <f t="shared" si="103"/>
        <v>6496</v>
      </c>
      <c r="J263" s="27">
        <f t="shared" si="104"/>
        <v>1424</v>
      </c>
      <c r="K263" s="27"/>
      <c r="L263" s="4"/>
      <c r="M263" s="29">
        <v>2014</v>
      </c>
      <c r="N263" s="38" t="s">
        <v>43</v>
      </c>
      <c r="O263" s="35">
        <f>+Tabla4[[#This Row],[Trenes Puntuales]]/Tabla4[[#This Row],[Trenes Programados]]</f>
        <v>0.80780022446689115</v>
      </c>
      <c r="P263" s="35">
        <f>+Tabla4[[#This Row],[Trenes Puntuales]]/Tabla4[[#This Row],[Trenes Corridos]]</f>
        <v>0.84329232571763324</v>
      </c>
      <c r="Q263" s="35">
        <f>+Tabla4[[#This Row],[Trenes Corridos]]/Tabla4[[#This Row],[Trenes Programados]]</f>
        <v>0.95791245791245794</v>
      </c>
      <c r="R263" s="20">
        <v>3564</v>
      </c>
      <c r="S263" s="27">
        <f t="shared" si="144"/>
        <v>150</v>
      </c>
      <c r="T263" s="20">
        <v>3414</v>
      </c>
      <c r="U263" s="20">
        <v>2879</v>
      </c>
      <c r="V263" s="20">
        <f t="shared" si="145"/>
        <v>535</v>
      </c>
      <c r="W263" s="20"/>
      <c r="X263" s="5"/>
      <c r="Y263" s="29">
        <v>2014</v>
      </c>
      <c r="Z263" s="38" t="s">
        <v>43</v>
      </c>
      <c r="AA263" s="35">
        <f>+Tabla5[[#This Row],[Trenes Puntuales]]/Tabla5[[#This Row],[Trenes Programados]]</f>
        <v>0.68685756240822315</v>
      </c>
      <c r="AB263" s="35">
        <f>+Tabla5[[#This Row],[Trenes Puntuales]]/Tabla5[[#This Row],[Trenes Corridos]]</f>
        <v>0.7568770226537217</v>
      </c>
      <c r="AC263" s="35">
        <f>+Tabla5[[#This Row],[Trenes Corridos]]/Tabla5[[#This Row],[Trenes Programados]]</f>
        <v>0.90748898678414092</v>
      </c>
      <c r="AD263" s="20">
        <v>2724</v>
      </c>
      <c r="AE263" s="27">
        <f t="shared" si="146"/>
        <v>252</v>
      </c>
      <c r="AF263" s="20">
        <v>2472</v>
      </c>
      <c r="AG263" s="20">
        <v>1871</v>
      </c>
      <c r="AH263" s="20">
        <f t="shared" si="147"/>
        <v>601</v>
      </c>
      <c r="AI263" s="20"/>
      <c r="AJ263" s="5"/>
      <c r="AK263" s="29">
        <v>2014</v>
      </c>
      <c r="AL263" s="38" t="s">
        <v>43</v>
      </c>
      <c r="AM263" s="35">
        <f>+Tabla6[[#This Row],[Trenes Puntuales]]/Tabla6[[#This Row],[Trenes Programados]]</f>
        <v>0.85777777777777775</v>
      </c>
      <c r="AN263" s="35">
        <f>+Tabla6[[#This Row],[Trenes Puntuales]]/Tabla6[[#This Row],[Trenes Corridos]]</f>
        <v>0.92510485320551228</v>
      </c>
      <c r="AO263" s="35">
        <f>+Tabla6[[#This Row],[Trenes Corridos]]/Tabla6[[#This Row],[Trenes Programados]]</f>
        <v>0.92722222222222217</v>
      </c>
      <c r="AP263" s="20">
        <v>1800</v>
      </c>
      <c r="AQ263" s="27">
        <f t="shared" si="148"/>
        <v>131</v>
      </c>
      <c r="AR263" s="20">
        <v>1669</v>
      </c>
      <c r="AS263" s="20">
        <v>1544</v>
      </c>
      <c r="AT263" s="20">
        <f t="shared" si="149"/>
        <v>125</v>
      </c>
      <c r="AU263" s="20"/>
      <c r="AV263" s="5"/>
      <c r="AW263" s="29">
        <v>2014</v>
      </c>
      <c r="AX263" s="38" t="s">
        <v>43</v>
      </c>
      <c r="AY263" s="35">
        <f>+MIT_Vic_Cap[[#This Row],[Trenes Puntuales]]/MIT_Vic_Cap[[#This Row],[Trenes Programados]]</f>
        <v>0.29040404040404039</v>
      </c>
      <c r="AZ263" s="35">
        <f>+MIT_Vic_Cap[[#This Row],[Trenes Puntuales]]/MIT_Vic_Cap[[#This Row],[Trenes Corridos]]</f>
        <v>0.75657894736842102</v>
      </c>
      <c r="BA263" s="35">
        <f>+MIT_Vic_Cap[[#This Row],[Trenes Corridos]]/MIT_Vic_Cap[[#This Row],[Trenes Programados]]</f>
        <v>0.38383838383838381</v>
      </c>
      <c r="BB263" s="20">
        <v>396</v>
      </c>
      <c r="BC263" s="27">
        <f t="shared" si="150"/>
        <v>244</v>
      </c>
      <c r="BD263" s="20">
        <v>152</v>
      </c>
      <c r="BE263" s="20">
        <v>115</v>
      </c>
      <c r="BF263" s="20">
        <f t="shared" si="151"/>
        <v>37</v>
      </c>
      <c r="BG263" s="20"/>
      <c r="BH263" s="5"/>
      <c r="BI263" s="29">
        <v>2014</v>
      </c>
      <c r="BJ263" s="38" t="s">
        <v>43</v>
      </c>
      <c r="BK263" s="35">
        <f>+Tabla8[[#This Row],[Trenes Puntuales]]/Tabla8[[#This Row],[Trenes Programados]]</f>
        <v>0.31182795698924731</v>
      </c>
      <c r="BL263" s="35">
        <f>+Tabla8[[#This Row],[Trenes Puntuales]]/Tabla8[[#This Row],[Trenes Corridos]]</f>
        <v>0.40845070422535212</v>
      </c>
      <c r="BM263" s="35">
        <f>+Tabla8[[#This Row],[Trenes Corridos]]/Tabla8[[#This Row],[Trenes Programados]]</f>
        <v>0.76344086021505375</v>
      </c>
      <c r="BN263" s="20">
        <v>279</v>
      </c>
      <c r="BO263" s="27">
        <f t="shared" si="152"/>
        <v>66</v>
      </c>
      <c r="BP263" s="20">
        <v>213</v>
      </c>
      <c r="BQ263" s="20">
        <v>87</v>
      </c>
      <c r="BR263" s="20">
        <f t="shared" si="153"/>
        <v>126</v>
      </c>
      <c r="BS263" s="29"/>
    </row>
    <row r="264" spans="1:71" s="3" customFormat="1" ht="12.75">
      <c r="A264" s="3">
        <v>2014</v>
      </c>
      <c r="B264" s="38" t="s">
        <v>44</v>
      </c>
      <c r="C264" s="25">
        <f>+MITRE[[#This Row],[Trenes Puntuales]]/MITRE[[#This Row],[Trenes Programados]]</f>
        <v>0.63112487556686203</v>
      </c>
      <c r="D264" s="25">
        <f>+MITRE[[#This Row],[Trenes Puntuales]]/MITRE[[#This Row],[Trenes Corridos]]</f>
        <v>0.70531520395550062</v>
      </c>
      <c r="E264" s="25">
        <f>+MITRE[[#This Row],[Trenes Corridos]]/MITRE[[#This Row],[Trenes Programados]]</f>
        <v>0.89481252073885631</v>
      </c>
      <c r="F264" s="27">
        <f t="shared" si="100"/>
        <v>9041</v>
      </c>
      <c r="G264" s="27">
        <f t="shared" si="101"/>
        <v>951</v>
      </c>
      <c r="H264" s="27">
        <f t="shared" si="102"/>
        <v>8090</v>
      </c>
      <c r="I264" s="27">
        <f t="shared" si="103"/>
        <v>5706</v>
      </c>
      <c r="J264" s="27">
        <f t="shared" si="104"/>
        <v>2384</v>
      </c>
      <c r="K264" s="27"/>
      <c r="L264" s="4"/>
      <c r="M264" s="29">
        <v>2014</v>
      </c>
      <c r="N264" s="38" t="s">
        <v>44</v>
      </c>
      <c r="O264" s="35">
        <f>+Tabla4[[#This Row],[Trenes Puntuales]]/Tabla4[[#This Row],[Trenes Programados]]</f>
        <v>0.44420485175202157</v>
      </c>
      <c r="P264" s="35">
        <f>+Tabla4[[#This Row],[Trenes Puntuales]]/Tabla4[[#This Row],[Trenes Corridos]]</f>
        <v>0.48484848484848486</v>
      </c>
      <c r="Q264" s="35">
        <f>+Tabla4[[#This Row],[Trenes Corridos]]/Tabla4[[#This Row],[Trenes Programados]]</f>
        <v>0.91617250673854445</v>
      </c>
      <c r="R264" s="20">
        <v>3710</v>
      </c>
      <c r="S264" s="27">
        <f t="shared" si="144"/>
        <v>311</v>
      </c>
      <c r="T264" s="20">
        <v>3399</v>
      </c>
      <c r="U264" s="20">
        <v>1648</v>
      </c>
      <c r="V264" s="20">
        <f t="shared" si="145"/>
        <v>1751</v>
      </c>
      <c r="W264" s="20"/>
      <c r="X264" s="5"/>
      <c r="Y264" s="29">
        <v>2014</v>
      </c>
      <c r="Z264" s="38" t="s">
        <v>44</v>
      </c>
      <c r="AA264" s="35">
        <f>+Tabla5[[#This Row],[Trenes Puntuales]]/Tabla5[[#This Row],[Trenes Programados]]</f>
        <v>0.76936619718309862</v>
      </c>
      <c r="AB264" s="35">
        <f>+Tabla5[[#This Row],[Trenes Puntuales]]/Tabla5[[#This Row],[Trenes Corridos]]</f>
        <v>0.82765151515151514</v>
      </c>
      <c r="AC264" s="35">
        <f>+Tabla5[[#This Row],[Trenes Corridos]]/Tabla5[[#This Row],[Trenes Programados]]</f>
        <v>0.92957746478873238</v>
      </c>
      <c r="AD264" s="20">
        <v>2840</v>
      </c>
      <c r="AE264" s="27">
        <f t="shared" si="146"/>
        <v>200</v>
      </c>
      <c r="AF264" s="20">
        <v>2640</v>
      </c>
      <c r="AG264" s="20">
        <v>2185</v>
      </c>
      <c r="AH264" s="20">
        <f t="shared" si="147"/>
        <v>455</v>
      </c>
      <c r="AI264" s="20"/>
      <c r="AJ264" s="5"/>
      <c r="AK264" s="29">
        <v>2014</v>
      </c>
      <c r="AL264" s="38" t="s">
        <v>44</v>
      </c>
      <c r="AM264" s="35">
        <f>+Tabla6[[#This Row],[Trenes Puntuales]]/Tabla6[[#This Row],[Trenes Programados]]</f>
        <v>0.9129273504273504</v>
      </c>
      <c r="AN264" s="35">
        <f>+Tabla6[[#This Row],[Trenes Puntuales]]/Tabla6[[#This Row],[Trenes Corridos]]</f>
        <v>0.94211686879823597</v>
      </c>
      <c r="AO264" s="35">
        <f>+Tabla6[[#This Row],[Trenes Corridos]]/Tabla6[[#This Row],[Trenes Programados]]</f>
        <v>0.96901709401709402</v>
      </c>
      <c r="AP264" s="20">
        <v>1872</v>
      </c>
      <c r="AQ264" s="27">
        <f t="shared" si="148"/>
        <v>58</v>
      </c>
      <c r="AR264" s="20">
        <v>1814</v>
      </c>
      <c r="AS264" s="20">
        <v>1709</v>
      </c>
      <c r="AT264" s="20">
        <f t="shared" si="149"/>
        <v>105</v>
      </c>
      <c r="AU264" s="20"/>
      <c r="AV264" s="5"/>
      <c r="AW264" s="29">
        <v>2014</v>
      </c>
      <c r="AX264" s="38" t="s">
        <v>44</v>
      </c>
      <c r="AY264" s="35">
        <f>+MIT_Vic_Cap[[#This Row],[Trenes Puntuales]]/MIT_Vic_Cap[[#This Row],[Trenes Programados]]</f>
        <v>0.15903614457831325</v>
      </c>
      <c r="AZ264" s="35">
        <f>+MIT_Vic_Cap[[#This Row],[Trenes Puntuales]]/MIT_Vic_Cap[[#This Row],[Trenes Corridos]]</f>
        <v>0.70967741935483875</v>
      </c>
      <c r="BA264" s="35">
        <f>+MIT_Vic_Cap[[#This Row],[Trenes Corridos]]/MIT_Vic_Cap[[#This Row],[Trenes Programados]]</f>
        <v>0.22409638554216868</v>
      </c>
      <c r="BB264" s="20">
        <v>415</v>
      </c>
      <c r="BC264" s="27">
        <f t="shared" si="150"/>
        <v>322</v>
      </c>
      <c r="BD264" s="20">
        <v>93</v>
      </c>
      <c r="BE264" s="20">
        <v>66</v>
      </c>
      <c r="BF264" s="20">
        <f t="shared" si="151"/>
        <v>27</v>
      </c>
      <c r="BG264" s="20"/>
      <c r="BH264" s="5"/>
      <c r="BI264" s="29">
        <v>2014</v>
      </c>
      <c r="BJ264" s="38" t="s">
        <v>44</v>
      </c>
      <c r="BK264" s="35">
        <f>+Tabla8[[#This Row],[Trenes Puntuales]]/Tabla8[[#This Row],[Trenes Programados]]</f>
        <v>0.48039215686274511</v>
      </c>
      <c r="BL264" s="35">
        <f>+Tabla8[[#This Row],[Trenes Puntuales]]/Tabla8[[#This Row],[Trenes Corridos]]</f>
        <v>0.68055555555555558</v>
      </c>
      <c r="BM264" s="35">
        <f>+Tabla8[[#This Row],[Trenes Corridos]]/Tabla8[[#This Row],[Trenes Programados]]</f>
        <v>0.70588235294117652</v>
      </c>
      <c r="BN264" s="20">
        <v>204</v>
      </c>
      <c r="BO264" s="27">
        <f t="shared" si="152"/>
        <v>60</v>
      </c>
      <c r="BP264" s="20">
        <v>144</v>
      </c>
      <c r="BQ264" s="20">
        <v>98</v>
      </c>
      <c r="BR264" s="20">
        <f t="shared" si="153"/>
        <v>46</v>
      </c>
      <c r="BS264" s="29"/>
    </row>
    <row r="265" spans="1:71" s="3" customFormat="1" ht="12.75">
      <c r="A265" s="3">
        <v>2014</v>
      </c>
      <c r="B265" s="38" t="s">
        <v>45</v>
      </c>
      <c r="C265" s="25">
        <f>+MITRE[[#This Row],[Trenes Puntuales]]/MITRE[[#This Row],[Trenes Programados]]</f>
        <v>0.50056929924438465</v>
      </c>
      <c r="D265" s="25">
        <f>+MITRE[[#This Row],[Trenes Puntuales]]/MITRE[[#This Row],[Trenes Corridos]]</f>
        <v>0.59821870361207319</v>
      </c>
      <c r="E265" s="25">
        <f>+MITRE[[#This Row],[Trenes Corridos]]/MITRE[[#This Row],[Trenes Programados]]</f>
        <v>0.83676638029189521</v>
      </c>
      <c r="F265" s="27">
        <f t="shared" si="100"/>
        <v>9661</v>
      </c>
      <c r="G265" s="27">
        <f t="shared" si="101"/>
        <v>1577</v>
      </c>
      <c r="H265" s="27">
        <f t="shared" si="102"/>
        <v>8084</v>
      </c>
      <c r="I265" s="27">
        <f t="shared" si="103"/>
        <v>4836</v>
      </c>
      <c r="J265" s="27">
        <f t="shared" si="104"/>
        <v>3248</v>
      </c>
      <c r="K265" s="27"/>
      <c r="L265" s="4"/>
      <c r="M265" s="29">
        <v>2014</v>
      </c>
      <c r="N265" s="38" t="s">
        <v>45</v>
      </c>
      <c r="O265" s="35">
        <f>+Tabla4[[#This Row],[Trenes Puntuales]]/Tabla4[[#This Row],[Trenes Programados]]</f>
        <v>0.47326786688488814</v>
      </c>
      <c r="P265" s="35">
        <f>+Tabla4[[#This Row],[Trenes Puntuales]]/Tabla4[[#This Row],[Trenes Corridos]]</f>
        <v>0.53302611367127495</v>
      </c>
      <c r="Q265" s="35">
        <f>+Tabla4[[#This Row],[Trenes Corridos]]/Tabla4[[#This Row],[Trenes Programados]]</f>
        <v>0.88788870703764322</v>
      </c>
      <c r="R265" s="20">
        <v>3666</v>
      </c>
      <c r="S265" s="27">
        <f t="shared" si="144"/>
        <v>411</v>
      </c>
      <c r="T265" s="20">
        <v>3255</v>
      </c>
      <c r="U265" s="20">
        <v>1735</v>
      </c>
      <c r="V265" s="20">
        <f t="shared" si="145"/>
        <v>1520</v>
      </c>
      <c r="W265" s="20"/>
      <c r="X265" s="5"/>
      <c r="Y265" s="29">
        <v>2014</v>
      </c>
      <c r="Z265" s="38" t="s">
        <v>45</v>
      </c>
      <c r="AA265" s="35">
        <f>+Tabla5[[#This Row],[Trenes Puntuales]]/Tabla5[[#This Row],[Trenes Programados]]</f>
        <v>0.49022556390977445</v>
      </c>
      <c r="AB265" s="35">
        <f>+Tabla5[[#This Row],[Trenes Puntuales]]/Tabla5[[#This Row],[Trenes Corridos]]</f>
        <v>0.60192023633677993</v>
      </c>
      <c r="AC265" s="35">
        <f>+Tabla5[[#This Row],[Trenes Corridos]]/Tabla5[[#This Row],[Trenes Programados]]</f>
        <v>0.81443609022556396</v>
      </c>
      <c r="AD265" s="20">
        <v>3325</v>
      </c>
      <c r="AE265" s="27">
        <f t="shared" si="146"/>
        <v>617</v>
      </c>
      <c r="AF265" s="20">
        <v>2708</v>
      </c>
      <c r="AG265" s="20">
        <v>1630</v>
      </c>
      <c r="AH265" s="20">
        <f t="shared" si="147"/>
        <v>1078</v>
      </c>
      <c r="AI265" s="20"/>
      <c r="AJ265" s="5"/>
      <c r="AK265" s="29">
        <v>2014</v>
      </c>
      <c r="AL265" s="38" t="s">
        <v>45</v>
      </c>
      <c r="AM265" s="35">
        <f>+Tabla6[[#This Row],[Trenes Puntuales]]/Tabla6[[#This Row],[Trenes Programados]]</f>
        <v>0.61708118254340683</v>
      </c>
      <c r="AN265" s="35">
        <f>+Tabla6[[#This Row],[Trenes Puntuales]]/Tabla6[[#This Row],[Trenes Corridos]]</f>
        <v>0.69137749737118825</v>
      </c>
      <c r="AO265" s="35">
        <f>+Tabla6[[#This Row],[Trenes Corridos]]/Tabla6[[#This Row],[Trenes Programados]]</f>
        <v>0.8925387142186767</v>
      </c>
      <c r="AP265" s="20">
        <v>2131</v>
      </c>
      <c r="AQ265" s="27">
        <f t="shared" si="148"/>
        <v>229</v>
      </c>
      <c r="AR265" s="20">
        <v>1902</v>
      </c>
      <c r="AS265" s="20">
        <v>1315</v>
      </c>
      <c r="AT265" s="20">
        <f t="shared" si="149"/>
        <v>587</v>
      </c>
      <c r="AU265" s="20"/>
      <c r="AV265" s="5"/>
      <c r="AW265" s="29">
        <v>2014</v>
      </c>
      <c r="AX265" s="38" t="s">
        <v>45</v>
      </c>
      <c r="AY265" s="35">
        <f>+MIT_Vic_Cap[[#This Row],[Trenes Puntuales]]/MIT_Vic_Cap[[#This Row],[Trenes Programados]]</f>
        <v>0.23132530120481928</v>
      </c>
      <c r="AZ265" s="35">
        <f>+MIT_Vic_Cap[[#This Row],[Trenes Puntuales]]/MIT_Vic_Cap[[#This Row],[Trenes Corridos]]</f>
        <v>0.84210526315789469</v>
      </c>
      <c r="BA265" s="35">
        <f>+MIT_Vic_Cap[[#This Row],[Trenes Corridos]]/MIT_Vic_Cap[[#This Row],[Trenes Programados]]</f>
        <v>0.27469879518072288</v>
      </c>
      <c r="BB265" s="20">
        <v>415</v>
      </c>
      <c r="BC265" s="27">
        <f t="shared" si="150"/>
        <v>301</v>
      </c>
      <c r="BD265" s="20">
        <v>114</v>
      </c>
      <c r="BE265" s="20">
        <v>96</v>
      </c>
      <c r="BF265" s="20">
        <f t="shared" si="151"/>
        <v>18</v>
      </c>
      <c r="BG265" s="20"/>
      <c r="BH265" s="5"/>
      <c r="BI265" s="29">
        <v>2014</v>
      </c>
      <c r="BJ265" s="38" t="s">
        <v>45</v>
      </c>
      <c r="BK265" s="35">
        <f>+Tabla8[[#This Row],[Trenes Puntuales]]/Tabla8[[#This Row],[Trenes Programados]]</f>
        <v>0.4838709677419355</v>
      </c>
      <c r="BL265" s="35">
        <f>+Tabla8[[#This Row],[Trenes Puntuales]]/Tabla8[[#This Row],[Trenes Corridos]]</f>
        <v>0.5714285714285714</v>
      </c>
      <c r="BM265" s="35">
        <f>+Tabla8[[#This Row],[Trenes Corridos]]/Tabla8[[#This Row],[Trenes Programados]]</f>
        <v>0.84677419354838712</v>
      </c>
      <c r="BN265" s="20">
        <v>124</v>
      </c>
      <c r="BO265" s="27">
        <f t="shared" si="152"/>
        <v>19</v>
      </c>
      <c r="BP265" s="20">
        <v>105</v>
      </c>
      <c r="BQ265" s="20">
        <v>60</v>
      </c>
      <c r="BR265" s="20">
        <f t="shared" si="153"/>
        <v>45</v>
      </c>
      <c r="BS265" s="29"/>
    </row>
    <row r="266" spans="1:71" s="3" customFormat="1" ht="12.75">
      <c r="A266" s="3">
        <v>2014</v>
      </c>
      <c r="B266" s="38" t="s">
        <v>46</v>
      </c>
      <c r="C266" s="25">
        <f>+MITRE[[#This Row],[Trenes Puntuales]]/MITRE[[#This Row],[Trenes Programados]]</f>
        <v>0.60590150162763834</v>
      </c>
      <c r="D266" s="25">
        <f>+MITRE[[#This Row],[Trenes Puntuales]]/MITRE[[#This Row],[Trenes Corridos]]</f>
        <v>0.66859791425260717</v>
      </c>
      <c r="E266" s="25">
        <f>+MITRE[[#This Row],[Trenes Corridos]]/MITRE[[#This Row],[Trenes Programados]]</f>
        <v>0.90622702929749033</v>
      </c>
      <c r="F266" s="27">
        <f t="shared" si="100"/>
        <v>9523</v>
      </c>
      <c r="G266" s="27">
        <f t="shared" si="101"/>
        <v>893</v>
      </c>
      <c r="H266" s="27">
        <f t="shared" si="102"/>
        <v>8630</v>
      </c>
      <c r="I266" s="27">
        <f t="shared" si="103"/>
        <v>5770</v>
      </c>
      <c r="J266" s="27">
        <f t="shared" si="104"/>
        <v>2860</v>
      </c>
      <c r="K266" s="27"/>
      <c r="L266" s="4"/>
      <c r="M266" s="29">
        <v>2014</v>
      </c>
      <c r="N266" s="38" t="s">
        <v>46</v>
      </c>
      <c r="O266" s="35">
        <f>+Tabla4[[#This Row],[Trenes Puntuales]]/Tabla4[[#This Row],[Trenes Programados]]</f>
        <v>0.59655937846836848</v>
      </c>
      <c r="P266" s="35">
        <f>+Tabla4[[#This Row],[Trenes Puntuales]]/Tabla4[[#This Row],[Trenes Corridos]]</f>
        <v>0.64007144983626074</v>
      </c>
      <c r="Q266" s="35">
        <f>+Tabla4[[#This Row],[Trenes Corridos]]/Tabla4[[#This Row],[Trenes Programados]]</f>
        <v>0.93201997780244172</v>
      </c>
      <c r="R266" s="20">
        <v>3604</v>
      </c>
      <c r="S266" s="27">
        <f t="shared" si="144"/>
        <v>245</v>
      </c>
      <c r="T266" s="20">
        <v>3359</v>
      </c>
      <c r="U266" s="20">
        <v>2150</v>
      </c>
      <c r="V266" s="20">
        <f t="shared" si="145"/>
        <v>1209</v>
      </c>
      <c r="W266" s="20"/>
      <c r="X266" s="5"/>
      <c r="Y266" s="29">
        <v>2014</v>
      </c>
      <c r="Z266" s="38" t="s">
        <v>46</v>
      </c>
      <c r="AA266" s="35">
        <f>+Tabla5[[#This Row],[Trenes Puntuales]]/Tabla5[[#This Row],[Trenes Programados]]</f>
        <v>0.62060606060606061</v>
      </c>
      <c r="AB266" s="35">
        <f>+Tabla5[[#This Row],[Trenes Puntuales]]/Tabla5[[#This Row],[Trenes Corridos]]</f>
        <v>0.68380634390651085</v>
      </c>
      <c r="AC266" s="35">
        <f>+Tabla5[[#This Row],[Trenes Corridos]]/Tabla5[[#This Row],[Trenes Programados]]</f>
        <v>0.90757575757575759</v>
      </c>
      <c r="AD266" s="20">
        <v>3300</v>
      </c>
      <c r="AE266" s="27">
        <f t="shared" si="146"/>
        <v>305</v>
      </c>
      <c r="AF266" s="20">
        <v>2995</v>
      </c>
      <c r="AG266" s="20">
        <v>2048</v>
      </c>
      <c r="AH266" s="20">
        <f t="shared" si="147"/>
        <v>947</v>
      </c>
      <c r="AI266" s="20"/>
      <c r="AJ266" s="5"/>
      <c r="AK266" s="29">
        <v>2014</v>
      </c>
      <c r="AL266" s="38" t="s">
        <v>46</v>
      </c>
      <c r="AM266" s="35">
        <f>+Tabla6[[#This Row],[Trenes Puntuales]]/Tabla6[[#This Row],[Trenes Programados]]</f>
        <v>0.64885496183206104</v>
      </c>
      <c r="AN266" s="35">
        <f>+Tabla6[[#This Row],[Trenes Puntuales]]/Tabla6[[#This Row],[Trenes Corridos]]</f>
        <v>0.6766169154228856</v>
      </c>
      <c r="AO266" s="35">
        <f>+Tabla6[[#This Row],[Trenes Corridos]]/Tabla6[[#This Row],[Trenes Programados]]</f>
        <v>0.95896946564885499</v>
      </c>
      <c r="AP266" s="20">
        <v>2096</v>
      </c>
      <c r="AQ266" s="27">
        <f t="shared" si="148"/>
        <v>86</v>
      </c>
      <c r="AR266" s="20">
        <v>2010</v>
      </c>
      <c r="AS266" s="20">
        <v>1360</v>
      </c>
      <c r="AT266" s="20">
        <f t="shared" si="149"/>
        <v>650</v>
      </c>
      <c r="AU266" s="20"/>
      <c r="AV266" s="5"/>
      <c r="AW266" s="29">
        <v>2014</v>
      </c>
      <c r="AX266" s="38" t="s">
        <v>46</v>
      </c>
      <c r="AY266" s="35">
        <f>+MIT_Vic_Cap[[#This Row],[Trenes Puntuales]]/MIT_Vic_Cap[[#This Row],[Trenes Programados]]</f>
        <v>0.35732009925558311</v>
      </c>
      <c r="AZ266" s="35">
        <f>+MIT_Vic_Cap[[#This Row],[Trenes Puntuales]]/MIT_Vic_Cap[[#This Row],[Trenes Corridos]]</f>
        <v>0.8834355828220859</v>
      </c>
      <c r="BA266" s="35">
        <f>+MIT_Vic_Cap[[#This Row],[Trenes Corridos]]/MIT_Vic_Cap[[#This Row],[Trenes Programados]]</f>
        <v>0.40446650124069478</v>
      </c>
      <c r="BB266" s="20">
        <v>403</v>
      </c>
      <c r="BC266" s="27">
        <f t="shared" si="150"/>
        <v>240</v>
      </c>
      <c r="BD266" s="20">
        <v>163</v>
      </c>
      <c r="BE266" s="20">
        <v>144</v>
      </c>
      <c r="BF266" s="20">
        <f t="shared" si="151"/>
        <v>19</v>
      </c>
      <c r="BG266" s="20"/>
      <c r="BH266" s="5"/>
      <c r="BI266" s="29">
        <v>2014</v>
      </c>
      <c r="BJ266" s="38" t="s">
        <v>46</v>
      </c>
      <c r="BK266" s="35">
        <f>+Tabla8[[#This Row],[Trenes Puntuales]]/Tabla8[[#This Row],[Trenes Programados]]</f>
        <v>0.56666666666666665</v>
      </c>
      <c r="BL266" s="35">
        <f>+Tabla8[[#This Row],[Trenes Puntuales]]/Tabla8[[#This Row],[Trenes Corridos]]</f>
        <v>0.66019417475728159</v>
      </c>
      <c r="BM266" s="35">
        <f>+Tabla8[[#This Row],[Trenes Corridos]]/Tabla8[[#This Row],[Trenes Programados]]</f>
        <v>0.85833333333333328</v>
      </c>
      <c r="BN266" s="20">
        <v>120</v>
      </c>
      <c r="BO266" s="27">
        <f t="shared" si="152"/>
        <v>17</v>
      </c>
      <c r="BP266" s="20">
        <v>103</v>
      </c>
      <c r="BQ266" s="20">
        <v>68</v>
      </c>
      <c r="BR266" s="20">
        <f t="shared" si="153"/>
        <v>35</v>
      </c>
      <c r="BS266" s="29"/>
    </row>
    <row r="267" spans="1:71" s="3" customFormat="1" ht="12.75">
      <c r="A267" s="3">
        <v>2014</v>
      </c>
      <c r="B267" s="38" t="s">
        <v>47</v>
      </c>
      <c r="C267" s="25">
        <f>+MITRE[[#This Row],[Trenes Puntuales]]/MITRE[[#This Row],[Trenes Programados]]</f>
        <v>0.51335099877700774</v>
      </c>
      <c r="D267" s="25">
        <f>+MITRE[[#This Row],[Trenes Puntuales]]/MITRE[[#This Row],[Trenes Corridos]]</f>
        <v>0.6264925373134328</v>
      </c>
      <c r="E267" s="25">
        <f>+MITRE[[#This Row],[Trenes Corridos]]/MITRE[[#This Row],[Trenes Programados]]</f>
        <v>0.81940481043620061</v>
      </c>
      <c r="F267" s="27">
        <f t="shared" ref="F267:F329" si="154">+R267+AD267+AP267+BB267+BN267</f>
        <v>9812</v>
      </c>
      <c r="G267" s="27">
        <f t="shared" ref="G267:G329" si="155">F267-H267</f>
        <v>1772</v>
      </c>
      <c r="H267" s="27">
        <f t="shared" ref="H267:H329" si="156">+T267+AF267+AR267+BD267+BP267</f>
        <v>8040</v>
      </c>
      <c r="I267" s="27">
        <f t="shared" ref="I267:I329" si="157">+U267+AG267+AS267+BE267+BQ267</f>
        <v>5037</v>
      </c>
      <c r="J267" s="27">
        <f t="shared" ref="J267:J329" si="158">H267-I267</f>
        <v>3003</v>
      </c>
      <c r="K267" s="27"/>
      <c r="L267" s="4"/>
      <c r="M267" s="29">
        <v>2014</v>
      </c>
      <c r="N267" s="38" t="s">
        <v>47</v>
      </c>
      <c r="O267" s="35">
        <f>+Tabla4[[#This Row],[Trenes Puntuales]]/Tabla4[[#This Row],[Trenes Programados]]</f>
        <v>0.50161725067385443</v>
      </c>
      <c r="P267" s="35">
        <f>+Tabla4[[#This Row],[Trenes Puntuales]]/Tabla4[[#This Row],[Trenes Corridos]]</f>
        <v>0.60051629557921915</v>
      </c>
      <c r="Q267" s="35">
        <f>+Tabla4[[#This Row],[Trenes Corridos]]/Tabla4[[#This Row],[Trenes Programados]]</f>
        <v>0.83530997304582211</v>
      </c>
      <c r="R267" s="20">
        <v>3710</v>
      </c>
      <c r="S267" s="27">
        <f>R267-T267</f>
        <v>611</v>
      </c>
      <c r="T267" s="20">
        <v>3099</v>
      </c>
      <c r="U267" s="20">
        <v>1861</v>
      </c>
      <c r="V267" s="20">
        <f t="shared" si="145"/>
        <v>1238</v>
      </c>
      <c r="W267" s="20"/>
      <c r="X267" s="5"/>
      <c r="Y267" s="29">
        <v>2014</v>
      </c>
      <c r="Z267" s="38" t="s">
        <v>47</v>
      </c>
      <c r="AA267" s="35">
        <f>+Tabla5[[#This Row],[Trenes Puntuales]]/Tabla5[[#This Row],[Trenes Programados]]</f>
        <v>0.54342066529290556</v>
      </c>
      <c r="AB267" s="35">
        <f>+Tabla5[[#This Row],[Trenes Puntuales]]/Tabla5[[#This Row],[Trenes Corridos]]</f>
        <v>0.66188598063822157</v>
      </c>
      <c r="AC267" s="35">
        <f>+Tabla5[[#This Row],[Trenes Corridos]]/Tabla5[[#This Row],[Trenes Programados]]</f>
        <v>0.82101854577568445</v>
      </c>
      <c r="AD267" s="20">
        <v>3397</v>
      </c>
      <c r="AE267" s="27">
        <f>AD267-AF267</f>
        <v>608</v>
      </c>
      <c r="AF267" s="20">
        <v>2789</v>
      </c>
      <c r="AG267" s="20">
        <v>1846</v>
      </c>
      <c r="AH267" s="20">
        <f t="shared" si="147"/>
        <v>943</v>
      </c>
      <c r="AI267" s="20"/>
      <c r="AJ267" s="5"/>
      <c r="AK267" s="29">
        <v>2014</v>
      </c>
      <c r="AL267" s="38" t="s">
        <v>47</v>
      </c>
      <c r="AM267" s="35">
        <f>+Tabla6[[#This Row],[Trenes Puntuales]]/Tabla6[[#This Row],[Trenes Programados]]</f>
        <v>0.50392609699769053</v>
      </c>
      <c r="AN267" s="35">
        <f>+Tabla6[[#This Row],[Trenes Puntuales]]/Tabla6[[#This Row],[Trenes Corridos]]</f>
        <v>0.58719052744886979</v>
      </c>
      <c r="AO267" s="35">
        <f>+Tabla6[[#This Row],[Trenes Corridos]]/Tabla6[[#This Row],[Trenes Programados]]</f>
        <v>0.8581986143187067</v>
      </c>
      <c r="AP267" s="20">
        <v>2165</v>
      </c>
      <c r="AQ267" s="27">
        <f>AP267-AR267</f>
        <v>307</v>
      </c>
      <c r="AR267" s="20">
        <v>1858</v>
      </c>
      <c r="AS267" s="20">
        <v>1091</v>
      </c>
      <c r="AT267" s="20">
        <f t="shared" si="149"/>
        <v>767</v>
      </c>
      <c r="AU267" s="20"/>
      <c r="AV267" s="5"/>
      <c r="AW267" s="29">
        <v>2014</v>
      </c>
      <c r="AX267" s="38" t="s">
        <v>47</v>
      </c>
      <c r="AY267" s="35">
        <f>+MIT_Vic_Cap[[#This Row],[Trenes Puntuales]]/MIT_Vic_Cap[[#This Row],[Trenes Programados]]</f>
        <v>0.38461538461538464</v>
      </c>
      <c r="AZ267" s="35">
        <f>+MIT_Vic_Cap[[#This Row],[Trenes Puntuales]]/MIT_Vic_Cap[[#This Row],[Trenes Corridos]]</f>
        <v>0.94117647058823528</v>
      </c>
      <c r="BA267" s="35">
        <f>+MIT_Vic_Cap[[#This Row],[Trenes Corridos]]/MIT_Vic_Cap[[#This Row],[Trenes Programados]]</f>
        <v>0.40865384615384615</v>
      </c>
      <c r="BB267" s="20">
        <v>416</v>
      </c>
      <c r="BC267" s="27">
        <f>BB267-BD267</f>
        <v>246</v>
      </c>
      <c r="BD267" s="20">
        <v>170</v>
      </c>
      <c r="BE267" s="20">
        <v>160</v>
      </c>
      <c r="BF267" s="20">
        <f t="shared" si="151"/>
        <v>10</v>
      </c>
      <c r="BG267" s="20"/>
      <c r="BH267" s="5"/>
      <c r="BI267" s="29">
        <v>2014</v>
      </c>
      <c r="BJ267" s="38" t="s">
        <v>47</v>
      </c>
      <c r="BK267" s="35">
        <f>+Tabla8[[#This Row],[Trenes Puntuales]]/Tabla8[[#This Row],[Trenes Programados]]</f>
        <v>0.63709677419354838</v>
      </c>
      <c r="BL267" s="35">
        <f>+Tabla8[[#This Row],[Trenes Puntuales]]/Tabla8[[#This Row],[Trenes Corridos]]</f>
        <v>0.63709677419354838</v>
      </c>
      <c r="BM267" s="35">
        <f>+Tabla8[[#This Row],[Trenes Corridos]]/Tabla8[[#This Row],[Trenes Programados]]</f>
        <v>1</v>
      </c>
      <c r="BN267" s="20">
        <v>124</v>
      </c>
      <c r="BO267" s="27">
        <f>BN267-BP267</f>
        <v>0</v>
      </c>
      <c r="BP267" s="20">
        <v>124</v>
      </c>
      <c r="BQ267" s="20">
        <v>79</v>
      </c>
      <c r="BR267" s="20">
        <f t="shared" si="153"/>
        <v>45</v>
      </c>
      <c r="BS267" s="29"/>
    </row>
    <row r="268" spans="1:71" s="3" customFormat="1" ht="12.75">
      <c r="A268" s="3">
        <v>2014</v>
      </c>
      <c r="B268" s="38" t="s">
        <v>48</v>
      </c>
      <c r="C268" s="25">
        <f>+MITRE[[#This Row],[Trenes Puntuales]]/MITRE[[#This Row],[Trenes Programados]]</f>
        <v>0.54411916830454121</v>
      </c>
      <c r="D268" s="25">
        <f>+MITRE[[#This Row],[Trenes Puntuales]]/MITRE[[#This Row],[Trenes Corridos]]</f>
        <v>0.66540164452877926</v>
      </c>
      <c r="E268" s="25">
        <f>+MITRE[[#This Row],[Trenes Corridos]]/MITRE[[#This Row],[Trenes Programados]]</f>
        <v>0.81773042308885902</v>
      </c>
      <c r="F268" s="27">
        <f t="shared" si="154"/>
        <v>9667</v>
      </c>
      <c r="G268" s="27">
        <f t="shared" si="155"/>
        <v>1762</v>
      </c>
      <c r="H268" s="27">
        <f t="shared" si="156"/>
        <v>7905</v>
      </c>
      <c r="I268" s="27">
        <f t="shared" si="157"/>
        <v>5260</v>
      </c>
      <c r="J268" s="27">
        <f t="shared" si="158"/>
        <v>2645</v>
      </c>
      <c r="K268" s="27"/>
      <c r="L268" s="4"/>
      <c r="M268" s="29">
        <v>2014</v>
      </c>
      <c r="N268" s="38" t="s">
        <v>48</v>
      </c>
      <c r="O268" s="35">
        <f>+Tabla4[[#This Row],[Trenes Puntuales]]/Tabla4[[#This Row],[Trenes Programados]]</f>
        <v>0.43168527379053695</v>
      </c>
      <c r="P268" s="35">
        <f>+Tabla4[[#This Row],[Trenes Puntuales]]/Tabla4[[#This Row],[Trenes Corridos]]</f>
        <v>0.54790823211875839</v>
      </c>
      <c r="Q268" s="35">
        <f>+Tabla4[[#This Row],[Trenes Corridos]]/Tabla4[[#This Row],[Trenes Programados]]</f>
        <v>0.78787878787878785</v>
      </c>
      <c r="R268" s="20">
        <v>3762</v>
      </c>
      <c r="S268" s="27">
        <f>R268-T268</f>
        <v>798</v>
      </c>
      <c r="T268" s="20">
        <v>2964</v>
      </c>
      <c r="U268" s="20">
        <v>1624</v>
      </c>
      <c r="V268" s="20">
        <f t="shared" si="145"/>
        <v>1340</v>
      </c>
      <c r="W268" s="37" t="s">
        <v>103</v>
      </c>
      <c r="X268" s="5"/>
      <c r="Y268" s="29">
        <v>2014</v>
      </c>
      <c r="Z268" s="38" t="s">
        <v>48</v>
      </c>
      <c r="AA268" s="35">
        <f>+Tabla5[[#This Row],[Trenes Puntuales]]/Tabla5[[#This Row],[Trenes Programados]]</f>
        <v>0.61773700305810397</v>
      </c>
      <c r="AB268" s="35">
        <f>+Tabla5[[#This Row],[Trenes Puntuales]]/Tabla5[[#This Row],[Trenes Corridos]]</f>
        <v>0.73214932946719824</v>
      </c>
      <c r="AC268" s="35">
        <f>+Tabla5[[#This Row],[Trenes Corridos]]/Tabla5[[#This Row],[Trenes Programados]]</f>
        <v>0.84373088685015285</v>
      </c>
      <c r="AD268" s="20">
        <v>3270</v>
      </c>
      <c r="AE268" s="27">
        <f>AD268-AF268</f>
        <v>511</v>
      </c>
      <c r="AF268" s="20">
        <v>2759</v>
      </c>
      <c r="AG268" s="20">
        <v>2020</v>
      </c>
      <c r="AH268" s="20">
        <f t="shared" si="147"/>
        <v>739</v>
      </c>
      <c r="AI268" s="20"/>
      <c r="AJ268" s="5"/>
      <c r="AK268" s="29">
        <v>2014</v>
      </c>
      <c r="AL268" s="38" t="s">
        <v>48</v>
      </c>
      <c r="AM268" s="35">
        <f>+Tabla6[[#This Row],[Trenes Puntuales]]/Tabla6[[#This Row],[Trenes Programados]]</f>
        <v>0.6275071633237822</v>
      </c>
      <c r="AN268" s="35">
        <f>+Tabla6[[#This Row],[Trenes Puntuales]]/Tabla6[[#This Row],[Trenes Corridos]]</f>
        <v>0.71960569550930997</v>
      </c>
      <c r="AO268" s="35">
        <f>+Tabla6[[#This Row],[Trenes Corridos]]/Tabla6[[#This Row],[Trenes Programados]]</f>
        <v>0.87201528175740206</v>
      </c>
      <c r="AP268" s="20">
        <v>2094</v>
      </c>
      <c r="AQ268" s="27">
        <f>AP268-AR268</f>
        <v>268</v>
      </c>
      <c r="AR268" s="20">
        <v>1826</v>
      </c>
      <c r="AS268" s="20">
        <v>1314</v>
      </c>
      <c r="AT268" s="20">
        <f t="shared" si="149"/>
        <v>512</v>
      </c>
      <c r="AU268" s="20"/>
      <c r="AV268" s="5"/>
      <c r="AW268" s="29">
        <v>2014</v>
      </c>
      <c r="AX268" s="38" t="s">
        <v>48</v>
      </c>
      <c r="AY268" s="35">
        <f>+MIT_Vic_Cap[[#This Row],[Trenes Puntuales]]/MIT_Vic_Cap[[#This Row],[Trenes Programados]]</f>
        <v>0.53634085213032578</v>
      </c>
      <c r="AZ268" s="35">
        <f>+MIT_Vic_Cap[[#This Row],[Trenes Puntuales]]/MIT_Vic_Cap[[#This Row],[Trenes Corridos]]</f>
        <v>0.92241379310344829</v>
      </c>
      <c r="BA268" s="35">
        <f>+MIT_Vic_Cap[[#This Row],[Trenes Corridos]]/MIT_Vic_Cap[[#This Row],[Trenes Programados]]</f>
        <v>0.581453634085213</v>
      </c>
      <c r="BB268" s="20">
        <v>399</v>
      </c>
      <c r="BC268" s="27">
        <f>BB268-BD268</f>
        <v>167</v>
      </c>
      <c r="BD268" s="20">
        <v>232</v>
      </c>
      <c r="BE268" s="20">
        <v>214</v>
      </c>
      <c r="BF268" s="20">
        <f t="shared" si="151"/>
        <v>18</v>
      </c>
      <c r="BG268" s="20"/>
      <c r="BH268" s="5"/>
      <c r="BI268" s="29">
        <v>2014</v>
      </c>
      <c r="BJ268" s="38" t="s">
        <v>48</v>
      </c>
      <c r="BK268" s="35">
        <f>+Tabla8[[#This Row],[Trenes Puntuales]]/Tabla8[[#This Row],[Trenes Programados]]</f>
        <v>0.61971830985915488</v>
      </c>
      <c r="BL268" s="35">
        <f>+Tabla8[[#This Row],[Trenes Puntuales]]/Tabla8[[#This Row],[Trenes Corridos]]</f>
        <v>0.70967741935483875</v>
      </c>
      <c r="BM268" s="35">
        <f>+Tabla8[[#This Row],[Trenes Corridos]]/Tabla8[[#This Row],[Trenes Programados]]</f>
        <v>0.87323943661971826</v>
      </c>
      <c r="BN268" s="20">
        <v>142</v>
      </c>
      <c r="BO268" s="27">
        <f>BN268-BP268</f>
        <v>18</v>
      </c>
      <c r="BP268" s="20">
        <v>124</v>
      </c>
      <c r="BQ268" s="20">
        <v>88</v>
      </c>
      <c r="BR268" s="20">
        <f t="shared" si="153"/>
        <v>36</v>
      </c>
      <c r="BS268" s="29"/>
    </row>
    <row r="269" spans="1:71" s="3" customFormat="1" ht="12.75">
      <c r="A269" s="3">
        <v>2014</v>
      </c>
      <c r="B269" s="38" t="s">
        <v>49</v>
      </c>
      <c r="C269" s="25">
        <f>+MITRE[[#This Row],[Trenes Puntuales]]/MITRE[[#This Row],[Trenes Programados]]</f>
        <v>0.74827236708744127</v>
      </c>
      <c r="D269" s="25">
        <f>+MITRE[[#This Row],[Trenes Puntuales]]/MITRE[[#This Row],[Trenes Corridos]]</f>
        <v>0.82046878157203473</v>
      </c>
      <c r="E269" s="25">
        <f>+MITRE[[#This Row],[Trenes Corridos]]/MITRE[[#This Row],[Trenes Programados]]</f>
        <v>0.91200589698700818</v>
      </c>
      <c r="F269" s="27">
        <f t="shared" si="154"/>
        <v>10853</v>
      </c>
      <c r="G269" s="27">
        <f t="shared" si="155"/>
        <v>955</v>
      </c>
      <c r="H269" s="27">
        <f t="shared" si="156"/>
        <v>9898</v>
      </c>
      <c r="I269" s="27">
        <f t="shared" si="157"/>
        <v>8121</v>
      </c>
      <c r="J269" s="27">
        <f t="shared" si="158"/>
        <v>1777</v>
      </c>
      <c r="K269" s="27"/>
      <c r="L269" s="4"/>
      <c r="M269" s="29">
        <v>2014</v>
      </c>
      <c r="N269" s="38" t="s">
        <v>49</v>
      </c>
      <c r="O269" s="35">
        <f>+Tabla4[[#This Row],[Trenes Puntuales]]/Tabla4[[#This Row],[Trenes Programados]]</f>
        <v>0.83347350714886459</v>
      </c>
      <c r="P269" s="35">
        <f>+Tabla4[[#This Row],[Trenes Puntuales]]/Tabla4[[#This Row],[Trenes Corridos]]</f>
        <v>0.87621573828470378</v>
      </c>
      <c r="Q269" s="35">
        <f>+Tabla4[[#This Row],[Trenes Corridos]]/Tabla4[[#This Row],[Trenes Programados]]</f>
        <v>0.95121951219512191</v>
      </c>
      <c r="R269" s="20">
        <v>4756</v>
      </c>
      <c r="S269" s="27">
        <f>R269-T269</f>
        <v>232</v>
      </c>
      <c r="T269" s="20">
        <v>4524</v>
      </c>
      <c r="U269" s="20">
        <v>3964</v>
      </c>
      <c r="V269" s="20">
        <f t="shared" si="145"/>
        <v>560</v>
      </c>
      <c r="W269" s="20"/>
      <c r="X269" s="5"/>
      <c r="Y269" s="29">
        <v>2014</v>
      </c>
      <c r="Z269" s="38" t="s">
        <v>49</v>
      </c>
      <c r="AA269" s="35">
        <f>+Tabla5[[#This Row],[Trenes Puntuales]]/Tabla5[[#This Row],[Trenes Programados]]</f>
        <v>0.72200772200772201</v>
      </c>
      <c r="AB269" s="35">
        <f>+Tabla5[[#This Row],[Trenes Puntuales]]/Tabla5[[#This Row],[Trenes Corridos]]</f>
        <v>0.78826199740596625</v>
      </c>
      <c r="AC269" s="35">
        <f>+Tabla5[[#This Row],[Trenes Corridos]]/Tabla5[[#This Row],[Trenes Programados]]</f>
        <v>0.91594891594891592</v>
      </c>
      <c r="AD269" s="20">
        <v>3367</v>
      </c>
      <c r="AE269" s="27">
        <f>AD269-AF269</f>
        <v>283</v>
      </c>
      <c r="AF269" s="20">
        <v>3084</v>
      </c>
      <c r="AG269" s="20">
        <v>2431</v>
      </c>
      <c r="AH269" s="20">
        <f t="shared" si="147"/>
        <v>653</v>
      </c>
      <c r="AI269" s="20"/>
      <c r="AJ269" s="5"/>
      <c r="AK269" s="29">
        <v>2014</v>
      </c>
      <c r="AL269" s="38" t="s">
        <v>49</v>
      </c>
      <c r="AM269" s="35">
        <f>+Tabla6[[#This Row],[Trenes Puntuales]]/Tabla6[[#This Row],[Trenes Programados]]</f>
        <v>0.67082755432269991</v>
      </c>
      <c r="AN269" s="35">
        <f>+Tabla6[[#This Row],[Trenes Puntuales]]/Tabla6[[#This Row],[Trenes Corridos]]</f>
        <v>0.74716786817713698</v>
      </c>
      <c r="AO269" s="35">
        <f>+Tabla6[[#This Row],[Trenes Corridos]]/Tabla6[[#This Row],[Trenes Programados]]</f>
        <v>0.89782709200184929</v>
      </c>
      <c r="AP269" s="20">
        <v>2163</v>
      </c>
      <c r="AQ269" s="27">
        <f>AP269-AR269</f>
        <v>221</v>
      </c>
      <c r="AR269" s="20">
        <v>1942</v>
      </c>
      <c r="AS269" s="20">
        <v>1451</v>
      </c>
      <c r="AT269" s="20">
        <f t="shared" si="149"/>
        <v>491</v>
      </c>
      <c r="AU269" s="20"/>
      <c r="AV269" s="5"/>
      <c r="AW269" s="29">
        <v>2014</v>
      </c>
      <c r="AX269" s="38" t="s">
        <v>49</v>
      </c>
      <c r="AY269" s="35">
        <f>+MIT_Vic_Cap[[#This Row],[Trenes Puntuales]]/MIT_Vic_Cap[[#This Row],[Trenes Programados]]</f>
        <v>0.44987775061124696</v>
      </c>
      <c r="AZ269" s="35">
        <f>+MIT_Vic_Cap[[#This Row],[Trenes Puntuales]]/MIT_Vic_Cap[[#This Row],[Trenes Corridos]]</f>
        <v>0.89756097560975612</v>
      </c>
      <c r="BA269" s="35">
        <f>+MIT_Vic_Cap[[#This Row],[Trenes Corridos]]/MIT_Vic_Cap[[#This Row],[Trenes Programados]]</f>
        <v>0.5012224938875306</v>
      </c>
      <c r="BB269" s="20">
        <v>409</v>
      </c>
      <c r="BC269" s="27">
        <f>BB269-BD269</f>
        <v>204</v>
      </c>
      <c r="BD269" s="20">
        <v>205</v>
      </c>
      <c r="BE269" s="20">
        <v>184</v>
      </c>
      <c r="BF269" s="20">
        <f t="shared" si="151"/>
        <v>21</v>
      </c>
      <c r="BG269" s="20"/>
      <c r="BH269" s="5"/>
      <c r="BI269" s="29">
        <v>2014</v>
      </c>
      <c r="BJ269" s="38" t="s">
        <v>49</v>
      </c>
      <c r="BK269" s="35">
        <f>+Tabla8[[#This Row],[Trenes Puntuales]]/Tabla8[[#This Row],[Trenes Programados]]</f>
        <v>0.57594936708860756</v>
      </c>
      <c r="BL269" s="35">
        <f>+Tabla8[[#This Row],[Trenes Puntuales]]/Tabla8[[#This Row],[Trenes Corridos]]</f>
        <v>0.63636363636363635</v>
      </c>
      <c r="BM269" s="35">
        <f>+Tabla8[[#This Row],[Trenes Corridos]]/Tabla8[[#This Row],[Trenes Programados]]</f>
        <v>0.90506329113924056</v>
      </c>
      <c r="BN269" s="20">
        <v>158</v>
      </c>
      <c r="BO269" s="27">
        <f>BN269-BP269</f>
        <v>15</v>
      </c>
      <c r="BP269" s="20">
        <v>143</v>
      </c>
      <c r="BQ269" s="20">
        <v>91</v>
      </c>
      <c r="BR269" s="20">
        <f t="shared" si="153"/>
        <v>52</v>
      </c>
      <c r="BS269" s="29"/>
    </row>
    <row r="270" spans="1:71" s="3" customFormat="1" ht="12.75">
      <c r="A270" s="3">
        <v>2015</v>
      </c>
      <c r="B270" s="38" t="s">
        <v>38</v>
      </c>
      <c r="C270" s="25">
        <f>+MITRE[[#This Row],[Trenes Puntuales]]/MITRE[[#This Row],[Trenes Programados]]</f>
        <v>0.77902416780665751</v>
      </c>
      <c r="D270" s="25">
        <f>+MITRE[[#This Row],[Trenes Puntuales]]/MITRE[[#This Row],[Trenes Corridos]]</f>
        <v>0.87826444581534036</v>
      </c>
      <c r="E270" s="25">
        <f>+MITRE[[#This Row],[Trenes Corridos]]/MITRE[[#This Row],[Trenes Programados]]</f>
        <v>0.88700410396716822</v>
      </c>
      <c r="F270" s="27">
        <f t="shared" si="154"/>
        <v>10965</v>
      </c>
      <c r="G270" s="27">
        <f t="shared" si="155"/>
        <v>1239</v>
      </c>
      <c r="H270" s="27">
        <f t="shared" si="156"/>
        <v>9726</v>
      </c>
      <c r="I270" s="27">
        <f t="shared" si="157"/>
        <v>8542</v>
      </c>
      <c r="J270" s="27">
        <f t="shared" si="158"/>
        <v>1184</v>
      </c>
      <c r="K270" s="27"/>
      <c r="L270" s="4"/>
      <c r="M270" s="29">
        <v>2015</v>
      </c>
      <c r="N270" s="38" t="s">
        <v>38</v>
      </c>
      <c r="O270" s="35">
        <f>+Tabla4[[#This Row],[Trenes Puntuales]]/Tabla4[[#This Row],[Trenes Programados]]</f>
        <v>0.8768625827814569</v>
      </c>
      <c r="P270" s="35">
        <f>+Tabla4[[#This Row],[Trenes Puntuales]]/Tabla4[[#This Row],[Trenes Corridos]]</f>
        <v>0.91492118332973438</v>
      </c>
      <c r="Q270" s="35">
        <f>+Tabla4[[#This Row],[Trenes Corridos]]/Tabla4[[#This Row],[Trenes Programados]]</f>
        <v>0.95840231788079466</v>
      </c>
      <c r="R270" s="20">
        <v>4832</v>
      </c>
      <c r="S270" s="20">
        <f t="shared" ref="S270:S281" si="159">R270-T270</f>
        <v>201</v>
      </c>
      <c r="T270" s="20">
        <v>4631</v>
      </c>
      <c r="U270" s="20">
        <v>4237</v>
      </c>
      <c r="V270" s="20">
        <f t="shared" ref="V270:V281" si="160">T270-U270</f>
        <v>394</v>
      </c>
      <c r="W270" s="20"/>
      <c r="X270" s="5"/>
      <c r="Y270" s="29">
        <v>2015</v>
      </c>
      <c r="Z270" s="38" t="s">
        <v>38</v>
      </c>
      <c r="AA270" s="35">
        <f>+Tabla5[[#This Row],[Trenes Puntuales]]/Tabla5[[#This Row],[Trenes Programados]]</f>
        <v>0.74771857521342366</v>
      </c>
      <c r="AB270" s="35">
        <f>+Tabla5[[#This Row],[Trenes Puntuales]]/Tabla5[[#This Row],[Trenes Corridos]]</f>
        <v>0.87315228600893779</v>
      </c>
      <c r="AC270" s="35">
        <f>+Tabla5[[#This Row],[Trenes Corridos]]/Tabla5[[#This Row],[Trenes Programados]]</f>
        <v>0.85634383279364146</v>
      </c>
      <c r="AD270" s="20">
        <v>3397</v>
      </c>
      <c r="AE270" s="20">
        <f t="shared" ref="AE270:AE281" si="161">AD270-AF270</f>
        <v>488</v>
      </c>
      <c r="AF270" s="20">
        <v>2909</v>
      </c>
      <c r="AG270" s="20">
        <v>2540</v>
      </c>
      <c r="AH270" s="20">
        <f t="shared" ref="AH270:AH281" si="162">AF270-AG270</f>
        <v>369</v>
      </c>
      <c r="AI270" s="37" t="s">
        <v>102</v>
      </c>
      <c r="AJ270" s="5"/>
      <c r="AK270" s="29">
        <v>2015</v>
      </c>
      <c r="AL270" s="38" t="s">
        <v>38</v>
      </c>
      <c r="AM270" s="35">
        <f>+Tabla6[[#This Row],[Trenes Puntuales]]/Tabla6[[#This Row],[Trenes Programados]]</f>
        <v>0.67990762124711313</v>
      </c>
      <c r="AN270" s="35">
        <f>+Tabla6[[#This Row],[Trenes Puntuales]]/Tabla6[[#This Row],[Trenes Corridos]]</f>
        <v>0.80790340285400664</v>
      </c>
      <c r="AO270" s="35">
        <f>+Tabla6[[#This Row],[Trenes Corridos]]/Tabla6[[#This Row],[Trenes Programados]]</f>
        <v>0.84157043879907623</v>
      </c>
      <c r="AP270" s="20">
        <v>2165</v>
      </c>
      <c r="AQ270" s="20">
        <f t="shared" ref="AQ270:AQ281" si="163">AP270-AR270</f>
        <v>343</v>
      </c>
      <c r="AR270" s="20">
        <v>1822</v>
      </c>
      <c r="AS270" s="20">
        <v>1472</v>
      </c>
      <c r="AT270" s="20">
        <f t="shared" ref="AT270:AT281" si="164">AR270-AS270</f>
        <v>350</v>
      </c>
      <c r="AU270" s="20"/>
      <c r="AV270" s="5"/>
      <c r="AW270" s="29">
        <v>2015</v>
      </c>
      <c r="AX270" s="38" t="s">
        <v>38</v>
      </c>
      <c r="AY270" s="35">
        <f>+MIT_Vic_Cap[[#This Row],[Trenes Puntuales]]/MIT_Vic_Cap[[#This Row],[Trenes Programados]]</f>
        <v>0.45783132530120479</v>
      </c>
      <c r="AZ270" s="35">
        <f>+MIT_Vic_Cap[[#This Row],[Trenes Puntuales]]/MIT_Vic_Cap[[#This Row],[Trenes Corridos]]</f>
        <v>0.89622641509433965</v>
      </c>
      <c r="BA270" s="35">
        <f>+MIT_Vic_Cap[[#This Row],[Trenes Corridos]]/MIT_Vic_Cap[[#This Row],[Trenes Programados]]</f>
        <v>0.51084337349397591</v>
      </c>
      <c r="BB270" s="20">
        <v>415</v>
      </c>
      <c r="BC270" s="20">
        <f t="shared" ref="BC270:BC281" si="165">BB270-BD270</f>
        <v>203</v>
      </c>
      <c r="BD270" s="20">
        <v>212</v>
      </c>
      <c r="BE270" s="20">
        <v>190</v>
      </c>
      <c r="BF270" s="20">
        <f t="shared" ref="BF270:BF281" si="166">BD270-BE270</f>
        <v>22</v>
      </c>
      <c r="BG270" s="20"/>
      <c r="BH270" s="5"/>
      <c r="BI270" s="29">
        <v>2015</v>
      </c>
      <c r="BJ270" s="38" t="s">
        <v>38</v>
      </c>
      <c r="BK270" s="35">
        <f>+Tabla8[[#This Row],[Trenes Puntuales]]/Tabla8[[#This Row],[Trenes Programados]]</f>
        <v>0.66025641025641024</v>
      </c>
      <c r="BL270" s="35">
        <f>+Tabla8[[#This Row],[Trenes Puntuales]]/Tabla8[[#This Row],[Trenes Corridos]]</f>
        <v>0.67763157894736847</v>
      </c>
      <c r="BM270" s="35">
        <f>+Tabla8[[#This Row],[Trenes Corridos]]/Tabla8[[#This Row],[Trenes Programados]]</f>
        <v>0.97435897435897434</v>
      </c>
      <c r="BN270" s="20">
        <v>156</v>
      </c>
      <c r="BO270" s="20">
        <f t="shared" ref="BO270:BO281" si="167">BN270-BP270</f>
        <v>4</v>
      </c>
      <c r="BP270" s="20">
        <v>152</v>
      </c>
      <c r="BQ270" s="20">
        <v>103</v>
      </c>
      <c r="BR270" s="20">
        <f t="shared" ref="BR270:BR281" si="168">BP270-BQ270</f>
        <v>49</v>
      </c>
      <c r="BS270" s="29"/>
    </row>
    <row r="271" spans="1:71" s="3" customFormat="1" ht="12.75">
      <c r="A271" s="3">
        <v>2015</v>
      </c>
      <c r="B271" s="38" t="s">
        <v>39</v>
      </c>
      <c r="C271" s="25">
        <f>+MITRE[[#This Row],[Trenes Puntuales]]/MITRE[[#This Row],[Trenes Programados]]</f>
        <v>0.82045014767287916</v>
      </c>
      <c r="D271" s="25">
        <f>+MITRE[[#This Row],[Trenes Puntuales]]/MITRE[[#This Row],[Trenes Corridos]]</f>
        <v>0.88556667033087832</v>
      </c>
      <c r="E271" s="25">
        <f>+MITRE[[#This Row],[Trenes Corridos]]/MITRE[[#This Row],[Trenes Programados]]</f>
        <v>0.92646909053875137</v>
      </c>
      <c r="F271" s="27">
        <f t="shared" si="154"/>
        <v>9819</v>
      </c>
      <c r="G271" s="27">
        <f t="shared" si="155"/>
        <v>722</v>
      </c>
      <c r="H271" s="27">
        <f t="shared" si="156"/>
        <v>9097</v>
      </c>
      <c r="I271" s="27">
        <f t="shared" si="157"/>
        <v>8056</v>
      </c>
      <c r="J271" s="27">
        <f t="shared" si="158"/>
        <v>1041</v>
      </c>
      <c r="K271" s="27"/>
      <c r="L271" s="4"/>
      <c r="M271" s="29">
        <v>2015</v>
      </c>
      <c r="N271" s="38" t="s">
        <v>39</v>
      </c>
      <c r="O271" s="35">
        <f>+Tabla4[[#This Row],[Trenes Puntuales]]/Tabla4[[#This Row],[Trenes Programados]]</f>
        <v>0.87441968430826367</v>
      </c>
      <c r="P271" s="35">
        <f>+Tabla4[[#This Row],[Trenes Puntuales]]/Tabla4[[#This Row],[Trenes Corridos]]</f>
        <v>0.92080175996088975</v>
      </c>
      <c r="Q271" s="35">
        <f>+Tabla4[[#This Row],[Trenes Corridos]]/Tabla4[[#This Row],[Trenes Programados]]</f>
        <v>0.94962859795728871</v>
      </c>
      <c r="R271" s="20">
        <v>4308</v>
      </c>
      <c r="S271" s="20">
        <f t="shared" si="159"/>
        <v>217</v>
      </c>
      <c r="T271" s="20">
        <v>4091</v>
      </c>
      <c r="U271" s="20">
        <v>3767</v>
      </c>
      <c r="V271" s="20">
        <f t="shared" si="160"/>
        <v>324</v>
      </c>
      <c r="W271" s="20"/>
      <c r="X271" s="5"/>
      <c r="Y271" s="29">
        <v>2015</v>
      </c>
      <c r="Z271" s="38" t="s">
        <v>39</v>
      </c>
      <c r="AA271" s="35">
        <f>+Tabla5[[#This Row],[Trenes Puntuales]]/Tabla5[[#This Row],[Trenes Programados]]</f>
        <v>0.84077478660538407</v>
      </c>
      <c r="AB271" s="35">
        <f>+Tabla5[[#This Row],[Trenes Puntuales]]/Tabla5[[#This Row],[Trenes Corridos]]</f>
        <v>0.89389179755671899</v>
      </c>
      <c r="AC271" s="35">
        <f>+Tabla5[[#This Row],[Trenes Corridos]]/Tabla5[[#This Row],[Trenes Programados]]</f>
        <v>0.94057780695994753</v>
      </c>
      <c r="AD271" s="20">
        <v>3046</v>
      </c>
      <c r="AE271" s="20">
        <f t="shared" si="161"/>
        <v>181</v>
      </c>
      <c r="AF271" s="20">
        <v>2865</v>
      </c>
      <c r="AG271" s="20">
        <v>2561</v>
      </c>
      <c r="AH271" s="20">
        <f t="shared" si="162"/>
        <v>304</v>
      </c>
      <c r="AI271" s="20"/>
      <c r="AJ271" s="5"/>
      <c r="AK271" s="29">
        <v>2015</v>
      </c>
      <c r="AL271" s="38" t="s">
        <v>39</v>
      </c>
      <c r="AM271" s="35">
        <f>+Tabla6[[#This Row],[Trenes Puntuales]]/Tabla6[[#This Row],[Trenes Programados]]</f>
        <v>0.71852610030706243</v>
      </c>
      <c r="AN271" s="35">
        <f>+Tabla6[[#This Row],[Trenes Puntuales]]/Tabla6[[#This Row],[Trenes Corridos]]</f>
        <v>0.79727427597955702</v>
      </c>
      <c r="AO271" s="35">
        <f>+Tabla6[[#This Row],[Trenes Corridos]]/Tabla6[[#This Row],[Trenes Programados]]</f>
        <v>0.90122824974411464</v>
      </c>
      <c r="AP271" s="20">
        <v>1954</v>
      </c>
      <c r="AQ271" s="20">
        <f t="shared" si="163"/>
        <v>193</v>
      </c>
      <c r="AR271" s="20">
        <v>1761</v>
      </c>
      <c r="AS271" s="20">
        <v>1404</v>
      </c>
      <c r="AT271" s="20">
        <f t="shared" si="164"/>
        <v>357</v>
      </c>
      <c r="AU271" s="37" t="s">
        <v>101</v>
      </c>
      <c r="AV271" s="5"/>
      <c r="AW271" s="29">
        <v>2015</v>
      </c>
      <c r="AX271" s="38" t="s">
        <v>39</v>
      </c>
      <c r="AY271" s="35">
        <f>+MIT_Vic_Cap[[#This Row],[Trenes Puntuales]]/MIT_Vic_Cap[[#This Row],[Trenes Programados]]</f>
        <v>0.60916442048517516</v>
      </c>
      <c r="AZ271" s="35">
        <f>+MIT_Vic_Cap[[#This Row],[Trenes Puntuales]]/MIT_Vic_Cap[[#This Row],[Trenes Corridos]]</f>
        <v>0.92244897959183669</v>
      </c>
      <c r="BA271" s="35">
        <f>+MIT_Vic_Cap[[#This Row],[Trenes Corridos]]/MIT_Vic_Cap[[#This Row],[Trenes Programados]]</f>
        <v>0.660377358490566</v>
      </c>
      <c r="BB271" s="20">
        <v>371</v>
      </c>
      <c r="BC271" s="20">
        <f t="shared" si="165"/>
        <v>126</v>
      </c>
      <c r="BD271" s="20">
        <v>245</v>
      </c>
      <c r="BE271" s="20">
        <v>226</v>
      </c>
      <c r="BF271" s="20">
        <f t="shared" si="166"/>
        <v>19</v>
      </c>
      <c r="BG271" s="20"/>
      <c r="BH271" s="5"/>
      <c r="BI271" s="29">
        <v>2015</v>
      </c>
      <c r="BJ271" s="38" t="s">
        <v>39</v>
      </c>
      <c r="BK271" s="35">
        <f>+Tabla8[[#This Row],[Trenes Puntuales]]/Tabla8[[#This Row],[Trenes Programados]]</f>
        <v>0.7</v>
      </c>
      <c r="BL271" s="35">
        <f>+Tabla8[[#This Row],[Trenes Puntuales]]/Tabla8[[#This Row],[Trenes Corridos]]</f>
        <v>0.72592592592592597</v>
      </c>
      <c r="BM271" s="35">
        <f>+Tabla8[[#This Row],[Trenes Corridos]]/Tabla8[[#This Row],[Trenes Programados]]</f>
        <v>0.9642857142857143</v>
      </c>
      <c r="BN271" s="20">
        <v>140</v>
      </c>
      <c r="BO271" s="20">
        <f t="shared" si="167"/>
        <v>5</v>
      </c>
      <c r="BP271" s="20">
        <v>135</v>
      </c>
      <c r="BQ271" s="20">
        <v>98</v>
      </c>
      <c r="BR271" s="20">
        <f t="shared" si="168"/>
        <v>37</v>
      </c>
      <c r="BS271" s="29"/>
    </row>
    <row r="272" spans="1:71" s="3" customFormat="1" ht="12.75">
      <c r="A272" s="3">
        <v>2015</v>
      </c>
      <c r="B272" s="38" t="s">
        <v>40</v>
      </c>
      <c r="C272" s="25">
        <f>+MITRE[[#This Row],[Trenes Puntuales]]/MITRE[[#This Row],[Trenes Programados]]</f>
        <v>0.87116394802322361</v>
      </c>
      <c r="D272" s="25">
        <f>+MITRE[[#This Row],[Trenes Puntuales]]/MITRE[[#This Row],[Trenes Corridos]]</f>
        <v>0.92986425339366519</v>
      </c>
      <c r="E272" s="25">
        <f>+MITRE[[#This Row],[Trenes Corridos]]/MITRE[[#This Row],[Trenes Programados]]</f>
        <v>0.9368721776794765</v>
      </c>
      <c r="F272" s="27">
        <f t="shared" si="154"/>
        <v>10851</v>
      </c>
      <c r="G272" s="27">
        <f t="shared" si="155"/>
        <v>685</v>
      </c>
      <c r="H272" s="27">
        <f t="shared" si="156"/>
        <v>10166</v>
      </c>
      <c r="I272" s="27">
        <f t="shared" si="157"/>
        <v>9453</v>
      </c>
      <c r="J272" s="27">
        <f t="shared" si="158"/>
        <v>713</v>
      </c>
      <c r="K272" s="27"/>
      <c r="L272" s="4"/>
      <c r="M272" s="29">
        <v>2015</v>
      </c>
      <c r="N272" s="38" t="s">
        <v>40</v>
      </c>
      <c r="O272" s="35">
        <f>+Tabla4[[#This Row],[Trenes Puntuales]]/Tabla4[[#This Row],[Trenes Programados]]</f>
        <v>0.89150546677880571</v>
      </c>
      <c r="P272" s="35">
        <f>+Tabla4[[#This Row],[Trenes Puntuales]]/Tabla4[[#This Row],[Trenes Corridos]]</f>
        <v>0.94790968030404654</v>
      </c>
      <c r="Q272" s="35">
        <f>+Tabla4[[#This Row],[Trenes Corridos]]/Tabla4[[#This Row],[Trenes Programados]]</f>
        <v>0.94049621530698069</v>
      </c>
      <c r="R272" s="20">
        <v>4756</v>
      </c>
      <c r="S272" s="20">
        <f t="shared" si="159"/>
        <v>283</v>
      </c>
      <c r="T272" s="20">
        <v>4473</v>
      </c>
      <c r="U272" s="20">
        <v>4240</v>
      </c>
      <c r="V272" s="20">
        <f t="shared" si="160"/>
        <v>233</v>
      </c>
      <c r="W272" s="20"/>
      <c r="X272" s="5"/>
      <c r="Y272" s="29">
        <v>2015</v>
      </c>
      <c r="Z272" s="38" t="s">
        <v>40</v>
      </c>
      <c r="AA272" s="35">
        <f>+Tabla5[[#This Row],[Trenes Puntuales]]/Tabla5[[#This Row],[Trenes Programados]]</f>
        <v>0.8856548856548857</v>
      </c>
      <c r="AB272" s="35">
        <f>+Tabla5[[#This Row],[Trenes Puntuales]]/Tabla5[[#This Row],[Trenes Corridos]]</f>
        <v>0.93626373626373627</v>
      </c>
      <c r="AC272" s="35">
        <f>+Tabla5[[#This Row],[Trenes Corridos]]/Tabla5[[#This Row],[Trenes Programados]]</f>
        <v>0.94594594594594594</v>
      </c>
      <c r="AD272" s="20">
        <v>3367</v>
      </c>
      <c r="AE272" s="20">
        <f t="shared" si="161"/>
        <v>182</v>
      </c>
      <c r="AF272" s="20">
        <v>3185</v>
      </c>
      <c r="AG272" s="20">
        <v>2982</v>
      </c>
      <c r="AH272" s="20">
        <f t="shared" si="162"/>
        <v>203</v>
      </c>
      <c r="AI272" s="20"/>
      <c r="AJ272" s="5"/>
      <c r="AK272" s="29">
        <v>2015</v>
      </c>
      <c r="AL272" s="38" t="s">
        <v>40</v>
      </c>
      <c r="AM272" s="35">
        <f>+Tabla6[[#This Row],[Trenes Puntuales]]/Tabla6[[#This Row],[Trenes Programados]]</f>
        <v>0.85251964863615348</v>
      </c>
      <c r="AN272" s="35">
        <f>+Tabla6[[#This Row],[Trenes Puntuales]]/Tabla6[[#This Row],[Trenes Corridos]]</f>
        <v>0.89558037882467212</v>
      </c>
      <c r="AO272" s="35">
        <f>+Tabla6[[#This Row],[Trenes Corridos]]/Tabla6[[#This Row],[Trenes Programados]]</f>
        <v>0.951918631530282</v>
      </c>
      <c r="AP272" s="20">
        <v>2163</v>
      </c>
      <c r="AQ272" s="20">
        <f t="shared" si="163"/>
        <v>104</v>
      </c>
      <c r="AR272" s="20">
        <v>2059</v>
      </c>
      <c r="AS272" s="20">
        <v>1844</v>
      </c>
      <c r="AT272" s="20">
        <f t="shared" si="164"/>
        <v>215</v>
      </c>
      <c r="AU272" s="20"/>
      <c r="AV272" s="5"/>
      <c r="AW272" s="29">
        <v>2015</v>
      </c>
      <c r="AX272" s="38" t="s">
        <v>40</v>
      </c>
      <c r="AY272" s="35">
        <f>+MIT_Vic_Cap[[#This Row],[Trenes Puntuales]]/MIT_Vic_Cap[[#This Row],[Trenes Programados]]</f>
        <v>0.66014669926650371</v>
      </c>
      <c r="AZ272" s="35">
        <f>+MIT_Vic_Cap[[#This Row],[Trenes Puntuales]]/MIT_Vic_Cap[[#This Row],[Trenes Corridos]]</f>
        <v>0.89403973509933776</v>
      </c>
      <c r="BA272" s="35">
        <f>+MIT_Vic_Cap[[#This Row],[Trenes Corridos]]/MIT_Vic_Cap[[#This Row],[Trenes Programados]]</f>
        <v>0.73838630806845962</v>
      </c>
      <c r="BB272" s="20">
        <v>409</v>
      </c>
      <c r="BC272" s="20">
        <f t="shared" si="165"/>
        <v>107</v>
      </c>
      <c r="BD272" s="20">
        <v>302</v>
      </c>
      <c r="BE272" s="20">
        <v>270</v>
      </c>
      <c r="BF272" s="20">
        <f t="shared" si="166"/>
        <v>32</v>
      </c>
      <c r="BG272" s="20"/>
      <c r="BH272" s="5"/>
      <c r="BI272" s="29">
        <v>2015</v>
      </c>
      <c r="BJ272" s="38" t="s">
        <v>40</v>
      </c>
      <c r="BK272" s="35">
        <f>+Tabla8[[#This Row],[Trenes Puntuales]]/Tabla8[[#This Row],[Trenes Programados]]</f>
        <v>0.75</v>
      </c>
      <c r="BL272" s="35">
        <f>+Tabla8[[#This Row],[Trenes Puntuales]]/Tabla8[[#This Row],[Trenes Corridos]]</f>
        <v>0.79591836734693877</v>
      </c>
      <c r="BM272" s="35">
        <f>+Tabla8[[#This Row],[Trenes Corridos]]/Tabla8[[#This Row],[Trenes Programados]]</f>
        <v>0.94230769230769229</v>
      </c>
      <c r="BN272" s="20">
        <v>156</v>
      </c>
      <c r="BO272" s="20">
        <f t="shared" si="167"/>
        <v>9</v>
      </c>
      <c r="BP272" s="20">
        <v>147</v>
      </c>
      <c r="BQ272" s="20">
        <v>117</v>
      </c>
      <c r="BR272" s="20">
        <f t="shared" si="168"/>
        <v>30</v>
      </c>
      <c r="BS272" s="29"/>
    </row>
    <row r="273" spans="1:71" s="3" customFormat="1" ht="12.75">
      <c r="A273" s="3">
        <v>2015</v>
      </c>
      <c r="B273" s="38" t="s">
        <v>41</v>
      </c>
      <c r="C273" s="25">
        <f>+MITRE[[#This Row],[Trenes Puntuales]]/MITRE[[#This Row],[Trenes Programados]]</f>
        <v>0.84966518909742528</v>
      </c>
      <c r="D273" s="25">
        <f>+MITRE[[#This Row],[Trenes Puntuales]]/MITRE[[#This Row],[Trenes Corridos]]</f>
        <v>0.89295272078501342</v>
      </c>
      <c r="E273" s="25">
        <f>+MITRE[[#This Row],[Trenes Corridos]]/MITRE[[#This Row],[Trenes Programados]]</f>
        <v>0.95152315382438934</v>
      </c>
      <c r="F273" s="27">
        <f t="shared" si="154"/>
        <v>10603</v>
      </c>
      <c r="G273" s="27">
        <f t="shared" si="155"/>
        <v>514</v>
      </c>
      <c r="H273" s="27">
        <f t="shared" si="156"/>
        <v>10089</v>
      </c>
      <c r="I273" s="27">
        <f t="shared" si="157"/>
        <v>9009</v>
      </c>
      <c r="J273" s="27">
        <f t="shared" si="158"/>
        <v>1080</v>
      </c>
      <c r="K273" s="27"/>
      <c r="L273" s="4"/>
      <c r="M273" s="29">
        <v>2015</v>
      </c>
      <c r="N273" s="38" t="s">
        <v>41</v>
      </c>
      <c r="O273" s="35">
        <f>+Tabla4[[#This Row],[Trenes Puntuales]]/Tabla4[[#This Row],[Trenes Programados]]</f>
        <v>0.86118307426597585</v>
      </c>
      <c r="P273" s="35">
        <f>+Tabla4[[#This Row],[Trenes Puntuales]]/Tabla4[[#This Row],[Trenes Corridos]]</f>
        <v>0.9163795083850218</v>
      </c>
      <c r="Q273" s="35">
        <f>+Tabla4[[#This Row],[Trenes Corridos]]/Tabla4[[#This Row],[Trenes Programados]]</f>
        <v>0.93976683937823835</v>
      </c>
      <c r="R273" s="20">
        <v>4632</v>
      </c>
      <c r="S273" s="20">
        <f t="shared" si="159"/>
        <v>279</v>
      </c>
      <c r="T273" s="20">
        <v>4353</v>
      </c>
      <c r="U273" s="20">
        <v>3989</v>
      </c>
      <c r="V273" s="20">
        <f t="shared" si="160"/>
        <v>364</v>
      </c>
      <c r="W273" s="20"/>
      <c r="X273" s="5"/>
      <c r="Y273" s="29">
        <v>2015</v>
      </c>
      <c r="Z273" s="38" t="s">
        <v>41</v>
      </c>
      <c r="AA273" s="35">
        <f>+Tabla5[[#This Row],[Trenes Puntuales]]/Tabla5[[#This Row],[Trenes Programados]]</f>
        <v>0.90305810397553521</v>
      </c>
      <c r="AB273" s="35">
        <f>+Tabla5[[#This Row],[Trenes Puntuales]]/Tabla5[[#This Row],[Trenes Corridos]]</f>
        <v>0.92281250000000004</v>
      </c>
      <c r="AC273" s="35">
        <f>+Tabla5[[#This Row],[Trenes Corridos]]/Tabla5[[#This Row],[Trenes Programados]]</f>
        <v>0.9785932721712538</v>
      </c>
      <c r="AD273" s="20">
        <v>3270</v>
      </c>
      <c r="AE273" s="20">
        <f t="shared" si="161"/>
        <v>70</v>
      </c>
      <c r="AF273" s="20">
        <v>3200</v>
      </c>
      <c r="AG273" s="20">
        <v>2953</v>
      </c>
      <c r="AH273" s="20">
        <f t="shared" si="162"/>
        <v>247</v>
      </c>
      <c r="AI273" s="20"/>
      <c r="AJ273" s="5"/>
      <c r="AK273" s="29">
        <v>2015</v>
      </c>
      <c r="AL273" s="38" t="s">
        <v>41</v>
      </c>
      <c r="AM273" s="35">
        <f>+Tabla6[[#This Row],[Trenes Puntuales]]/Tabla6[[#This Row],[Trenes Programados]]</f>
        <v>0.89398280802292263</v>
      </c>
      <c r="AN273" s="35">
        <f>+Tabla6[[#This Row],[Trenes Puntuales]]/Tabla6[[#This Row],[Trenes Corridos]]</f>
        <v>0.90697674418604646</v>
      </c>
      <c r="AO273" s="35">
        <f>+Tabla6[[#This Row],[Trenes Corridos]]/Tabla6[[#This Row],[Trenes Programados]]</f>
        <v>0.98567335243553011</v>
      </c>
      <c r="AP273" s="20">
        <v>2094</v>
      </c>
      <c r="AQ273" s="20">
        <f t="shared" si="163"/>
        <v>30</v>
      </c>
      <c r="AR273" s="20">
        <v>2064</v>
      </c>
      <c r="AS273" s="20">
        <v>1872</v>
      </c>
      <c r="AT273" s="20">
        <f t="shared" si="164"/>
        <v>192</v>
      </c>
      <c r="AU273" s="20"/>
      <c r="AV273" s="5"/>
      <c r="AW273" s="29">
        <v>2015</v>
      </c>
      <c r="AX273" s="38" t="s">
        <v>41</v>
      </c>
      <c r="AY273" s="35">
        <f>+MIT_Vic_Cap[[#This Row],[Trenes Puntuales]]/MIT_Vic_Cap[[#This Row],[Trenes Programados]]</f>
        <v>0.35597189695550352</v>
      </c>
      <c r="AZ273" s="35">
        <f>+MIT_Vic_Cap[[#This Row],[Trenes Puntuales]]/MIT_Vic_Cap[[#This Row],[Trenes Corridos]]</f>
        <v>0.51877133105802042</v>
      </c>
      <c r="BA273" s="35">
        <f>+MIT_Vic_Cap[[#This Row],[Trenes Corridos]]/MIT_Vic_Cap[[#This Row],[Trenes Programados]]</f>
        <v>0.68618266978922715</v>
      </c>
      <c r="BB273" s="20">
        <v>427</v>
      </c>
      <c r="BC273" s="20">
        <f t="shared" si="165"/>
        <v>134</v>
      </c>
      <c r="BD273" s="20">
        <v>293</v>
      </c>
      <c r="BE273" s="20">
        <v>152</v>
      </c>
      <c r="BF273" s="20">
        <f t="shared" si="166"/>
        <v>141</v>
      </c>
      <c r="BG273" s="20"/>
      <c r="BH273" s="5"/>
      <c r="BI273" s="29">
        <v>2015</v>
      </c>
      <c r="BJ273" s="38" t="s">
        <v>41</v>
      </c>
      <c r="BK273" s="35">
        <f>+Tabla8[[#This Row],[Trenes Puntuales]]/Tabla8[[#This Row],[Trenes Programados]]</f>
        <v>0.2388888888888889</v>
      </c>
      <c r="BL273" s="35">
        <f>+Tabla8[[#This Row],[Trenes Puntuales]]/Tabla8[[#This Row],[Trenes Corridos]]</f>
        <v>0.24022346368715083</v>
      </c>
      <c r="BM273" s="35">
        <f>+Tabla8[[#This Row],[Trenes Corridos]]/Tabla8[[#This Row],[Trenes Programados]]</f>
        <v>0.99444444444444446</v>
      </c>
      <c r="BN273" s="20">
        <v>180</v>
      </c>
      <c r="BO273" s="20">
        <f t="shared" si="167"/>
        <v>1</v>
      </c>
      <c r="BP273" s="20">
        <v>179</v>
      </c>
      <c r="BQ273" s="20">
        <v>43</v>
      </c>
      <c r="BR273" s="20">
        <f t="shared" si="168"/>
        <v>136</v>
      </c>
      <c r="BS273" s="29"/>
    </row>
    <row r="274" spans="1:71" s="3" customFormat="1" ht="12.75">
      <c r="A274" s="3">
        <v>2015</v>
      </c>
      <c r="B274" s="38" t="s">
        <v>42</v>
      </c>
      <c r="C274" s="25">
        <f>+MITRE[[#This Row],[Trenes Puntuales]]/MITRE[[#This Row],[Trenes Programados]]</f>
        <v>0.82056526589810341</v>
      </c>
      <c r="D274" s="25">
        <f>+MITRE[[#This Row],[Trenes Puntuales]]/MITRE[[#This Row],[Trenes Corridos]]</f>
        <v>0.86250366461448258</v>
      </c>
      <c r="E274" s="25">
        <f>+MITRE[[#This Row],[Trenes Corridos]]/MITRE[[#This Row],[Trenes Programados]]</f>
        <v>0.95137597619933056</v>
      </c>
      <c r="F274" s="27">
        <f t="shared" si="154"/>
        <v>10756</v>
      </c>
      <c r="G274" s="27">
        <f t="shared" si="155"/>
        <v>523</v>
      </c>
      <c r="H274" s="27">
        <f t="shared" si="156"/>
        <v>10233</v>
      </c>
      <c r="I274" s="27">
        <f t="shared" si="157"/>
        <v>8826</v>
      </c>
      <c r="J274" s="27">
        <f t="shared" si="158"/>
        <v>1407</v>
      </c>
      <c r="K274" s="27"/>
      <c r="L274" s="4"/>
      <c r="M274" s="29">
        <v>2015</v>
      </c>
      <c r="N274" s="38" t="s">
        <v>42</v>
      </c>
      <c r="O274" s="35">
        <f>+Tabla4[[#This Row],[Trenes Puntuales]]/Tabla4[[#This Row],[Trenes Programados]]</f>
        <v>0.8619631901840491</v>
      </c>
      <c r="P274" s="35">
        <f>+Tabla4[[#This Row],[Trenes Puntuales]]/Tabla4[[#This Row],[Trenes Corridos]]</f>
        <v>0.91128098216353948</v>
      </c>
      <c r="Q274" s="35">
        <f>+Tabla4[[#This Row],[Trenes Corridos]]/Tabla4[[#This Row],[Trenes Programados]]</f>
        <v>0.94588080631025417</v>
      </c>
      <c r="R274" s="20">
        <v>4564</v>
      </c>
      <c r="S274" s="20">
        <f t="shared" si="159"/>
        <v>247</v>
      </c>
      <c r="T274" s="20">
        <v>4317</v>
      </c>
      <c r="U274" s="20">
        <v>3934</v>
      </c>
      <c r="V274" s="20">
        <f t="shared" si="160"/>
        <v>383</v>
      </c>
      <c r="W274" s="20"/>
      <c r="X274" s="5"/>
      <c r="Y274" s="29">
        <v>2015</v>
      </c>
      <c r="Z274" s="38" t="s">
        <v>42</v>
      </c>
      <c r="AA274" s="35">
        <f>+Tabla5[[#This Row],[Trenes Puntuales]]/Tabla5[[#This Row],[Trenes Programados]]</f>
        <v>0.80160380160380162</v>
      </c>
      <c r="AB274" s="35">
        <f>+Tabla5[[#This Row],[Trenes Puntuales]]/Tabla5[[#This Row],[Trenes Corridos]]</f>
        <v>0.83174114021571643</v>
      </c>
      <c r="AC274" s="35">
        <f>+Tabla5[[#This Row],[Trenes Corridos]]/Tabla5[[#This Row],[Trenes Programados]]</f>
        <v>0.9637659637659638</v>
      </c>
      <c r="AD274" s="20">
        <v>3367</v>
      </c>
      <c r="AE274" s="20">
        <f t="shared" si="161"/>
        <v>122</v>
      </c>
      <c r="AF274" s="20">
        <v>3245</v>
      </c>
      <c r="AG274" s="20">
        <v>2699</v>
      </c>
      <c r="AH274" s="20">
        <f t="shared" si="162"/>
        <v>546</v>
      </c>
      <c r="AI274" s="20"/>
      <c r="AJ274" s="5"/>
      <c r="AK274" s="29">
        <v>2015</v>
      </c>
      <c r="AL274" s="38" t="s">
        <v>42</v>
      </c>
      <c r="AM274" s="35">
        <f>+Tabla6[[#This Row],[Trenes Puntuales]]/Tabla6[[#This Row],[Trenes Programados]]</f>
        <v>0.83204016430853489</v>
      </c>
      <c r="AN274" s="35">
        <f>+Tabla6[[#This Row],[Trenes Puntuales]]/Tabla6[[#This Row],[Trenes Corridos]]</f>
        <v>0.87266634753470562</v>
      </c>
      <c r="AO274" s="35">
        <f>+Tabla6[[#This Row],[Trenes Corridos]]/Tabla6[[#This Row],[Trenes Programados]]</f>
        <v>0.95344591510725696</v>
      </c>
      <c r="AP274" s="20">
        <v>2191</v>
      </c>
      <c r="AQ274" s="20">
        <f t="shared" si="163"/>
        <v>102</v>
      </c>
      <c r="AR274" s="20">
        <v>2089</v>
      </c>
      <c r="AS274" s="20">
        <v>1823</v>
      </c>
      <c r="AT274" s="20">
        <f t="shared" si="164"/>
        <v>266</v>
      </c>
      <c r="AU274" s="20"/>
      <c r="AV274" s="5"/>
      <c r="AW274" s="29">
        <v>2015</v>
      </c>
      <c r="AX274" s="38" t="s">
        <v>42</v>
      </c>
      <c r="AY274" s="35">
        <f>+MIT_Vic_Cap[[#This Row],[Trenes Puntuales]]/MIT_Vic_Cap[[#This Row],[Trenes Programados]]</f>
        <v>0.6517857142857143</v>
      </c>
      <c r="AZ274" s="35">
        <f>+MIT_Vic_Cap[[#This Row],[Trenes Puntuales]]/MIT_Vic_Cap[[#This Row],[Trenes Corridos]]</f>
        <v>0.72636815920398012</v>
      </c>
      <c r="BA274" s="35">
        <f>+MIT_Vic_Cap[[#This Row],[Trenes Corridos]]/MIT_Vic_Cap[[#This Row],[Trenes Programados]]</f>
        <v>0.8973214285714286</v>
      </c>
      <c r="BB274" s="20">
        <v>448</v>
      </c>
      <c r="BC274" s="20">
        <f t="shared" si="165"/>
        <v>46</v>
      </c>
      <c r="BD274" s="20">
        <v>402</v>
      </c>
      <c r="BE274" s="20">
        <v>292</v>
      </c>
      <c r="BF274" s="20">
        <f t="shared" si="166"/>
        <v>110</v>
      </c>
      <c r="BG274" s="20"/>
      <c r="BH274" s="5"/>
      <c r="BI274" s="29">
        <v>2015</v>
      </c>
      <c r="BJ274" s="38" t="s">
        <v>42</v>
      </c>
      <c r="BK274" s="35">
        <f>+Tabla8[[#This Row],[Trenes Puntuales]]/Tabla8[[#This Row],[Trenes Programados]]</f>
        <v>0.41935483870967744</v>
      </c>
      <c r="BL274" s="35">
        <f>+Tabla8[[#This Row],[Trenes Puntuales]]/Tabla8[[#This Row],[Trenes Corridos]]</f>
        <v>0.43333333333333335</v>
      </c>
      <c r="BM274" s="35">
        <f>+Tabla8[[#This Row],[Trenes Corridos]]/Tabla8[[#This Row],[Trenes Programados]]</f>
        <v>0.967741935483871</v>
      </c>
      <c r="BN274" s="20">
        <v>186</v>
      </c>
      <c r="BO274" s="20">
        <f t="shared" si="167"/>
        <v>6</v>
      </c>
      <c r="BP274" s="20">
        <v>180</v>
      </c>
      <c r="BQ274" s="20">
        <v>78</v>
      </c>
      <c r="BR274" s="20">
        <f t="shared" si="168"/>
        <v>102</v>
      </c>
      <c r="BS274" s="29"/>
    </row>
    <row r="275" spans="1:71" s="3" customFormat="1" ht="12.75">
      <c r="A275" s="3">
        <v>2015</v>
      </c>
      <c r="B275" s="38" t="s">
        <v>43</v>
      </c>
      <c r="C275" s="25">
        <f>+MITRE[[#This Row],[Trenes Puntuales]]/MITRE[[#This Row],[Trenes Programados]]</f>
        <v>0.79177769318614388</v>
      </c>
      <c r="D275" s="25">
        <f>+MITRE[[#This Row],[Trenes Puntuales]]/MITRE[[#This Row],[Trenes Corridos]]</f>
        <v>0.8514993347661447</v>
      </c>
      <c r="E275" s="25">
        <f>+MITRE[[#This Row],[Trenes Corridos]]/MITRE[[#This Row],[Trenes Programados]]</f>
        <v>0.92986296155310244</v>
      </c>
      <c r="F275" s="27">
        <f t="shared" si="154"/>
        <v>10508</v>
      </c>
      <c r="G275" s="27">
        <f t="shared" si="155"/>
        <v>737</v>
      </c>
      <c r="H275" s="27">
        <f t="shared" si="156"/>
        <v>9771</v>
      </c>
      <c r="I275" s="27">
        <f t="shared" si="157"/>
        <v>8320</v>
      </c>
      <c r="J275" s="27">
        <f t="shared" si="158"/>
        <v>1451</v>
      </c>
      <c r="K275" s="27"/>
      <c r="L275" s="4"/>
      <c r="M275" s="29">
        <v>2015</v>
      </c>
      <c r="N275" s="38" t="s">
        <v>43</v>
      </c>
      <c r="O275" s="35">
        <f>+Tabla4[[#This Row],[Trenes Puntuales]]/Tabla4[[#This Row],[Trenes Programados]]</f>
        <v>0.88411633109619692</v>
      </c>
      <c r="P275" s="35">
        <f>+Tabla4[[#This Row],[Trenes Puntuales]]/Tabla4[[#This Row],[Trenes Corridos]]</f>
        <v>0.95</v>
      </c>
      <c r="Q275" s="35">
        <f>+Tabla4[[#This Row],[Trenes Corridos]]/Tabla4[[#This Row],[Trenes Programados]]</f>
        <v>0.93064876957494402</v>
      </c>
      <c r="R275" s="20">
        <v>4470</v>
      </c>
      <c r="S275" s="20">
        <f t="shared" si="159"/>
        <v>310</v>
      </c>
      <c r="T275" s="20">
        <v>4160</v>
      </c>
      <c r="U275" s="20">
        <v>3952</v>
      </c>
      <c r="V275" s="20">
        <f t="shared" si="160"/>
        <v>208</v>
      </c>
      <c r="W275" s="20"/>
      <c r="X275" s="5"/>
      <c r="Y275" s="29">
        <v>2015</v>
      </c>
      <c r="Z275" s="38" t="s">
        <v>43</v>
      </c>
      <c r="AA275" s="35">
        <f>+Tabla5[[#This Row],[Trenes Puntuales]]/Tabla5[[#This Row],[Trenes Programados]]</f>
        <v>0.73515981735159819</v>
      </c>
      <c r="AB275" s="35">
        <f>+Tabla5[[#This Row],[Trenes Puntuales]]/Tabla5[[#This Row],[Trenes Corridos]]</f>
        <v>0.78895785690950671</v>
      </c>
      <c r="AC275" s="35">
        <f>+Tabla5[[#This Row],[Trenes Corridos]]/Tabla5[[#This Row],[Trenes Programados]]</f>
        <v>0.93181126331811259</v>
      </c>
      <c r="AD275" s="20">
        <v>3285</v>
      </c>
      <c r="AE275" s="20">
        <f t="shared" si="161"/>
        <v>224</v>
      </c>
      <c r="AF275" s="20">
        <v>3061</v>
      </c>
      <c r="AG275" s="20">
        <v>2415</v>
      </c>
      <c r="AH275" s="20">
        <f t="shared" si="162"/>
        <v>646</v>
      </c>
      <c r="AI275" s="20"/>
      <c r="AJ275" s="5"/>
      <c r="AK275" s="29">
        <v>2015</v>
      </c>
      <c r="AL275" s="38" t="s">
        <v>43</v>
      </c>
      <c r="AM275" s="35">
        <f>+Tabla6[[#This Row],[Trenes Puntuales]]/Tabla6[[#This Row],[Trenes Programados]]</f>
        <v>0.75623529411764701</v>
      </c>
      <c r="AN275" s="35">
        <f>+Tabla6[[#This Row],[Trenes Puntuales]]/Tabla6[[#This Row],[Trenes Corridos]]</f>
        <v>0.80591775325977932</v>
      </c>
      <c r="AO275" s="35">
        <f>+Tabla6[[#This Row],[Trenes Corridos]]/Tabla6[[#This Row],[Trenes Programados]]</f>
        <v>0.93835294117647061</v>
      </c>
      <c r="AP275" s="20">
        <v>2125</v>
      </c>
      <c r="AQ275" s="20">
        <f t="shared" si="163"/>
        <v>131</v>
      </c>
      <c r="AR275" s="20">
        <v>1994</v>
      </c>
      <c r="AS275" s="20">
        <v>1607</v>
      </c>
      <c r="AT275" s="20">
        <f t="shared" si="164"/>
        <v>387</v>
      </c>
      <c r="AU275" s="20"/>
      <c r="AV275" s="5"/>
      <c r="AW275" s="29">
        <v>2015</v>
      </c>
      <c r="AX275" s="38" t="s">
        <v>43</v>
      </c>
      <c r="AY275" s="35">
        <f>+MIT_Vic_Cap[[#This Row],[Trenes Puntuales]]/MIT_Vic_Cap[[#This Row],[Trenes Programados]]</f>
        <v>0.6316964285714286</v>
      </c>
      <c r="AZ275" s="35">
        <f>+MIT_Vic_Cap[[#This Row],[Trenes Puntuales]]/MIT_Vic_Cap[[#This Row],[Trenes Corridos]]</f>
        <v>0.72938144329896903</v>
      </c>
      <c r="BA275" s="35">
        <f>+MIT_Vic_Cap[[#This Row],[Trenes Corridos]]/MIT_Vic_Cap[[#This Row],[Trenes Programados]]</f>
        <v>0.8660714285714286</v>
      </c>
      <c r="BB275" s="20">
        <v>448</v>
      </c>
      <c r="BC275" s="20">
        <f t="shared" si="165"/>
        <v>60</v>
      </c>
      <c r="BD275" s="20">
        <v>388</v>
      </c>
      <c r="BE275" s="20">
        <v>283</v>
      </c>
      <c r="BF275" s="20">
        <f t="shared" si="166"/>
        <v>105</v>
      </c>
      <c r="BG275" s="20"/>
      <c r="BH275" s="5"/>
      <c r="BI275" s="29">
        <v>2015</v>
      </c>
      <c r="BJ275" s="38" t="s">
        <v>43</v>
      </c>
      <c r="BK275" s="35">
        <f>+Tabla8[[#This Row],[Trenes Puntuales]]/Tabla8[[#This Row],[Trenes Programados]]</f>
        <v>0.35</v>
      </c>
      <c r="BL275" s="35">
        <f>+Tabla8[[#This Row],[Trenes Puntuales]]/Tabla8[[#This Row],[Trenes Corridos]]</f>
        <v>0.375</v>
      </c>
      <c r="BM275" s="35">
        <f>+Tabla8[[#This Row],[Trenes Corridos]]/Tabla8[[#This Row],[Trenes Programados]]</f>
        <v>0.93333333333333335</v>
      </c>
      <c r="BN275" s="20">
        <v>180</v>
      </c>
      <c r="BO275" s="20">
        <f t="shared" si="167"/>
        <v>12</v>
      </c>
      <c r="BP275" s="20">
        <v>168</v>
      </c>
      <c r="BQ275" s="20">
        <v>63</v>
      </c>
      <c r="BR275" s="20">
        <f t="shared" si="168"/>
        <v>105</v>
      </c>
      <c r="BS275" s="29"/>
    </row>
    <row r="276" spans="1:71" s="3" customFormat="1" ht="12.75">
      <c r="A276" s="3">
        <v>2015</v>
      </c>
      <c r="B276" s="38" t="s">
        <v>44</v>
      </c>
      <c r="C276" s="25">
        <f>+MITRE[[#This Row],[Trenes Puntuales]]/MITRE[[#This Row],[Trenes Programados]]</f>
        <v>0.85841848476479798</v>
      </c>
      <c r="D276" s="25">
        <f>+MITRE[[#This Row],[Trenes Puntuales]]/MITRE[[#This Row],[Trenes Corridos]]</f>
        <v>0.88497674860017084</v>
      </c>
      <c r="E276" s="25">
        <f>+MITRE[[#This Row],[Trenes Corridos]]/MITRE[[#This Row],[Trenes Programados]]</f>
        <v>0.96998987388382585</v>
      </c>
      <c r="F276" s="27">
        <f t="shared" si="154"/>
        <v>10863</v>
      </c>
      <c r="G276" s="27">
        <f t="shared" si="155"/>
        <v>326</v>
      </c>
      <c r="H276" s="27">
        <f t="shared" si="156"/>
        <v>10537</v>
      </c>
      <c r="I276" s="27">
        <f t="shared" si="157"/>
        <v>9325</v>
      </c>
      <c r="J276" s="27">
        <f t="shared" si="158"/>
        <v>1212</v>
      </c>
      <c r="K276" s="27"/>
      <c r="L276" s="4"/>
      <c r="M276" s="29">
        <v>2015</v>
      </c>
      <c r="N276" s="38" t="s">
        <v>44</v>
      </c>
      <c r="O276" s="35">
        <f>+Tabla4[[#This Row],[Trenes Puntuales]]/Tabla4[[#This Row],[Trenes Programados]]</f>
        <v>0.9104671280276817</v>
      </c>
      <c r="P276" s="35">
        <f>+Tabla4[[#This Row],[Trenes Puntuales]]/Tabla4[[#This Row],[Trenes Corridos]]</f>
        <v>0.94394618834080712</v>
      </c>
      <c r="Q276" s="35">
        <f>+Tabla4[[#This Row],[Trenes Corridos]]/Tabla4[[#This Row],[Trenes Programados]]</f>
        <v>0.9645328719723183</v>
      </c>
      <c r="R276" s="20">
        <v>4624</v>
      </c>
      <c r="S276" s="20">
        <f t="shared" si="159"/>
        <v>164</v>
      </c>
      <c r="T276" s="20">
        <v>4460</v>
      </c>
      <c r="U276" s="20">
        <v>4210</v>
      </c>
      <c r="V276" s="20">
        <f t="shared" si="160"/>
        <v>250</v>
      </c>
      <c r="W276" s="20"/>
      <c r="X276" s="5"/>
      <c r="Y276" s="29">
        <v>2015</v>
      </c>
      <c r="Z276" s="38" t="s">
        <v>44</v>
      </c>
      <c r="AA276" s="35">
        <f>+Tabla5[[#This Row],[Trenes Puntuales]]/Tabla5[[#This Row],[Trenes Programados]]</f>
        <v>0.84103620841919335</v>
      </c>
      <c r="AB276" s="35">
        <f>+Tabla5[[#This Row],[Trenes Puntuales]]/Tabla5[[#This Row],[Trenes Corridos]]</f>
        <v>0.85847355769230771</v>
      </c>
      <c r="AC276" s="35">
        <f>+Tabla5[[#This Row],[Trenes Corridos]]/Tabla5[[#This Row],[Trenes Programados]]</f>
        <v>0.97968795996467473</v>
      </c>
      <c r="AD276" s="20">
        <v>3397</v>
      </c>
      <c r="AE276" s="20">
        <f t="shared" si="161"/>
        <v>69</v>
      </c>
      <c r="AF276" s="20">
        <v>3328</v>
      </c>
      <c r="AG276" s="20">
        <v>2857</v>
      </c>
      <c r="AH276" s="20">
        <f t="shared" si="162"/>
        <v>471</v>
      </c>
      <c r="AI276" s="20"/>
      <c r="AJ276" s="5"/>
      <c r="AK276" s="29">
        <v>2015</v>
      </c>
      <c r="AL276" s="38" t="s">
        <v>44</v>
      </c>
      <c r="AM276" s="35">
        <f>+Tabla6[[#This Row],[Trenes Puntuales]]/Tabla6[[#This Row],[Trenes Programados]]</f>
        <v>0.85200364298724951</v>
      </c>
      <c r="AN276" s="35">
        <f>+Tabla6[[#This Row],[Trenes Puntuales]]/Tabla6[[#This Row],[Trenes Corridos]]</f>
        <v>0.87470780738662923</v>
      </c>
      <c r="AO276" s="35">
        <f>+Tabla6[[#This Row],[Trenes Corridos]]/Tabla6[[#This Row],[Trenes Programados]]</f>
        <v>0.97404371584699456</v>
      </c>
      <c r="AP276" s="20">
        <v>2196</v>
      </c>
      <c r="AQ276" s="20">
        <f t="shared" si="163"/>
        <v>57</v>
      </c>
      <c r="AR276" s="20">
        <v>2139</v>
      </c>
      <c r="AS276" s="20">
        <v>1871</v>
      </c>
      <c r="AT276" s="20">
        <f t="shared" si="164"/>
        <v>268</v>
      </c>
      <c r="AU276" s="20"/>
      <c r="AV276" s="5"/>
      <c r="AW276" s="29">
        <v>2015</v>
      </c>
      <c r="AX276" s="38" t="s">
        <v>44</v>
      </c>
      <c r="AY276" s="35">
        <f>+MIT_Vic_Cap[[#This Row],[Trenes Puntuales]]/MIT_Vic_Cap[[#This Row],[Trenes Programados]]</f>
        <v>0.66956521739130437</v>
      </c>
      <c r="AZ276" s="35">
        <f>+MIT_Vic_Cap[[#This Row],[Trenes Puntuales]]/MIT_Vic_Cap[[#This Row],[Trenes Corridos]]</f>
        <v>0.71461716937354991</v>
      </c>
      <c r="BA276" s="35">
        <f>+MIT_Vic_Cap[[#This Row],[Trenes Corridos]]/MIT_Vic_Cap[[#This Row],[Trenes Programados]]</f>
        <v>0.93695652173913047</v>
      </c>
      <c r="BB276" s="20">
        <v>460</v>
      </c>
      <c r="BC276" s="20">
        <f t="shared" si="165"/>
        <v>29</v>
      </c>
      <c r="BD276" s="20">
        <v>431</v>
      </c>
      <c r="BE276" s="20">
        <v>308</v>
      </c>
      <c r="BF276" s="20">
        <f t="shared" si="166"/>
        <v>123</v>
      </c>
      <c r="BG276" s="20"/>
      <c r="BH276" s="5"/>
      <c r="BI276" s="29">
        <v>2015</v>
      </c>
      <c r="BJ276" s="38" t="s">
        <v>44</v>
      </c>
      <c r="BK276" s="35">
        <f>+Tabla8[[#This Row],[Trenes Puntuales]]/Tabla8[[#This Row],[Trenes Programados]]</f>
        <v>0.42473118279569894</v>
      </c>
      <c r="BL276" s="35">
        <f>+Tabla8[[#This Row],[Trenes Puntuales]]/Tabla8[[#This Row],[Trenes Corridos]]</f>
        <v>0.44134078212290501</v>
      </c>
      <c r="BM276" s="35">
        <f>+Tabla8[[#This Row],[Trenes Corridos]]/Tabla8[[#This Row],[Trenes Programados]]</f>
        <v>0.9623655913978495</v>
      </c>
      <c r="BN276" s="20">
        <v>186</v>
      </c>
      <c r="BO276" s="20">
        <f t="shared" si="167"/>
        <v>7</v>
      </c>
      <c r="BP276" s="20">
        <v>179</v>
      </c>
      <c r="BQ276" s="20">
        <v>79</v>
      </c>
      <c r="BR276" s="20">
        <f t="shared" si="168"/>
        <v>100</v>
      </c>
      <c r="BS276" s="29"/>
    </row>
    <row r="277" spans="1:71" s="3" customFormat="1" ht="12.75">
      <c r="A277" s="3">
        <v>2015</v>
      </c>
      <c r="B277" s="38" t="s">
        <v>45</v>
      </c>
      <c r="C277" s="25">
        <f>+MITRE[[#This Row],[Trenes Puntuales]]/MITRE[[#This Row],[Trenes Programados]]</f>
        <v>0.8449583718778908</v>
      </c>
      <c r="D277" s="25">
        <f>+MITRE[[#This Row],[Trenes Puntuales]]/MITRE[[#This Row],[Trenes Corridos]]</f>
        <v>0.87574304889741128</v>
      </c>
      <c r="E277" s="25">
        <f>+MITRE[[#This Row],[Trenes Corridos]]/MITRE[[#This Row],[Trenes Programados]]</f>
        <v>0.96484736355226641</v>
      </c>
      <c r="F277" s="27">
        <f t="shared" si="154"/>
        <v>10810</v>
      </c>
      <c r="G277" s="27">
        <f t="shared" si="155"/>
        <v>380</v>
      </c>
      <c r="H277" s="27">
        <f t="shared" si="156"/>
        <v>10430</v>
      </c>
      <c r="I277" s="27">
        <f t="shared" si="157"/>
        <v>9134</v>
      </c>
      <c r="J277" s="27">
        <f t="shared" si="158"/>
        <v>1296</v>
      </c>
      <c r="K277" s="27"/>
      <c r="L277" s="4"/>
      <c r="M277" s="29">
        <v>2015</v>
      </c>
      <c r="N277" s="38" t="s">
        <v>45</v>
      </c>
      <c r="O277" s="35">
        <f>+Tabla4[[#This Row],[Trenes Puntuales]]/Tabla4[[#This Row],[Trenes Programados]]</f>
        <v>0.93578580757509799</v>
      </c>
      <c r="P277" s="35">
        <f>+Tabla4[[#This Row],[Trenes Puntuales]]/Tabla4[[#This Row],[Trenes Corridos]]</f>
        <v>0.95831475702184576</v>
      </c>
      <c r="Q277" s="35">
        <f>+Tabla4[[#This Row],[Trenes Corridos]]/Tabla4[[#This Row],[Trenes Programados]]</f>
        <v>0.97649107531562906</v>
      </c>
      <c r="R277" s="20">
        <v>4594</v>
      </c>
      <c r="S277" s="20">
        <f t="shared" si="159"/>
        <v>108</v>
      </c>
      <c r="T277" s="20">
        <v>4486</v>
      </c>
      <c r="U277" s="20">
        <v>4299</v>
      </c>
      <c r="V277" s="20">
        <f t="shared" si="160"/>
        <v>187</v>
      </c>
      <c r="W277" s="20"/>
      <c r="X277" s="5"/>
      <c r="Y277" s="29">
        <v>2015</v>
      </c>
      <c r="Z277" s="38" t="s">
        <v>45</v>
      </c>
      <c r="AA277" s="35">
        <f>+Tabla5[[#This Row],[Trenes Puntuales]]/Tabla5[[#This Row],[Trenes Programados]]</f>
        <v>0.8039621525724423</v>
      </c>
      <c r="AB277" s="35">
        <f>+Tabla5[[#This Row],[Trenes Puntuales]]/Tabla5[[#This Row],[Trenes Corridos]]</f>
        <v>0.81725278028253678</v>
      </c>
      <c r="AC277" s="35">
        <f>+Tabla5[[#This Row],[Trenes Corridos]]/Tabla5[[#This Row],[Trenes Programados]]</f>
        <v>0.9837374334713187</v>
      </c>
      <c r="AD277" s="20">
        <v>3382</v>
      </c>
      <c r="AE277" s="20">
        <f t="shared" si="161"/>
        <v>55</v>
      </c>
      <c r="AF277" s="20">
        <v>3327</v>
      </c>
      <c r="AG277" s="20">
        <v>2719</v>
      </c>
      <c r="AH277" s="20">
        <f t="shared" si="162"/>
        <v>608</v>
      </c>
      <c r="AI277" s="20"/>
      <c r="AJ277" s="5"/>
      <c r="AK277" s="29">
        <v>2015</v>
      </c>
      <c r="AL277" s="38" t="s">
        <v>45</v>
      </c>
      <c r="AM277" s="35">
        <f>+Tabla6[[#This Row],[Trenes Puntuales]]/Tabla6[[#This Row],[Trenes Programados]]</f>
        <v>0.85200364298724951</v>
      </c>
      <c r="AN277" s="35">
        <f>+Tabla6[[#This Row],[Trenes Puntuales]]/Tabla6[[#This Row],[Trenes Corridos]]</f>
        <v>0.87470780738662923</v>
      </c>
      <c r="AO277" s="35">
        <f>+Tabla6[[#This Row],[Trenes Corridos]]/Tabla6[[#This Row],[Trenes Programados]]</f>
        <v>0.97404371584699456</v>
      </c>
      <c r="AP277" s="20">
        <v>2196</v>
      </c>
      <c r="AQ277" s="20">
        <f t="shared" si="163"/>
        <v>57</v>
      </c>
      <c r="AR277" s="20">
        <v>2139</v>
      </c>
      <c r="AS277" s="20">
        <v>1871</v>
      </c>
      <c r="AT277" s="20">
        <f t="shared" si="164"/>
        <v>268</v>
      </c>
      <c r="AU277" s="20"/>
      <c r="AV277" s="5"/>
      <c r="AW277" s="29">
        <v>2015</v>
      </c>
      <c r="AX277" s="38" t="s">
        <v>45</v>
      </c>
      <c r="AY277" s="35">
        <f>+MIT_Vic_Cap[[#This Row],[Trenes Puntuales]]/MIT_Vic_Cap[[#This Row],[Trenes Programados]]</f>
        <v>0.3915929203539823</v>
      </c>
      <c r="AZ277" s="35">
        <f>+MIT_Vic_Cap[[#This Row],[Trenes Puntuales]]/MIT_Vic_Cap[[#This Row],[Trenes Corridos]]</f>
        <v>0.56190476190476191</v>
      </c>
      <c r="BA277" s="35">
        <f>+MIT_Vic_Cap[[#This Row],[Trenes Corridos]]/MIT_Vic_Cap[[#This Row],[Trenes Programados]]</f>
        <v>0.69690265486725667</v>
      </c>
      <c r="BB277" s="20">
        <v>452</v>
      </c>
      <c r="BC277" s="20">
        <f t="shared" si="165"/>
        <v>137</v>
      </c>
      <c r="BD277" s="20">
        <v>315</v>
      </c>
      <c r="BE277" s="20">
        <v>177</v>
      </c>
      <c r="BF277" s="20">
        <f t="shared" si="166"/>
        <v>138</v>
      </c>
      <c r="BG277" s="20"/>
      <c r="BH277" s="5"/>
      <c r="BI277" s="29">
        <v>2015</v>
      </c>
      <c r="BJ277" s="38" t="s">
        <v>45</v>
      </c>
      <c r="BK277" s="35">
        <f>+Tabla8[[#This Row],[Trenes Puntuales]]/Tabla8[[#This Row],[Trenes Programados]]</f>
        <v>0.36559139784946237</v>
      </c>
      <c r="BL277" s="35">
        <f>+Tabla8[[#This Row],[Trenes Puntuales]]/Tabla8[[#This Row],[Trenes Corridos]]</f>
        <v>0.41717791411042943</v>
      </c>
      <c r="BM277" s="35">
        <f>+Tabla8[[#This Row],[Trenes Corridos]]/Tabla8[[#This Row],[Trenes Programados]]</f>
        <v>0.87634408602150538</v>
      </c>
      <c r="BN277" s="20">
        <v>186</v>
      </c>
      <c r="BO277" s="20">
        <f t="shared" si="167"/>
        <v>23</v>
      </c>
      <c r="BP277" s="20">
        <v>163</v>
      </c>
      <c r="BQ277" s="20">
        <v>68</v>
      </c>
      <c r="BR277" s="20">
        <f t="shared" si="168"/>
        <v>95</v>
      </c>
      <c r="BS277" s="29"/>
    </row>
    <row r="278" spans="1:71" s="3" customFormat="1" ht="12.75">
      <c r="A278" s="3">
        <v>2015</v>
      </c>
      <c r="B278" s="38" t="s">
        <v>46</v>
      </c>
      <c r="C278" s="25">
        <f>+MITRE[[#This Row],[Trenes Puntuales]]/MITRE[[#This Row],[Trenes Programados]]</f>
        <v>0.89065757058935002</v>
      </c>
      <c r="D278" s="25">
        <f>+MITRE[[#This Row],[Trenes Puntuales]]/MITRE[[#This Row],[Trenes Corridos]]</f>
        <v>0.91049980627663696</v>
      </c>
      <c r="E278" s="25">
        <f>+MITRE[[#This Row],[Trenes Corridos]]/MITRE[[#This Row],[Trenes Programados]]</f>
        <v>0.97820731476217548</v>
      </c>
      <c r="F278" s="27">
        <f t="shared" si="154"/>
        <v>10554</v>
      </c>
      <c r="G278" s="27">
        <f t="shared" si="155"/>
        <v>230</v>
      </c>
      <c r="H278" s="27">
        <f t="shared" si="156"/>
        <v>10324</v>
      </c>
      <c r="I278" s="27">
        <f t="shared" si="157"/>
        <v>9400</v>
      </c>
      <c r="J278" s="27">
        <f t="shared" si="158"/>
        <v>924</v>
      </c>
      <c r="K278" s="27"/>
      <c r="L278" s="4"/>
      <c r="M278" s="29">
        <v>2015</v>
      </c>
      <c r="N278" s="38" t="s">
        <v>46</v>
      </c>
      <c r="O278" s="35">
        <f>+Tabla4[[#This Row],[Trenes Puntuales]]/Tabla4[[#This Row],[Trenes Programados]]</f>
        <v>0.95933333333333337</v>
      </c>
      <c r="P278" s="35">
        <f>+Tabla4[[#This Row],[Trenes Puntuales]]/Tabla4[[#This Row],[Trenes Corridos]]</f>
        <v>0.9712035995500562</v>
      </c>
      <c r="Q278" s="35">
        <f>+Tabla4[[#This Row],[Trenes Corridos]]/Tabla4[[#This Row],[Trenes Programados]]</f>
        <v>0.98777777777777775</v>
      </c>
      <c r="R278" s="20">
        <v>4500</v>
      </c>
      <c r="S278" s="20">
        <f t="shared" si="159"/>
        <v>55</v>
      </c>
      <c r="T278" s="20">
        <v>4445</v>
      </c>
      <c r="U278" s="20">
        <v>4317</v>
      </c>
      <c r="V278" s="20">
        <f t="shared" si="160"/>
        <v>128</v>
      </c>
      <c r="W278" s="20"/>
      <c r="X278" s="5"/>
      <c r="Y278" s="29">
        <v>2015</v>
      </c>
      <c r="Z278" s="38" t="s">
        <v>46</v>
      </c>
      <c r="AA278" s="35">
        <f>+Tabla5[[#This Row],[Trenes Puntuales]]/Tabla5[[#This Row],[Trenes Programados]]</f>
        <v>0.85030303030303034</v>
      </c>
      <c r="AB278" s="35">
        <f>+Tabla5[[#This Row],[Trenes Puntuales]]/Tabla5[[#This Row],[Trenes Corridos]]</f>
        <v>0.8708876474239603</v>
      </c>
      <c r="AC278" s="35">
        <f>+Tabla5[[#This Row],[Trenes Corridos]]/Tabla5[[#This Row],[Trenes Programados]]</f>
        <v>0.97636363636363632</v>
      </c>
      <c r="AD278" s="20">
        <v>3300</v>
      </c>
      <c r="AE278" s="20">
        <f t="shared" si="161"/>
        <v>78</v>
      </c>
      <c r="AF278" s="20">
        <v>3222</v>
      </c>
      <c r="AG278" s="20">
        <v>2806</v>
      </c>
      <c r="AH278" s="20">
        <f t="shared" si="162"/>
        <v>416</v>
      </c>
      <c r="AI278" s="20"/>
      <c r="AJ278" s="5"/>
      <c r="AK278" s="29">
        <v>2015</v>
      </c>
      <c r="AL278" s="38" t="s">
        <v>46</v>
      </c>
      <c r="AM278" s="35">
        <f>+Tabla6[[#This Row],[Trenes Puntuales]]/Tabla6[[#This Row],[Trenes Programados]]</f>
        <v>0.88852304797742243</v>
      </c>
      <c r="AN278" s="35">
        <f>+Tabla6[[#This Row],[Trenes Puntuales]]/Tabla6[[#This Row],[Trenes Corridos]]</f>
        <v>0.90512697652132246</v>
      </c>
      <c r="AO278" s="35">
        <f>+Tabla6[[#This Row],[Trenes Corridos]]/Tabla6[[#This Row],[Trenes Programados]]</f>
        <v>0.98165569143932263</v>
      </c>
      <c r="AP278" s="20">
        <v>2126</v>
      </c>
      <c r="AQ278" s="20">
        <f t="shared" si="163"/>
        <v>39</v>
      </c>
      <c r="AR278" s="20">
        <v>2087</v>
      </c>
      <c r="AS278" s="20">
        <v>1889</v>
      </c>
      <c r="AT278" s="20">
        <f t="shared" si="164"/>
        <v>198</v>
      </c>
      <c r="AU278" s="20"/>
      <c r="AV278" s="5"/>
      <c r="AW278" s="29">
        <v>2015</v>
      </c>
      <c r="AX278" s="38" t="s">
        <v>46</v>
      </c>
      <c r="AY278" s="35">
        <f>+MIT_Vic_Cap[[#This Row],[Trenes Puntuales]]/MIT_Vic_Cap[[#This Row],[Trenes Programados]]</f>
        <v>0.6584821428571429</v>
      </c>
      <c r="AZ278" s="35">
        <f>+MIT_Vic_Cap[[#This Row],[Trenes Puntuales]]/MIT_Vic_Cap[[#This Row],[Trenes Corridos]]</f>
        <v>0.74494949494949492</v>
      </c>
      <c r="BA278" s="35">
        <f>+MIT_Vic_Cap[[#This Row],[Trenes Corridos]]/MIT_Vic_Cap[[#This Row],[Trenes Programados]]</f>
        <v>0.8839285714285714</v>
      </c>
      <c r="BB278" s="20">
        <v>448</v>
      </c>
      <c r="BC278" s="20">
        <f t="shared" si="165"/>
        <v>52</v>
      </c>
      <c r="BD278" s="20">
        <v>396</v>
      </c>
      <c r="BE278" s="20">
        <v>295</v>
      </c>
      <c r="BF278" s="20">
        <f t="shared" si="166"/>
        <v>101</v>
      </c>
      <c r="BG278" s="20"/>
      <c r="BH278" s="5"/>
      <c r="BI278" s="29">
        <v>2015</v>
      </c>
      <c r="BJ278" s="38" t="s">
        <v>46</v>
      </c>
      <c r="BK278" s="35">
        <f>+Tabla8[[#This Row],[Trenes Puntuales]]/Tabla8[[#This Row],[Trenes Programados]]</f>
        <v>0.51666666666666672</v>
      </c>
      <c r="BL278" s="35">
        <f>+Tabla8[[#This Row],[Trenes Puntuales]]/Tabla8[[#This Row],[Trenes Corridos]]</f>
        <v>0.53448275862068961</v>
      </c>
      <c r="BM278" s="35">
        <f>+Tabla8[[#This Row],[Trenes Corridos]]/Tabla8[[#This Row],[Trenes Programados]]</f>
        <v>0.96666666666666667</v>
      </c>
      <c r="BN278" s="20">
        <v>180</v>
      </c>
      <c r="BO278" s="20">
        <f t="shared" si="167"/>
        <v>6</v>
      </c>
      <c r="BP278" s="20">
        <v>174</v>
      </c>
      <c r="BQ278" s="20">
        <v>93</v>
      </c>
      <c r="BR278" s="20">
        <f t="shared" si="168"/>
        <v>81</v>
      </c>
      <c r="BS278" s="29"/>
    </row>
    <row r="279" spans="1:71" s="3" customFormat="1" ht="12.75">
      <c r="A279" s="3">
        <v>2015</v>
      </c>
      <c r="B279" s="38" t="s">
        <v>47</v>
      </c>
      <c r="C279" s="25">
        <f>+MITRE[[#This Row],[Trenes Puntuales]]/MITRE[[#This Row],[Trenes Programados]]</f>
        <v>0.86822760686087663</v>
      </c>
      <c r="D279" s="25">
        <f>+MITRE[[#This Row],[Trenes Puntuales]]/MITRE[[#This Row],[Trenes Corridos]]</f>
        <v>0.89236078723999623</v>
      </c>
      <c r="E279" s="25">
        <f>+MITRE[[#This Row],[Trenes Corridos]]/MITRE[[#This Row],[Trenes Programados]]</f>
        <v>0.972955803611943</v>
      </c>
      <c r="F279" s="27">
        <f t="shared" si="154"/>
        <v>11019</v>
      </c>
      <c r="G279" s="27">
        <f t="shared" si="155"/>
        <v>298</v>
      </c>
      <c r="H279" s="27">
        <f t="shared" si="156"/>
        <v>10721</v>
      </c>
      <c r="I279" s="27">
        <f t="shared" si="157"/>
        <v>9567</v>
      </c>
      <c r="J279" s="27">
        <f t="shared" si="158"/>
        <v>1154</v>
      </c>
      <c r="K279" s="27"/>
      <c r="L279" s="4"/>
      <c r="M279" s="29">
        <v>2015</v>
      </c>
      <c r="N279" s="38" t="s">
        <v>47</v>
      </c>
      <c r="O279" s="35">
        <f>+Tabla4[[#This Row],[Trenes Puntuales]]/Tabla4[[#This Row],[Trenes Programados]]</f>
        <v>0.96907439446366783</v>
      </c>
      <c r="P279" s="35">
        <f>+Tabla4[[#This Row],[Trenes Puntuales]]/Tabla4[[#This Row],[Trenes Corridos]]</f>
        <v>0.98310662571303198</v>
      </c>
      <c r="Q279" s="35">
        <f>+Tabla4[[#This Row],[Trenes Corridos]]/Tabla4[[#This Row],[Trenes Programados]]</f>
        <v>0.98572664359861595</v>
      </c>
      <c r="R279" s="20">
        <v>4624</v>
      </c>
      <c r="S279" s="20">
        <f t="shared" si="159"/>
        <v>66</v>
      </c>
      <c r="T279" s="20">
        <v>4558</v>
      </c>
      <c r="U279" s="20">
        <v>4481</v>
      </c>
      <c r="V279" s="20">
        <f t="shared" si="160"/>
        <v>77</v>
      </c>
      <c r="W279" s="20"/>
      <c r="X279" s="5"/>
      <c r="Y279" s="29">
        <v>2015</v>
      </c>
      <c r="Z279" s="38" t="s">
        <v>47</v>
      </c>
      <c r="AA279" s="35">
        <f>+Tabla5[[#This Row],[Trenes Puntuales]]/Tabla5[[#This Row],[Trenes Programados]]</f>
        <v>0.82955549013835739</v>
      </c>
      <c r="AB279" s="35">
        <f>+Tabla5[[#This Row],[Trenes Puntuales]]/Tabla5[[#This Row],[Trenes Corridos]]</f>
        <v>0.84573829531812728</v>
      </c>
      <c r="AC279" s="35">
        <f>+Tabla5[[#This Row],[Trenes Corridos]]/Tabla5[[#This Row],[Trenes Programados]]</f>
        <v>0.98086546953193998</v>
      </c>
      <c r="AD279" s="20">
        <v>3397</v>
      </c>
      <c r="AE279" s="20">
        <f t="shared" si="161"/>
        <v>65</v>
      </c>
      <c r="AF279" s="20">
        <v>3332</v>
      </c>
      <c r="AG279" s="20">
        <v>2818</v>
      </c>
      <c r="AH279" s="20">
        <f t="shared" si="162"/>
        <v>514</v>
      </c>
      <c r="AI279" s="20"/>
      <c r="AJ279" s="5"/>
      <c r="AK279" s="29">
        <v>2015</v>
      </c>
      <c r="AL279" s="38" t="s">
        <v>47</v>
      </c>
      <c r="AM279" s="35">
        <f>+Tabla6[[#This Row],[Trenes Puntuales]]/Tabla6[[#This Row],[Trenes Programados]]</f>
        <v>0.85200364298724951</v>
      </c>
      <c r="AN279" s="35">
        <f>+Tabla6[[#This Row],[Trenes Puntuales]]/Tabla6[[#This Row],[Trenes Corridos]]</f>
        <v>0.87881634570220757</v>
      </c>
      <c r="AO279" s="35">
        <f>+Tabla6[[#This Row],[Trenes Corridos]]/Tabla6[[#This Row],[Trenes Programados]]</f>
        <v>0.96948998178506374</v>
      </c>
      <c r="AP279" s="20">
        <v>2196</v>
      </c>
      <c r="AQ279" s="20">
        <f t="shared" si="163"/>
        <v>67</v>
      </c>
      <c r="AR279" s="20">
        <v>2129</v>
      </c>
      <c r="AS279" s="20">
        <v>1871</v>
      </c>
      <c r="AT279" s="20">
        <f t="shared" si="164"/>
        <v>258</v>
      </c>
      <c r="AU279" s="20"/>
      <c r="AV279" s="5"/>
      <c r="AW279" s="29">
        <v>2015</v>
      </c>
      <c r="AX279" s="38" t="s">
        <v>47</v>
      </c>
      <c r="AY279" s="35">
        <f>+MIT_Vic_Cap[[#This Row],[Trenes Puntuales]]/MIT_Vic_Cap[[#This Row],[Trenes Programados]]</f>
        <v>0.52110389610389607</v>
      </c>
      <c r="AZ279" s="35">
        <f>+MIT_Vic_Cap[[#This Row],[Trenes Puntuales]]/MIT_Vic_Cap[[#This Row],[Trenes Corridos]]</f>
        <v>0.61494252873563215</v>
      </c>
      <c r="BA279" s="35">
        <f>+MIT_Vic_Cap[[#This Row],[Trenes Corridos]]/MIT_Vic_Cap[[#This Row],[Trenes Programados]]</f>
        <v>0.84740259740259738</v>
      </c>
      <c r="BB279" s="20">
        <v>616</v>
      </c>
      <c r="BC279" s="20">
        <f t="shared" si="165"/>
        <v>94</v>
      </c>
      <c r="BD279" s="20">
        <v>522</v>
      </c>
      <c r="BE279" s="20">
        <v>321</v>
      </c>
      <c r="BF279" s="20">
        <f t="shared" si="166"/>
        <v>201</v>
      </c>
      <c r="BG279" s="20"/>
      <c r="BH279" s="5"/>
      <c r="BI279" s="29">
        <v>2015</v>
      </c>
      <c r="BJ279" s="38" t="s">
        <v>47</v>
      </c>
      <c r="BK279" s="35">
        <f>+Tabla8[[#This Row],[Trenes Puntuales]]/Tabla8[[#This Row],[Trenes Programados]]</f>
        <v>0.40860215053763443</v>
      </c>
      <c r="BL279" s="35">
        <f>+Tabla8[[#This Row],[Trenes Puntuales]]/Tabla8[[#This Row],[Trenes Corridos]]</f>
        <v>0.42222222222222222</v>
      </c>
      <c r="BM279" s="35">
        <f>+Tabla8[[#This Row],[Trenes Corridos]]/Tabla8[[#This Row],[Trenes Programados]]</f>
        <v>0.967741935483871</v>
      </c>
      <c r="BN279" s="20">
        <v>186</v>
      </c>
      <c r="BO279" s="20">
        <f t="shared" si="167"/>
        <v>6</v>
      </c>
      <c r="BP279" s="20">
        <v>180</v>
      </c>
      <c r="BQ279" s="20">
        <v>76</v>
      </c>
      <c r="BR279" s="20">
        <f t="shared" si="168"/>
        <v>104</v>
      </c>
      <c r="BS279" s="29"/>
    </row>
    <row r="280" spans="1:71" s="3" customFormat="1" ht="12.75">
      <c r="A280" s="3">
        <v>2015</v>
      </c>
      <c r="B280" s="38" t="s">
        <v>48</v>
      </c>
      <c r="C280" s="25">
        <f>+MITRE[[#This Row],[Trenes Puntuales]]/MITRE[[#This Row],[Trenes Programados]]</f>
        <v>0.8284930051354702</v>
      </c>
      <c r="D280" s="25">
        <f>+MITRE[[#This Row],[Trenes Puntuales]]/MITRE[[#This Row],[Trenes Corridos]]</f>
        <v>0.86679018063918478</v>
      </c>
      <c r="E280" s="25">
        <f>+MITRE[[#This Row],[Trenes Corridos]]/MITRE[[#This Row],[Trenes Programados]]</f>
        <v>0.95581724809633428</v>
      </c>
      <c r="F280" s="27">
        <f t="shared" si="154"/>
        <v>11294</v>
      </c>
      <c r="G280" s="27">
        <f t="shared" si="155"/>
        <v>499</v>
      </c>
      <c r="H280" s="27">
        <f t="shared" si="156"/>
        <v>10795</v>
      </c>
      <c r="I280" s="27">
        <f t="shared" si="157"/>
        <v>9357</v>
      </c>
      <c r="J280" s="27">
        <f t="shared" si="158"/>
        <v>1438</v>
      </c>
      <c r="K280" s="27"/>
      <c r="L280" s="4"/>
      <c r="M280" s="29">
        <v>2015</v>
      </c>
      <c r="N280" s="38" t="s">
        <v>48</v>
      </c>
      <c r="O280" s="35">
        <f>+Tabla4[[#This Row],[Trenes Puntuales]]/Tabla4[[#This Row],[Trenes Programados]]</f>
        <v>0.8915515840779854</v>
      </c>
      <c r="P280" s="35">
        <f>+Tabla4[[#This Row],[Trenes Puntuales]]/Tabla4[[#This Row],[Trenes Corridos]]</f>
        <v>0.94327460249247963</v>
      </c>
      <c r="Q280" s="35">
        <f>+Tabla4[[#This Row],[Trenes Corridos]]/Tabla4[[#This Row],[Trenes Programados]]</f>
        <v>0.94516653127538586</v>
      </c>
      <c r="R280" s="20">
        <v>4924</v>
      </c>
      <c r="S280" s="20">
        <f t="shared" si="159"/>
        <v>270</v>
      </c>
      <c r="T280" s="20">
        <v>4654</v>
      </c>
      <c r="U280" s="20">
        <v>4390</v>
      </c>
      <c r="V280" s="20">
        <f t="shared" si="160"/>
        <v>264</v>
      </c>
      <c r="W280" s="20"/>
      <c r="X280" s="5"/>
      <c r="Y280" s="29">
        <v>2015</v>
      </c>
      <c r="Z280" s="38" t="s">
        <v>48</v>
      </c>
      <c r="AA280" s="35">
        <f>+Tabla5[[#This Row],[Trenes Puntuales]]/Tabla5[[#This Row],[Trenes Programados]]</f>
        <v>0.82969946965232766</v>
      </c>
      <c r="AB280" s="35">
        <f>+Tabla5[[#This Row],[Trenes Puntuales]]/Tabla5[[#This Row],[Trenes Corridos]]</f>
        <v>0.84793736826257149</v>
      </c>
      <c r="AC280" s="35">
        <f>+Tabla5[[#This Row],[Trenes Corridos]]/Tabla5[[#This Row],[Trenes Programados]]</f>
        <v>0.97849145550972305</v>
      </c>
      <c r="AD280" s="20">
        <v>3394</v>
      </c>
      <c r="AE280" s="20">
        <f t="shared" si="161"/>
        <v>73</v>
      </c>
      <c r="AF280" s="20">
        <v>3321</v>
      </c>
      <c r="AG280" s="20">
        <v>2816</v>
      </c>
      <c r="AH280" s="20">
        <f t="shared" si="162"/>
        <v>505</v>
      </c>
      <c r="AI280" s="20"/>
      <c r="AJ280" s="5"/>
      <c r="AK280" s="29">
        <v>2015</v>
      </c>
      <c r="AL280" s="38" t="s">
        <v>48</v>
      </c>
      <c r="AM280" s="35">
        <f>+Tabla6[[#This Row],[Trenes Puntuales]]/Tabla6[[#This Row],[Trenes Programados]]</f>
        <v>0.79082568807339448</v>
      </c>
      <c r="AN280" s="35">
        <f>+Tabla6[[#This Row],[Trenes Puntuales]]/Tabla6[[#This Row],[Trenes Corridos]]</f>
        <v>0.81435994331601325</v>
      </c>
      <c r="AO280" s="35">
        <f>+Tabla6[[#This Row],[Trenes Corridos]]/Tabla6[[#This Row],[Trenes Programados]]</f>
        <v>0.97110091743119265</v>
      </c>
      <c r="AP280" s="20">
        <v>2180</v>
      </c>
      <c r="AQ280" s="20">
        <f t="shared" si="163"/>
        <v>63</v>
      </c>
      <c r="AR280" s="20">
        <v>2117</v>
      </c>
      <c r="AS280" s="20">
        <v>1724</v>
      </c>
      <c r="AT280" s="20">
        <f t="shared" si="164"/>
        <v>393</v>
      </c>
      <c r="AU280" s="20"/>
      <c r="AV280" s="5"/>
      <c r="AW280" s="29">
        <v>2015</v>
      </c>
      <c r="AX280" s="38" t="s">
        <v>48</v>
      </c>
      <c r="AY280" s="35">
        <f>+MIT_Vic_Cap[[#This Row],[Trenes Puntuales]]/MIT_Vic_Cap[[#This Row],[Trenes Programados]]</f>
        <v>0.57305194805194803</v>
      </c>
      <c r="AZ280" s="35">
        <f>+MIT_Vic_Cap[[#This Row],[Trenes Puntuales]]/MIT_Vic_Cap[[#This Row],[Trenes Corridos]]</f>
        <v>0.67110266159695819</v>
      </c>
      <c r="BA280" s="35">
        <f>+MIT_Vic_Cap[[#This Row],[Trenes Corridos]]/MIT_Vic_Cap[[#This Row],[Trenes Programados]]</f>
        <v>0.85389610389610393</v>
      </c>
      <c r="BB280" s="20">
        <v>616</v>
      </c>
      <c r="BC280" s="20">
        <f t="shared" si="165"/>
        <v>90</v>
      </c>
      <c r="BD280" s="20">
        <v>526</v>
      </c>
      <c r="BE280" s="20">
        <v>353</v>
      </c>
      <c r="BF280" s="20">
        <f t="shared" si="166"/>
        <v>173</v>
      </c>
      <c r="BG280" s="20"/>
      <c r="BH280" s="5"/>
      <c r="BI280" s="29">
        <v>2015</v>
      </c>
      <c r="BJ280" s="38" t="s">
        <v>48</v>
      </c>
      <c r="BK280" s="35">
        <f>+Tabla8[[#This Row],[Trenes Puntuales]]/Tabla8[[#This Row],[Trenes Programados]]</f>
        <v>0.41111111111111109</v>
      </c>
      <c r="BL280" s="35">
        <f>+Tabla8[[#This Row],[Trenes Puntuales]]/Tabla8[[#This Row],[Trenes Corridos]]</f>
        <v>0.41807909604519772</v>
      </c>
      <c r="BM280" s="35">
        <f>+Tabla8[[#This Row],[Trenes Corridos]]/Tabla8[[#This Row],[Trenes Programados]]</f>
        <v>0.98333333333333328</v>
      </c>
      <c r="BN280" s="20">
        <v>180</v>
      </c>
      <c r="BO280" s="20">
        <f t="shared" si="167"/>
        <v>3</v>
      </c>
      <c r="BP280" s="20">
        <v>177</v>
      </c>
      <c r="BQ280" s="20">
        <v>74</v>
      </c>
      <c r="BR280" s="20">
        <f t="shared" si="168"/>
        <v>103</v>
      </c>
      <c r="BS280" s="29"/>
    </row>
    <row r="281" spans="1:71" s="3" customFormat="1" ht="12.75">
      <c r="A281" s="3">
        <v>2015</v>
      </c>
      <c r="B281" s="38" t="s">
        <v>49</v>
      </c>
      <c r="C281" s="25">
        <f>+MITRE[[#This Row],[Trenes Puntuales]]/MITRE[[#This Row],[Trenes Programados]]</f>
        <v>0.83832688099646524</v>
      </c>
      <c r="D281" s="25">
        <f>+MITRE[[#This Row],[Trenes Puntuales]]/MITRE[[#This Row],[Trenes Corridos]]</f>
        <v>0.89368383276511754</v>
      </c>
      <c r="E281" s="25">
        <f>+MITRE[[#This Row],[Trenes Corridos]]/MITRE[[#This Row],[Trenes Programados]]</f>
        <v>0.93805756606631885</v>
      </c>
      <c r="F281" s="27">
        <f t="shared" si="154"/>
        <v>11882</v>
      </c>
      <c r="G281" s="27">
        <f t="shared" si="155"/>
        <v>736</v>
      </c>
      <c r="H281" s="27">
        <f t="shared" si="156"/>
        <v>11146</v>
      </c>
      <c r="I281" s="27">
        <f t="shared" si="157"/>
        <v>9961</v>
      </c>
      <c r="J281" s="27">
        <f t="shared" si="158"/>
        <v>1185</v>
      </c>
      <c r="K281" s="27"/>
      <c r="L281" s="4"/>
      <c r="M281" s="29">
        <v>2015</v>
      </c>
      <c r="N281" s="38" t="s">
        <v>49</v>
      </c>
      <c r="O281" s="35">
        <f>+Tabla4[[#This Row],[Trenes Puntuales]]/Tabla4[[#This Row],[Trenes Programados]]</f>
        <v>0.86275257338924893</v>
      </c>
      <c r="P281" s="35">
        <f>+Tabla4[[#This Row],[Trenes Puntuales]]/Tabla4[[#This Row],[Trenes Corridos]]</f>
        <v>0.93300350443207591</v>
      </c>
      <c r="Q281" s="35">
        <f>+Tabla4[[#This Row],[Trenes Corridos]]/Tabla4[[#This Row],[Trenes Programados]]</f>
        <v>0.92470453678993514</v>
      </c>
      <c r="R281" s="20">
        <v>5246</v>
      </c>
      <c r="S281" s="20">
        <f t="shared" si="159"/>
        <v>395</v>
      </c>
      <c r="T281" s="20">
        <v>4851</v>
      </c>
      <c r="U281" s="20">
        <v>4526</v>
      </c>
      <c r="V281" s="20">
        <f t="shared" si="160"/>
        <v>325</v>
      </c>
      <c r="W281" s="20"/>
      <c r="X281" s="5"/>
      <c r="Y281" s="29">
        <v>2015</v>
      </c>
      <c r="Z281" s="38" t="s">
        <v>49</v>
      </c>
      <c r="AA281" s="35">
        <f>+Tabla5[[#This Row],[Trenes Puntuales]]/Tabla5[[#This Row],[Trenes Programados]]</f>
        <v>0.85976297968397286</v>
      </c>
      <c r="AB281" s="35">
        <f>+Tabla5[[#This Row],[Trenes Puntuales]]/Tabla5[[#This Row],[Trenes Corridos]]</f>
        <v>0.88859725867599881</v>
      </c>
      <c r="AC281" s="35">
        <f>+Tabla5[[#This Row],[Trenes Corridos]]/Tabla5[[#This Row],[Trenes Programados]]</f>
        <v>0.96755079006772005</v>
      </c>
      <c r="AD281" s="20">
        <v>3544</v>
      </c>
      <c r="AE281" s="20">
        <f t="shared" si="161"/>
        <v>115</v>
      </c>
      <c r="AF281" s="20">
        <v>3429</v>
      </c>
      <c r="AG281" s="20">
        <v>3047</v>
      </c>
      <c r="AH281" s="20">
        <f t="shared" si="162"/>
        <v>382</v>
      </c>
      <c r="AI281" s="20"/>
      <c r="AJ281" s="5"/>
      <c r="AK281" s="29">
        <v>2015</v>
      </c>
      <c r="AL281" s="38" t="s">
        <v>49</v>
      </c>
      <c r="AM281" s="35">
        <f>+Tabla6[[#This Row],[Trenes Puntuales]]/Tabla6[[#This Row],[Trenes Programados]]</f>
        <v>0.87411971830985913</v>
      </c>
      <c r="AN281" s="35">
        <f>+Tabla6[[#This Row],[Trenes Puntuales]]/Tabla6[[#This Row],[Trenes Corridos]]</f>
        <v>0.89864253393665161</v>
      </c>
      <c r="AO281" s="35">
        <f>+Tabla6[[#This Row],[Trenes Corridos]]/Tabla6[[#This Row],[Trenes Programados]]</f>
        <v>0.97271126760563376</v>
      </c>
      <c r="AP281" s="20">
        <v>2272</v>
      </c>
      <c r="AQ281" s="20">
        <f t="shared" si="163"/>
        <v>62</v>
      </c>
      <c r="AR281" s="20">
        <v>2210</v>
      </c>
      <c r="AS281" s="20">
        <v>1986</v>
      </c>
      <c r="AT281" s="20">
        <f t="shared" si="164"/>
        <v>224</v>
      </c>
      <c r="AU281" s="20"/>
      <c r="AV281" s="5"/>
      <c r="AW281" s="29">
        <v>2015</v>
      </c>
      <c r="AX281" s="38" t="s">
        <v>49</v>
      </c>
      <c r="AY281" s="35">
        <f>+MIT_Vic_Cap[[#This Row],[Trenes Puntuales]]/MIT_Vic_Cap[[#This Row],[Trenes Programados]]</f>
        <v>0.52365930599369082</v>
      </c>
      <c r="AZ281" s="35">
        <f>+MIT_Vic_Cap[[#This Row],[Trenes Puntuales]]/MIT_Vic_Cap[[#This Row],[Trenes Corridos]]</f>
        <v>0.69456066945606698</v>
      </c>
      <c r="BA281" s="35">
        <f>+MIT_Vic_Cap[[#This Row],[Trenes Corridos]]/MIT_Vic_Cap[[#This Row],[Trenes Programados]]</f>
        <v>0.75394321766561512</v>
      </c>
      <c r="BB281" s="20">
        <v>634</v>
      </c>
      <c r="BC281" s="20">
        <f t="shared" si="165"/>
        <v>156</v>
      </c>
      <c r="BD281" s="20">
        <v>478</v>
      </c>
      <c r="BE281" s="20">
        <v>332</v>
      </c>
      <c r="BF281" s="20">
        <f t="shared" si="166"/>
        <v>146</v>
      </c>
      <c r="BG281" s="20"/>
      <c r="BH281" s="5"/>
      <c r="BI281" s="29">
        <v>2015</v>
      </c>
      <c r="BJ281" s="38" t="s">
        <v>49</v>
      </c>
      <c r="BK281" s="35">
        <f>+Tabla8[[#This Row],[Trenes Puntuales]]/Tabla8[[#This Row],[Trenes Programados]]</f>
        <v>0.37634408602150538</v>
      </c>
      <c r="BL281" s="35">
        <f>+Tabla8[[#This Row],[Trenes Puntuales]]/Tabla8[[#This Row],[Trenes Corridos]]</f>
        <v>0.39325842696629215</v>
      </c>
      <c r="BM281" s="35">
        <f>+Tabla8[[#This Row],[Trenes Corridos]]/Tabla8[[#This Row],[Trenes Programados]]</f>
        <v>0.956989247311828</v>
      </c>
      <c r="BN281" s="20">
        <v>186</v>
      </c>
      <c r="BO281" s="20">
        <f t="shared" si="167"/>
        <v>8</v>
      </c>
      <c r="BP281" s="20">
        <v>178</v>
      </c>
      <c r="BQ281" s="20">
        <v>70</v>
      </c>
      <c r="BR281" s="20">
        <f t="shared" si="168"/>
        <v>108</v>
      </c>
      <c r="BS281" s="29"/>
    </row>
    <row r="282" spans="1:71" s="3" customFormat="1" ht="12.75">
      <c r="A282" s="3">
        <v>2016</v>
      </c>
      <c r="B282" s="38" t="s">
        <v>38</v>
      </c>
      <c r="C282" s="25">
        <f>+MITRE[[#This Row],[Trenes Puntuales]]/MITRE[[#This Row],[Trenes Programados]]</f>
        <v>0.81137951350896387</v>
      </c>
      <c r="D282" s="25">
        <f>+MITRE[[#This Row],[Trenes Puntuales]]/MITRE[[#This Row],[Trenes Corridos]]</f>
        <v>0.91844512195121952</v>
      </c>
      <c r="E282" s="25">
        <f>+MITRE[[#This Row],[Trenes Corridos]]/MITRE[[#This Row],[Trenes Programados]]</f>
        <v>0.88342732093258147</v>
      </c>
      <c r="F282" s="27">
        <f t="shared" si="154"/>
        <v>11881</v>
      </c>
      <c r="G282" s="27">
        <f t="shared" si="155"/>
        <v>1385</v>
      </c>
      <c r="H282" s="27">
        <f t="shared" si="156"/>
        <v>10496</v>
      </c>
      <c r="I282" s="27">
        <f t="shared" si="157"/>
        <v>9640</v>
      </c>
      <c r="J282" s="27">
        <f t="shared" si="158"/>
        <v>856</v>
      </c>
      <c r="K282" s="27"/>
      <c r="L282" s="4"/>
      <c r="M282" s="29">
        <v>2016</v>
      </c>
      <c r="N282" s="38" t="s">
        <v>38</v>
      </c>
      <c r="O282" s="35">
        <f>+Tabla4[[#This Row],[Trenes Puntuales]]/Tabla4[[#This Row],[Trenes Programados]]</f>
        <v>0.84388105223027066</v>
      </c>
      <c r="P282" s="35">
        <f>+Tabla4[[#This Row],[Trenes Puntuales]]/Tabla4[[#This Row],[Trenes Corridos]]</f>
        <v>0.95615550755939527</v>
      </c>
      <c r="Q282" s="35">
        <f>+Tabla4[[#This Row],[Trenes Corridos]]/Tabla4[[#This Row],[Trenes Programados]]</f>
        <v>0.88257720167746856</v>
      </c>
      <c r="R282" s="20">
        <v>5246</v>
      </c>
      <c r="S282" s="27">
        <f t="shared" ref="S282:S293" si="169">R282-T282</f>
        <v>616</v>
      </c>
      <c r="T282" s="20">
        <v>4630</v>
      </c>
      <c r="U282" s="20">
        <v>4427</v>
      </c>
      <c r="V282" s="20">
        <f t="shared" ref="V282:V293" si="170">T282-U282</f>
        <v>203</v>
      </c>
      <c r="W282" s="20"/>
      <c r="X282" s="5"/>
      <c r="Y282" s="29">
        <v>2016</v>
      </c>
      <c r="Z282" s="38" t="s">
        <v>38</v>
      </c>
      <c r="AA282" s="35">
        <f>+Tabla5[[#This Row],[Trenes Puntuales]]/Tabla5[[#This Row],[Trenes Programados]]</f>
        <v>0.84650112866817151</v>
      </c>
      <c r="AB282" s="35">
        <f>+Tabla5[[#This Row],[Trenes Puntuales]]/Tabla5[[#This Row],[Trenes Corridos]]</f>
        <v>0.93023255813953487</v>
      </c>
      <c r="AC282" s="35">
        <f>+Tabla5[[#This Row],[Trenes Corridos]]/Tabla5[[#This Row],[Trenes Programados]]</f>
        <v>0.90998871331828446</v>
      </c>
      <c r="AD282" s="20">
        <v>3544</v>
      </c>
      <c r="AE282" s="27">
        <f t="shared" ref="AE282:AE293" si="171">AD282-AF282</f>
        <v>319</v>
      </c>
      <c r="AF282" s="20">
        <v>3225</v>
      </c>
      <c r="AG282" s="20">
        <v>3000</v>
      </c>
      <c r="AH282" s="20">
        <f t="shared" ref="AH282:AH293" si="172">AF282-AG282</f>
        <v>225</v>
      </c>
      <c r="AI282" s="20"/>
      <c r="AJ282" s="5"/>
      <c r="AK282" s="29">
        <v>2016</v>
      </c>
      <c r="AL282" s="38" t="s">
        <v>38</v>
      </c>
      <c r="AM282" s="35">
        <f>+Tabla6[[#This Row],[Trenes Puntuales]]/Tabla6[[#This Row],[Trenes Programados]]</f>
        <v>0.78125</v>
      </c>
      <c r="AN282" s="35">
        <f>+Tabla6[[#This Row],[Trenes Puntuales]]/Tabla6[[#This Row],[Trenes Corridos]]</f>
        <v>0.91025641025641024</v>
      </c>
      <c r="AO282" s="35">
        <f>+Tabla6[[#This Row],[Trenes Corridos]]/Tabla6[[#This Row],[Trenes Programados]]</f>
        <v>0.85827464788732399</v>
      </c>
      <c r="AP282" s="20">
        <v>2272</v>
      </c>
      <c r="AQ282" s="27">
        <f t="shared" ref="AQ282:AQ293" si="173">AP282-AR282</f>
        <v>322</v>
      </c>
      <c r="AR282" s="20">
        <v>1950</v>
      </c>
      <c r="AS282" s="20">
        <v>1775</v>
      </c>
      <c r="AT282" s="20">
        <f t="shared" ref="AT282:AT293" si="174">AR282-AS282</f>
        <v>175</v>
      </c>
      <c r="AU282" s="20"/>
      <c r="AV282" s="5"/>
      <c r="AW282" s="29">
        <v>2016</v>
      </c>
      <c r="AX282" s="38" t="s">
        <v>38</v>
      </c>
      <c r="AY282" s="35">
        <f>+MIT_Vic_Cap[[#This Row],[Trenes Puntuales]]/MIT_Vic_Cap[[#This Row],[Trenes Programados]]</f>
        <v>0.56398104265402849</v>
      </c>
      <c r="AZ282" s="35">
        <f>+MIT_Vic_Cap[[#This Row],[Trenes Puntuales]]/MIT_Vic_Cap[[#This Row],[Trenes Corridos]]</f>
        <v>0.69320388349514561</v>
      </c>
      <c r="BA282" s="35">
        <f>+MIT_Vic_Cap[[#This Row],[Trenes Corridos]]/MIT_Vic_Cap[[#This Row],[Trenes Programados]]</f>
        <v>0.81358609794628756</v>
      </c>
      <c r="BB282" s="20">
        <v>633</v>
      </c>
      <c r="BC282" s="27">
        <f t="shared" ref="BC282:BC293" si="175">BB282-BD282</f>
        <v>118</v>
      </c>
      <c r="BD282" s="20">
        <v>515</v>
      </c>
      <c r="BE282" s="20">
        <v>357</v>
      </c>
      <c r="BF282" s="20">
        <f t="shared" ref="BF282:BF293" si="176">BD282-BE282</f>
        <v>158</v>
      </c>
      <c r="BG282" s="20"/>
      <c r="BH282" s="5"/>
      <c r="BI282" s="29">
        <v>2016</v>
      </c>
      <c r="BJ282" s="38" t="s">
        <v>38</v>
      </c>
      <c r="BK282" s="35">
        <f>+Tabla8[[#This Row],[Trenes Puntuales]]/Tabla8[[#This Row],[Trenes Programados]]</f>
        <v>0.43548387096774194</v>
      </c>
      <c r="BL282" s="35">
        <f>+Tabla8[[#This Row],[Trenes Puntuales]]/Tabla8[[#This Row],[Trenes Corridos]]</f>
        <v>0.46022727272727271</v>
      </c>
      <c r="BM282" s="35">
        <f>+Tabla8[[#This Row],[Trenes Corridos]]/Tabla8[[#This Row],[Trenes Programados]]</f>
        <v>0.94623655913978499</v>
      </c>
      <c r="BN282" s="20">
        <v>186</v>
      </c>
      <c r="BO282" s="27">
        <f t="shared" ref="BO282:BO293" si="177">BN282-BP282</f>
        <v>10</v>
      </c>
      <c r="BP282" s="20">
        <v>176</v>
      </c>
      <c r="BQ282" s="20">
        <v>81</v>
      </c>
      <c r="BR282" s="20">
        <f t="shared" ref="BR282:BR293" si="178">BP282-BQ282</f>
        <v>95</v>
      </c>
      <c r="BS282" s="29"/>
    </row>
    <row r="283" spans="1:71" s="3" customFormat="1" ht="12.75">
      <c r="A283" s="3">
        <v>2016</v>
      </c>
      <c r="B283" s="38" t="s">
        <v>39</v>
      </c>
      <c r="C283" s="25">
        <f>+MITRE[[#This Row],[Trenes Puntuales]]/MITRE[[#This Row],[Trenes Programados]]</f>
        <v>0.87810026385224271</v>
      </c>
      <c r="D283" s="25">
        <f>+MITRE[[#This Row],[Trenes Puntuales]]/MITRE[[#This Row],[Trenes Corridos]]</f>
        <v>0.90879300928454398</v>
      </c>
      <c r="E283" s="25">
        <f>+MITRE[[#This Row],[Trenes Corridos]]/MITRE[[#This Row],[Trenes Programados]]</f>
        <v>0.96622691292875984</v>
      </c>
      <c r="F283" s="27">
        <f t="shared" si="154"/>
        <v>9475</v>
      </c>
      <c r="G283" s="27">
        <f t="shared" si="155"/>
        <v>320</v>
      </c>
      <c r="H283" s="27">
        <f t="shared" si="156"/>
        <v>9155</v>
      </c>
      <c r="I283" s="27">
        <f t="shared" si="157"/>
        <v>8320</v>
      </c>
      <c r="J283" s="27">
        <f t="shared" si="158"/>
        <v>835</v>
      </c>
      <c r="K283" s="27"/>
      <c r="L283" s="4"/>
      <c r="M283" s="29">
        <v>2016</v>
      </c>
      <c r="N283" s="38" t="s">
        <v>39</v>
      </c>
      <c r="O283" s="35">
        <f>+Tabla4[[#This Row],[Trenes Puntuales]]/Tabla4[[#This Row],[Trenes Programados]]</f>
        <v>0.91568535091851155</v>
      </c>
      <c r="P283" s="35">
        <f>+Tabla4[[#This Row],[Trenes Puntuales]]/Tabla4[[#This Row],[Trenes Corridos]]</f>
        <v>0.93867696764847897</v>
      </c>
      <c r="Q283" s="35">
        <f>+Tabla4[[#This Row],[Trenes Corridos]]/Tabla4[[#This Row],[Trenes Programados]]</f>
        <v>0.97550635892604809</v>
      </c>
      <c r="R283" s="20">
        <v>4246</v>
      </c>
      <c r="S283" s="27">
        <f t="shared" si="169"/>
        <v>104</v>
      </c>
      <c r="T283" s="20">
        <v>4142</v>
      </c>
      <c r="U283" s="20">
        <v>3888</v>
      </c>
      <c r="V283" s="20">
        <f t="shared" si="170"/>
        <v>254</v>
      </c>
      <c r="W283" s="20"/>
      <c r="X283" s="5"/>
      <c r="Y283" s="29">
        <v>2016</v>
      </c>
      <c r="Z283" s="38" t="s">
        <v>39</v>
      </c>
      <c r="AA283" s="35">
        <f>+Tabla5[[#This Row],[Trenes Puntuales]]/Tabla5[[#This Row],[Trenes Programados]]</f>
        <v>0.91249562478123902</v>
      </c>
      <c r="AB283" s="35">
        <f>+Tabla5[[#This Row],[Trenes Puntuales]]/Tabla5[[#This Row],[Trenes Corridos]]</f>
        <v>0.91892844554106445</v>
      </c>
      <c r="AC283" s="35">
        <f>+Tabla5[[#This Row],[Trenes Corridos]]/Tabla5[[#This Row],[Trenes Programados]]</f>
        <v>0.99299964998249912</v>
      </c>
      <c r="AD283" s="20">
        <v>2857</v>
      </c>
      <c r="AE283" s="27">
        <f t="shared" si="171"/>
        <v>20</v>
      </c>
      <c r="AF283" s="20">
        <v>2837</v>
      </c>
      <c r="AG283" s="20">
        <v>2607</v>
      </c>
      <c r="AH283" s="20">
        <f t="shared" si="172"/>
        <v>230</v>
      </c>
      <c r="AI283" s="20"/>
      <c r="AJ283" s="5"/>
      <c r="AK283" s="29">
        <v>2016</v>
      </c>
      <c r="AL283" s="38" t="s">
        <v>39</v>
      </c>
      <c r="AM283" s="35">
        <f>+Tabla6[[#This Row],[Trenes Puntuales]]/Tabla6[[#This Row],[Trenes Programados]]</f>
        <v>0.89650872817955107</v>
      </c>
      <c r="AN283" s="35">
        <f>+Tabla6[[#This Row],[Trenes Puntuales]]/Tabla6[[#This Row],[Trenes Corridos]]</f>
        <v>0.91012658227848098</v>
      </c>
      <c r="AO283" s="35">
        <f>+Tabla6[[#This Row],[Trenes Corridos]]/Tabla6[[#This Row],[Trenes Programados]]</f>
        <v>0.98503740648379057</v>
      </c>
      <c r="AP283" s="20">
        <v>1604</v>
      </c>
      <c r="AQ283" s="27">
        <f t="shared" si="173"/>
        <v>24</v>
      </c>
      <c r="AR283" s="20">
        <v>1580</v>
      </c>
      <c r="AS283" s="20">
        <v>1438</v>
      </c>
      <c r="AT283" s="20">
        <f t="shared" si="174"/>
        <v>142</v>
      </c>
      <c r="AU283" s="20"/>
      <c r="AV283" s="5"/>
      <c r="AW283" s="29">
        <v>2016</v>
      </c>
      <c r="AX283" s="38" t="s">
        <v>39</v>
      </c>
      <c r="AY283" s="35">
        <f>+MIT_Vic_Cap[[#This Row],[Trenes Puntuales]]/MIT_Vic_Cap[[#This Row],[Trenes Programados]]</f>
        <v>0.53703703703703709</v>
      </c>
      <c r="AZ283" s="35">
        <f>+MIT_Vic_Cap[[#This Row],[Trenes Puntuales]]/MIT_Vic_Cap[[#This Row],[Trenes Corridos]]</f>
        <v>0.73333333333333328</v>
      </c>
      <c r="BA283" s="35">
        <f>+MIT_Vic_Cap[[#This Row],[Trenes Corridos]]/MIT_Vic_Cap[[#This Row],[Trenes Programados]]</f>
        <v>0.73232323232323238</v>
      </c>
      <c r="BB283" s="20">
        <v>594</v>
      </c>
      <c r="BC283" s="27">
        <f t="shared" si="175"/>
        <v>159</v>
      </c>
      <c r="BD283" s="20">
        <v>435</v>
      </c>
      <c r="BE283" s="20">
        <v>319</v>
      </c>
      <c r="BF283" s="20">
        <f t="shared" si="176"/>
        <v>116</v>
      </c>
      <c r="BG283" s="20"/>
      <c r="BH283" s="5"/>
      <c r="BI283" s="29">
        <v>2016</v>
      </c>
      <c r="BJ283" s="38" t="s">
        <v>39</v>
      </c>
      <c r="BK283" s="35">
        <f>+Tabla8[[#This Row],[Trenes Puntuales]]/Tabla8[[#This Row],[Trenes Programados]]</f>
        <v>0.39080459770114945</v>
      </c>
      <c r="BL283" s="35">
        <f>+Tabla8[[#This Row],[Trenes Puntuales]]/Tabla8[[#This Row],[Trenes Corridos]]</f>
        <v>0.42236024844720499</v>
      </c>
      <c r="BM283" s="35">
        <f>+Tabla8[[#This Row],[Trenes Corridos]]/Tabla8[[#This Row],[Trenes Programados]]</f>
        <v>0.92528735632183912</v>
      </c>
      <c r="BN283" s="20">
        <v>174</v>
      </c>
      <c r="BO283" s="27">
        <f t="shared" si="177"/>
        <v>13</v>
      </c>
      <c r="BP283" s="20">
        <v>161</v>
      </c>
      <c r="BQ283" s="20">
        <v>68</v>
      </c>
      <c r="BR283" s="20">
        <f t="shared" si="178"/>
        <v>93</v>
      </c>
      <c r="BS283" s="29"/>
    </row>
    <row r="284" spans="1:71" s="3" customFormat="1" ht="12.75">
      <c r="A284" s="3">
        <v>2016</v>
      </c>
      <c r="B284" s="38" t="s">
        <v>40</v>
      </c>
      <c r="C284" s="25">
        <f>+MITRE[[#This Row],[Trenes Puntuales]]/MITRE[[#This Row],[Trenes Programados]]</f>
        <v>0.88892692110217353</v>
      </c>
      <c r="D284" s="25">
        <f>+MITRE[[#This Row],[Trenes Puntuales]]/MITRE[[#This Row],[Trenes Corridos]]</f>
        <v>0.92157558552164653</v>
      </c>
      <c r="E284" s="25">
        <f>+MITRE[[#This Row],[Trenes Corridos]]/MITRE[[#This Row],[Trenes Programados]]</f>
        <v>0.96457299332534652</v>
      </c>
      <c r="F284" s="27">
        <f t="shared" si="154"/>
        <v>11686</v>
      </c>
      <c r="G284" s="27">
        <f t="shared" si="155"/>
        <v>414</v>
      </c>
      <c r="H284" s="27">
        <f t="shared" si="156"/>
        <v>11272</v>
      </c>
      <c r="I284" s="27">
        <f t="shared" si="157"/>
        <v>10388</v>
      </c>
      <c r="J284" s="27">
        <f t="shared" si="158"/>
        <v>884</v>
      </c>
      <c r="K284" s="27"/>
      <c r="L284" s="4"/>
      <c r="M284" s="29">
        <v>2016</v>
      </c>
      <c r="N284" s="38" t="s">
        <v>40</v>
      </c>
      <c r="O284" s="35">
        <f>+Tabla4[[#This Row],[Trenes Puntuales]]/Tabla4[[#This Row],[Trenes Programados]]</f>
        <v>0.9457661290322581</v>
      </c>
      <c r="P284" s="35">
        <f>+Tabla4[[#This Row],[Trenes Puntuales]]/Tabla4[[#This Row],[Trenes Corridos]]</f>
        <v>0.96661858644137644</v>
      </c>
      <c r="Q284" s="35">
        <f>+Tabla4[[#This Row],[Trenes Corridos]]/Tabla4[[#This Row],[Trenes Programados]]</f>
        <v>0.97842741935483868</v>
      </c>
      <c r="R284" s="20">
        <v>4960</v>
      </c>
      <c r="S284" s="27">
        <f t="shared" si="169"/>
        <v>107</v>
      </c>
      <c r="T284" s="20">
        <v>4853</v>
      </c>
      <c r="U284" s="20">
        <v>4691</v>
      </c>
      <c r="V284" s="20">
        <f t="shared" si="170"/>
        <v>162</v>
      </c>
      <c r="W284" s="20"/>
      <c r="X284" s="5"/>
      <c r="Y284" s="29">
        <v>2016</v>
      </c>
      <c r="Z284" s="38" t="s">
        <v>40</v>
      </c>
      <c r="AA284" s="35">
        <f>+Tabla5[[#This Row],[Trenes Puntuales]]/Tabla5[[#This Row],[Trenes Programados]]</f>
        <v>0.88443877551020411</v>
      </c>
      <c r="AB284" s="35">
        <f>+Tabla5[[#This Row],[Trenes Puntuales]]/Tabla5[[#This Row],[Trenes Corridos]]</f>
        <v>0.90973497769614275</v>
      </c>
      <c r="AC284" s="35">
        <f>+Tabla5[[#This Row],[Trenes Corridos]]/Tabla5[[#This Row],[Trenes Programados]]</f>
        <v>0.97219387755102038</v>
      </c>
      <c r="AD284" s="20">
        <v>3920</v>
      </c>
      <c r="AE284" s="27">
        <f t="shared" si="171"/>
        <v>109</v>
      </c>
      <c r="AF284" s="20">
        <v>3811</v>
      </c>
      <c r="AG284" s="20">
        <v>3467</v>
      </c>
      <c r="AH284" s="20">
        <f t="shared" si="172"/>
        <v>344</v>
      </c>
      <c r="AI284" s="20"/>
      <c r="AJ284" s="5"/>
      <c r="AK284" s="29">
        <v>2016</v>
      </c>
      <c r="AL284" s="38" t="s">
        <v>40</v>
      </c>
      <c r="AM284" s="35">
        <f>+Tabla6[[#This Row],[Trenes Puntuales]]/Tabla6[[#This Row],[Trenes Programados]]</f>
        <v>0.89707366296670032</v>
      </c>
      <c r="AN284" s="35">
        <f>+Tabla6[[#This Row],[Trenes Puntuales]]/Tabla6[[#This Row],[Trenes Corridos]]</f>
        <v>0.91649484536082471</v>
      </c>
      <c r="AO284" s="35">
        <f>+Tabla6[[#This Row],[Trenes Corridos]]/Tabla6[[#This Row],[Trenes Programados]]</f>
        <v>0.97880928355196772</v>
      </c>
      <c r="AP284" s="20">
        <v>1982</v>
      </c>
      <c r="AQ284" s="27">
        <f t="shared" si="173"/>
        <v>42</v>
      </c>
      <c r="AR284" s="20">
        <v>1940</v>
      </c>
      <c r="AS284" s="20">
        <v>1778</v>
      </c>
      <c r="AT284" s="20">
        <f t="shared" si="174"/>
        <v>162</v>
      </c>
      <c r="AU284" s="20"/>
      <c r="AV284" s="5"/>
      <c r="AW284" s="29">
        <v>2016</v>
      </c>
      <c r="AX284" s="38" t="s">
        <v>40</v>
      </c>
      <c r="AY284" s="35">
        <f>+MIT_Vic_Cap[[#This Row],[Trenes Puntuales]]/MIT_Vic_Cap[[#This Row],[Trenes Programados]]</f>
        <v>0.55642633228840122</v>
      </c>
      <c r="AZ284" s="35">
        <f>+MIT_Vic_Cap[[#This Row],[Trenes Puntuales]]/MIT_Vic_Cap[[#This Row],[Trenes Corridos]]</f>
        <v>0.72895277207392195</v>
      </c>
      <c r="BA284" s="35">
        <f>+MIT_Vic_Cap[[#This Row],[Trenes Corridos]]/MIT_Vic_Cap[[#This Row],[Trenes Programados]]</f>
        <v>0.76332288401253923</v>
      </c>
      <c r="BB284" s="20">
        <v>638</v>
      </c>
      <c r="BC284" s="27">
        <f t="shared" si="175"/>
        <v>151</v>
      </c>
      <c r="BD284" s="20">
        <v>487</v>
      </c>
      <c r="BE284" s="20">
        <v>355</v>
      </c>
      <c r="BF284" s="20">
        <f t="shared" si="176"/>
        <v>132</v>
      </c>
      <c r="BG284" s="20"/>
      <c r="BH284" s="5"/>
      <c r="BI284" s="29">
        <v>2016</v>
      </c>
      <c r="BJ284" s="38" t="s">
        <v>40</v>
      </c>
      <c r="BK284" s="35">
        <f>+Tabla8[[#This Row],[Trenes Puntuales]]/Tabla8[[#This Row],[Trenes Programados]]</f>
        <v>0.521505376344086</v>
      </c>
      <c r="BL284" s="35">
        <f>+Tabla8[[#This Row],[Trenes Puntuales]]/Tabla8[[#This Row],[Trenes Corridos]]</f>
        <v>0.53591160220994472</v>
      </c>
      <c r="BM284" s="35">
        <f>+Tabla8[[#This Row],[Trenes Corridos]]/Tabla8[[#This Row],[Trenes Programados]]</f>
        <v>0.9731182795698925</v>
      </c>
      <c r="BN284" s="20">
        <v>186</v>
      </c>
      <c r="BO284" s="27">
        <f t="shared" si="177"/>
        <v>5</v>
      </c>
      <c r="BP284" s="20">
        <v>181</v>
      </c>
      <c r="BQ284" s="20">
        <v>97</v>
      </c>
      <c r="BR284" s="20">
        <f t="shared" si="178"/>
        <v>84</v>
      </c>
      <c r="BS284" s="29"/>
    </row>
    <row r="285" spans="1:71" s="3" customFormat="1" ht="12.75">
      <c r="A285" s="3">
        <v>2016</v>
      </c>
      <c r="B285" s="38" t="s">
        <v>41</v>
      </c>
      <c r="C285" s="25">
        <f>+MITRE[[#This Row],[Trenes Puntuales]]/MITRE[[#This Row],[Trenes Programados]]</f>
        <v>0.8814239371691992</v>
      </c>
      <c r="D285" s="25">
        <f>+MITRE[[#This Row],[Trenes Puntuales]]/MITRE[[#This Row],[Trenes Corridos]]</f>
        <v>0.91073476228279082</v>
      </c>
      <c r="E285" s="25">
        <f>+MITRE[[#This Row],[Trenes Corridos]]/MITRE[[#This Row],[Trenes Programados]]</f>
        <v>0.96781628820215126</v>
      </c>
      <c r="F285" s="27">
        <f t="shared" si="154"/>
        <v>11714</v>
      </c>
      <c r="G285" s="27">
        <f t="shared" si="155"/>
        <v>377</v>
      </c>
      <c r="H285" s="27">
        <f t="shared" si="156"/>
        <v>11337</v>
      </c>
      <c r="I285" s="27">
        <f t="shared" si="157"/>
        <v>10325</v>
      </c>
      <c r="J285" s="27">
        <f t="shared" si="158"/>
        <v>1012</v>
      </c>
      <c r="K285" s="27"/>
      <c r="L285" s="4"/>
      <c r="M285" s="29">
        <v>2016</v>
      </c>
      <c r="N285" s="38" t="s">
        <v>41</v>
      </c>
      <c r="O285" s="35">
        <f>+Tabla4[[#This Row],[Trenes Puntuales]]/Tabla4[[#This Row],[Trenes Programados]]</f>
        <v>0.9428861788617886</v>
      </c>
      <c r="P285" s="35">
        <f>+Tabla4[[#This Row],[Trenes Puntuales]]/Tabla4[[#This Row],[Trenes Corridos]]</f>
        <v>0.96244813278008301</v>
      </c>
      <c r="Q285" s="35">
        <f>+Tabla4[[#This Row],[Trenes Corridos]]/Tabla4[[#This Row],[Trenes Programados]]</f>
        <v>0.97967479674796742</v>
      </c>
      <c r="R285" s="20">
        <v>4920</v>
      </c>
      <c r="S285" s="27">
        <f t="shared" si="169"/>
        <v>100</v>
      </c>
      <c r="T285" s="20">
        <v>4820</v>
      </c>
      <c r="U285" s="20">
        <v>4639</v>
      </c>
      <c r="V285" s="20">
        <f t="shared" si="170"/>
        <v>181</v>
      </c>
      <c r="W285" s="20"/>
      <c r="X285" s="5"/>
      <c r="Y285" s="29">
        <v>2016</v>
      </c>
      <c r="Z285" s="38" t="s">
        <v>41</v>
      </c>
      <c r="AA285" s="35">
        <f>+Tabla5[[#This Row],[Trenes Puntuales]]/Tabla5[[#This Row],[Trenes Programados]]</f>
        <v>0.87867463876432483</v>
      </c>
      <c r="AB285" s="35">
        <f>+Tabla5[[#This Row],[Trenes Puntuales]]/Tabla5[[#This Row],[Trenes Corridos]]</f>
        <v>0.89745547073791354</v>
      </c>
      <c r="AC285" s="35">
        <f>+Tabla5[[#This Row],[Trenes Corridos]]/Tabla5[[#This Row],[Trenes Programados]]</f>
        <v>0.97907324364723469</v>
      </c>
      <c r="AD285" s="20">
        <v>4014</v>
      </c>
      <c r="AE285" s="27">
        <f t="shared" si="171"/>
        <v>84</v>
      </c>
      <c r="AF285" s="20">
        <v>3930</v>
      </c>
      <c r="AG285" s="20">
        <v>3527</v>
      </c>
      <c r="AH285" s="20">
        <f t="shared" si="172"/>
        <v>403</v>
      </c>
      <c r="AI285" s="20"/>
      <c r="AJ285" s="5"/>
      <c r="AK285" s="29">
        <v>2016</v>
      </c>
      <c r="AL285" s="38" t="s">
        <v>41</v>
      </c>
      <c r="AM285" s="35">
        <f>+Tabla6[[#This Row],[Trenes Puntuales]]/Tabla6[[#This Row],[Trenes Programados]]</f>
        <v>0.89191919191919189</v>
      </c>
      <c r="AN285" s="35">
        <f>+Tabla6[[#This Row],[Trenes Puntuales]]/Tabla6[[#This Row],[Trenes Corridos]]</f>
        <v>0.90796915167095116</v>
      </c>
      <c r="AO285" s="35">
        <f>+Tabla6[[#This Row],[Trenes Corridos]]/Tabla6[[#This Row],[Trenes Programados]]</f>
        <v>0.98232323232323238</v>
      </c>
      <c r="AP285" s="20">
        <v>1980</v>
      </c>
      <c r="AQ285" s="27">
        <f t="shared" si="173"/>
        <v>35</v>
      </c>
      <c r="AR285" s="20">
        <v>1945</v>
      </c>
      <c r="AS285" s="20">
        <v>1766</v>
      </c>
      <c r="AT285" s="20">
        <f t="shared" si="174"/>
        <v>179</v>
      </c>
      <c r="AU285" s="20"/>
      <c r="AV285" s="5"/>
      <c r="AW285" s="29">
        <v>2016</v>
      </c>
      <c r="AX285" s="38" t="s">
        <v>41</v>
      </c>
      <c r="AY285" s="35">
        <f>+MIT_Vic_Cap[[#This Row],[Trenes Puntuales]]/MIT_Vic_Cap[[#This Row],[Trenes Programados]]</f>
        <v>0.49032258064516127</v>
      </c>
      <c r="AZ285" s="35">
        <f>+MIT_Vic_Cap[[#This Row],[Trenes Puntuales]]/MIT_Vic_Cap[[#This Row],[Trenes Corridos]]</f>
        <v>0.6495726495726496</v>
      </c>
      <c r="BA285" s="35">
        <f>+MIT_Vic_Cap[[#This Row],[Trenes Corridos]]/MIT_Vic_Cap[[#This Row],[Trenes Programados]]</f>
        <v>0.75483870967741939</v>
      </c>
      <c r="BB285" s="20">
        <v>620</v>
      </c>
      <c r="BC285" s="27">
        <f t="shared" si="175"/>
        <v>152</v>
      </c>
      <c r="BD285" s="20">
        <v>468</v>
      </c>
      <c r="BE285" s="20">
        <v>304</v>
      </c>
      <c r="BF285" s="20">
        <f t="shared" si="176"/>
        <v>164</v>
      </c>
      <c r="BG285" s="20"/>
      <c r="BH285" s="5"/>
      <c r="BI285" s="29">
        <v>2016</v>
      </c>
      <c r="BJ285" s="38" t="s">
        <v>41</v>
      </c>
      <c r="BK285" s="35">
        <f>+Tabla8[[#This Row],[Trenes Puntuales]]/Tabla8[[#This Row],[Trenes Programados]]</f>
        <v>0.49444444444444446</v>
      </c>
      <c r="BL285" s="35">
        <f>+Tabla8[[#This Row],[Trenes Puntuales]]/Tabla8[[#This Row],[Trenes Corridos]]</f>
        <v>0.5114942528735632</v>
      </c>
      <c r="BM285" s="35">
        <f>+Tabla8[[#This Row],[Trenes Corridos]]/Tabla8[[#This Row],[Trenes Programados]]</f>
        <v>0.96666666666666667</v>
      </c>
      <c r="BN285" s="20">
        <v>180</v>
      </c>
      <c r="BO285" s="27">
        <f t="shared" si="177"/>
        <v>6</v>
      </c>
      <c r="BP285" s="20">
        <v>174</v>
      </c>
      <c r="BQ285" s="20">
        <v>89</v>
      </c>
      <c r="BR285" s="20">
        <f t="shared" si="178"/>
        <v>85</v>
      </c>
      <c r="BS285" s="29"/>
    </row>
    <row r="286" spans="1:71" s="3" customFormat="1" ht="12.75">
      <c r="A286" s="3">
        <v>2016</v>
      </c>
      <c r="B286" s="38" t="s">
        <v>42</v>
      </c>
      <c r="C286" s="25">
        <f>+MITRE[[#This Row],[Trenes Puntuales]]/MITRE[[#This Row],[Trenes Programados]]</f>
        <v>0.86315352697095438</v>
      </c>
      <c r="D286" s="25">
        <f>+MITRE[[#This Row],[Trenes Puntuales]]/MITRE[[#This Row],[Trenes Corridos]]</f>
        <v>0.89501764047844423</v>
      </c>
      <c r="E286" s="25">
        <f>+MITRE[[#This Row],[Trenes Corridos]]/MITRE[[#This Row],[Trenes Programados]]</f>
        <v>0.96439834024896265</v>
      </c>
      <c r="F286" s="27">
        <f t="shared" si="154"/>
        <v>12050</v>
      </c>
      <c r="G286" s="27">
        <f t="shared" si="155"/>
        <v>429</v>
      </c>
      <c r="H286" s="27">
        <f t="shared" si="156"/>
        <v>11621</v>
      </c>
      <c r="I286" s="27">
        <f t="shared" si="157"/>
        <v>10401</v>
      </c>
      <c r="J286" s="27">
        <f t="shared" si="158"/>
        <v>1220</v>
      </c>
      <c r="K286" s="27"/>
      <c r="L286" s="4"/>
      <c r="M286" s="29">
        <v>2016</v>
      </c>
      <c r="N286" s="38" t="s">
        <v>42</v>
      </c>
      <c r="O286" s="35">
        <f>+Tabla4[[#This Row],[Trenes Puntuales]]/Tabla4[[#This Row],[Trenes Programados]]</f>
        <v>0.924248417721519</v>
      </c>
      <c r="P286" s="35">
        <f>+Tabla4[[#This Row],[Trenes Puntuales]]/Tabla4[[#This Row],[Trenes Corridos]]</f>
        <v>0.94671799027552672</v>
      </c>
      <c r="Q286" s="35">
        <f>+Tabla4[[#This Row],[Trenes Corridos]]/Tabla4[[#This Row],[Trenes Programados]]</f>
        <v>0.97626582278481011</v>
      </c>
      <c r="R286" s="20">
        <v>5056</v>
      </c>
      <c r="S286" s="27">
        <f t="shared" si="169"/>
        <v>120</v>
      </c>
      <c r="T286" s="20">
        <v>4936</v>
      </c>
      <c r="U286" s="20">
        <v>4673</v>
      </c>
      <c r="V286" s="20">
        <f t="shared" si="170"/>
        <v>263</v>
      </c>
      <c r="W286" s="20"/>
      <c r="X286" s="5"/>
      <c r="Y286" s="29">
        <v>2016</v>
      </c>
      <c r="Z286" s="38" t="s">
        <v>42</v>
      </c>
      <c r="AA286" s="35">
        <f>+Tabla5[[#This Row],[Trenes Puntuales]]/Tabla5[[#This Row],[Trenes Programados]]</f>
        <v>0.86930164888457806</v>
      </c>
      <c r="AB286" s="35">
        <f>+Tabla5[[#This Row],[Trenes Puntuales]]/Tabla5[[#This Row],[Trenes Corridos]]</f>
        <v>0.89647411852963244</v>
      </c>
      <c r="AC286" s="35">
        <f>+Tabla5[[#This Row],[Trenes Corridos]]/Tabla5[[#This Row],[Trenes Programados]]</f>
        <v>0.9696896217264791</v>
      </c>
      <c r="AD286" s="20">
        <v>4124</v>
      </c>
      <c r="AE286" s="27">
        <f t="shared" si="171"/>
        <v>125</v>
      </c>
      <c r="AF286" s="20">
        <v>3999</v>
      </c>
      <c r="AG286" s="20">
        <v>3585</v>
      </c>
      <c r="AH286" s="20">
        <f t="shared" si="172"/>
        <v>414</v>
      </c>
      <c r="AI286" s="20"/>
      <c r="AJ286" s="5"/>
      <c r="AK286" s="29">
        <v>2016</v>
      </c>
      <c r="AL286" s="38" t="s">
        <v>42</v>
      </c>
      <c r="AM286" s="35">
        <f>+Tabla6[[#This Row],[Trenes Puntuales]]/Tabla6[[#This Row],[Trenes Programados]]</f>
        <v>0.87781036168132942</v>
      </c>
      <c r="AN286" s="35">
        <f>+Tabla6[[#This Row],[Trenes Puntuales]]/Tabla6[[#This Row],[Trenes Corridos]]</f>
        <v>0.89442231075697209</v>
      </c>
      <c r="AO286" s="35">
        <f>+Tabla6[[#This Row],[Trenes Corridos]]/Tabla6[[#This Row],[Trenes Programados]]</f>
        <v>0.98142717497556209</v>
      </c>
      <c r="AP286" s="20">
        <v>2046</v>
      </c>
      <c r="AQ286" s="27">
        <f t="shared" si="173"/>
        <v>38</v>
      </c>
      <c r="AR286" s="20">
        <v>2008</v>
      </c>
      <c r="AS286" s="20">
        <v>1796</v>
      </c>
      <c r="AT286" s="20">
        <f t="shared" si="174"/>
        <v>212</v>
      </c>
      <c r="AU286" s="20"/>
      <c r="AV286" s="5"/>
      <c r="AW286" s="29">
        <v>2016</v>
      </c>
      <c r="AX286" s="38" t="s">
        <v>42</v>
      </c>
      <c r="AY286" s="35">
        <f>+MIT_Vic_Cap[[#This Row],[Trenes Puntuales]]/MIT_Vic_Cap[[#This Row],[Trenes Programados]]</f>
        <v>0.42319749216300939</v>
      </c>
      <c r="AZ286" s="35">
        <f>+MIT_Vic_Cap[[#This Row],[Trenes Puntuales]]/MIT_Vic_Cap[[#This Row],[Trenes Corridos]]</f>
        <v>0.54545454545454541</v>
      </c>
      <c r="BA286" s="35">
        <f>+MIT_Vic_Cap[[#This Row],[Trenes Corridos]]/MIT_Vic_Cap[[#This Row],[Trenes Programados]]</f>
        <v>0.77586206896551724</v>
      </c>
      <c r="BB286" s="20">
        <v>638</v>
      </c>
      <c r="BC286" s="27">
        <f t="shared" si="175"/>
        <v>143</v>
      </c>
      <c r="BD286" s="20">
        <v>495</v>
      </c>
      <c r="BE286" s="20">
        <v>270</v>
      </c>
      <c r="BF286" s="20">
        <f t="shared" si="176"/>
        <v>225</v>
      </c>
      <c r="BG286" s="20"/>
      <c r="BH286" s="5"/>
      <c r="BI286" s="29">
        <v>2016</v>
      </c>
      <c r="BJ286" s="38" t="s">
        <v>42</v>
      </c>
      <c r="BK286" s="35">
        <f>+Tabla8[[#This Row],[Trenes Puntuales]]/Tabla8[[#This Row],[Trenes Programados]]</f>
        <v>0.41397849462365593</v>
      </c>
      <c r="BL286" s="35">
        <f>+Tabla8[[#This Row],[Trenes Puntuales]]/Tabla8[[#This Row],[Trenes Corridos]]</f>
        <v>0.42076502732240439</v>
      </c>
      <c r="BM286" s="35">
        <f>+Tabla8[[#This Row],[Trenes Corridos]]/Tabla8[[#This Row],[Trenes Programados]]</f>
        <v>0.9838709677419355</v>
      </c>
      <c r="BN286" s="20">
        <v>186</v>
      </c>
      <c r="BO286" s="27">
        <f t="shared" si="177"/>
        <v>3</v>
      </c>
      <c r="BP286" s="20">
        <v>183</v>
      </c>
      <c r="BQ286" s="20">
        <v>77</v>
      </c>
      <c r="BR286" s="20">
        <f t="shared" si="178"/>
        <v>106</v>
      </c>
      <c r="BS286" s="29"/>
    </row>
    <row r="287" spans="1:71" s="3" customFormat="1" ht="12.75">
      <c r="A287" s="3">
        <v>2016</v>
      </c>
      <c r="B287" s="38" t="s">
        <v>43</v>
      </c>
      <c r="C287" s="25">
        <f>+MITRE[[#This Row],[Trenes Puntuales]]/MITRE[[#This Row],[Trenes Programados]]</f>
        <v>0.87339935120368795</v>
      </c>
      <c r="D287" s="25">
        <f>+MITRE[[#This Row],[Trenes Puntuales]]/MITRE[[#This Row],[Trenes Corridos]]</f>
        <v>0.90244332715886033</v>
      </c>
      <c r="E287" s="25">
        <f>+MITRE[[#This Row],[Trenes Corridos]]/MITRE[[#This Row],[Trenes Programados]]</f>
        <v>0.96781628820215126</v>
      </c>
      <c r="F287" s="27">
        <f t="shared" si="154"/>
        <v>11714</v>
      </c>
      <c r="G287" s="27">
        <f t="shared" si="155"/>
        <v>377</v>
      </c>
      <c r="H287" s="27">
        <f t="shared" si="156"/>
        <v>11337</v>
      </c>
      <c r="I287" s="27">
        <f t="shared" si="157"/>
        <v>10231</v>
      </c>
      <c r="J287" s="27">
        <f t="shared" si="158"/>
        <v>1106</v>
      </c>
      <c r="K287" s="27"/>
      <c r="L287" s="4"/>
      <c r="M287" s="29">
        <v>2016</v>
      </c>
      <c r="N287" s="38" t="s">
        <v>43</v>
      </c>
      <c r="O287" s="35">
        <f>+Tabla4[[#This Row],[Trenes Puntuales]]/Tabla4[[#This Row],[Trenes Programados]]</f>
        <v>0.92560975609756102</v>
      </c>
      <c r="P287" s="35">
        <f>+Tabla4[[#This Row],[Trenes Puntuales]]/Tabla4[[#This Row],[Trenes Corridos]]</f>
        <v>0.94559800664451832</v>
      </c>
      <c r="Q287" s="35">
        <f>+Tabla4[[#This Row],[Trenes Corridos]]/Tabla4[[#This Row],[Trenes Programados]]</f>
        <v>0.9788617886178862</v>
      </c>
      <c r="R287" s="20">
        <v>4920</v>
      </c>
      <c r="S287" s="27">
        <f t="shared" si="169"/>
        <v>104</v>
      </c>
      <c r="T287" s="20">
        <v>4816</v>
      </c>
      <c r="U287" s="20">
        <v>4554</v>
      </c>
      <c r="V287" s="20">
        <f t="shared" si="170"/>
        <v>262</v>
      </c>
      <c r="W287" s="20"/>
      <c r="X287" s="5"/>
      <c r="Y287" s="29">
        <v>2016</v>
      </c>
      <c r="Z287" s="38" t="s">
        <v>43</v>
      </c>
      <c r="AA287" s="35">
        <f>+Tabla5[[#This Row],[Trenes Puntuales]]/Tabla5[[#This Row],[Trenes Programados]]</f>
        <v>0.87369207772795221</v>
      </c>
      <c r="AB287" s="35">
        <f>+Tabla5[[#This Row],[Trenes Puntuales]]/Tabla5[[#This Row],[Trenes Corridos]]</f>
        <v>0.90433212996389889</v>
      </c>
      <c r="AC287" s="35">
        <f>+Tabla5[[#This Row],[Trenes Corridos]]/Tabla5[[#This Row],[Trenes Programados]]</f>
        <v>0.96611858495266567</v>
      </c>
      <c r="AD287" s="20">
        <v>4014</v>
      </c>
      <c r="AE287" s="27">
        <f t="shared" si="171"/>
        <v>136</v>
      </c>
      <c r="AF287" s="20">
        <v>3878</v>
      </c>
      <c r="AG287" s="20">
        <v>3507</v>
      </c>
      <c r="AH287" s="20">
        <f t="shared" si="172"/>
        <v>371</v>
      </c>
      <c r="AI287" s="20"/>
      <c r="AJ287" s="5"/>
      <c r="AK287" s="29">
        <v>2016</v>
      </c>
      <c r="AL287" s="38" t="s">
        <v>43</v>
      </c>
      <c r="AM287" s="35">
        <f>+Tabla6[[#This Row],[Trenes Puntuales]]/Tabla6[[#This Row],[Trenes Programados]]</f>
        <v>0.87575757575757573</v>
      </c>
      <c r="AN287" s="35">
        <f>+Tabla6[[#This Row],[Trenes Puntuales]]/Tabla6[[#This Row],[Trenes Corridos]]</f>
        <v>0.90171606864274567</v>
      </c>
      <c r="AO287" s="35">
        <f>+Tabla6[[#This Row],[Trenes Corridos]]/Tabla6[[#This Row],[Trenes Programados]]</f>
        <v>0.97121212121212119</v>
      </c>
      <c r="AP287" s="20">
        <v>1980</v>
      </c>
      <c r="AQ287" s="27">
        <f t="shared" si="173"/>
        <v>57</v>
      </c>
      <c r="AR287" s="20">
        <v>1923</v>
      </c>
      <c r="AS287" s="20">
        <v>1734</v>
      </c>
      <c r="AT287" s="20">
        <f t="shared" si="174"/>
        <v>189</v>
      </c>
      <c r="AU287" s="20"/>
      <c r="AV287" s="5"/>
      <c r="AW287" s="29">
        <v>2016</v>
      </c>
      <c r="AX287" s="38" t="s">
        <v>43</v>
      </c>
      <c r="AY287" s="35">
        <f>+MIT_Vic_Cap[[#This Row],[Trenes Puntuales]]/MIT_Vic_Cap[[#This Row],[Trenes Programados]]</f>
        <v>0.56129032258064515</v>
      </c>
      <c r="AZ287" s="35">
        <f>+MIT_Vic_Cap[[#This Row],[Trenes Puntuales]]/MIT_Vic_Cap[[#This Row],[Trenes Corridos]]</f>
        <v>0.62929475587703432</v>
      </c>
      <c r="BA287" s="35">
        <f>+MIT_Vic_Cap[[#This Row],[Trenes Corridos]]/MIT_Vic_Cap[[#This Row],[Trenes Programados]]</f>
        <v>0.89193548387096777</v>
      </c>
      <c r="BB287" s="20">
        <v>620</v>
      </c>
      <c r="BC287" s="27">
        <f t="shared" si="175"/>
        <v>67</v>
      </c>
      <c r="BD287" s="20">
        <v>553</v>
      </c>
      <c r="BE287" s="20">
        <v>348</v>
      </c>
      <c r="BF287" s="20">
        <f t="shared" si="176"/>
        <v>205</v>
      </c>
      <c r="BG287" s="20"/>
      <c r="BH287" s="5"/>
      <c r="BI287" s="29">
        <v>2016</v>
      </c>
      <c r="BJ287" s="38" t="s">
        <v>43</v>
      </c>
      <c r="BK287" s="35">
        <f>+Tabla8[[#This Row],[Trenes Puntuales]]/Tabla8[[#This Row],[Trenes Programados]]</f>
        <v>0.48888888888888887</v>
      </c>
      <c r="BL287" s="35">
        <f>+Tabla8[[#This Row],[Trenes Puntuales]]/Tabla8[[#This Row],[Trenes Corridos]]</f>
        <v>0.52694610778443118</v>
      </c>
      <c r="BM287" s="35">
        <f>+Tabla8[[#This Row],[Trenes Corridos]]/Tabla8[[#This Row],[Trenes Programados]]</f>
        <v>0.92777777777777781</v>
      </c>
      <c r="BN287" s="20">
        <v>180</v>
      </c>
      <c r="BO287" s="27">
        <f t="shared" si="177"/>
        <v>13</v>
      </c>
      <c r="BP287" s="20">
        <v>167</v>
      </c>
      <c r="BQ287" s="20">
        <v>88</v>
      </c>
      <c r="BR287" s="20">
        <f t="shared" si="178"/>
        <v>79</v>
      </c>
      <c r="BS287" s="29"/>
    </row>
    <row r="288" spans="1:71" s="3" customFormat="1" ht="12.75">
      <c r="A288" s="3">
        <v>2016</v>
      </c>
      <c r="B288" s="38" t="s">
        <v>44</v>
      </c>
      <c r="C288" s="25">
        <f>+MITRE[[#This Row],[Trenes Puntuales]]/MITRE[[#This Row],[Trenes Programados]]</f>
        <v>0.90856905158069878</v>
      </c>
      <c r="D288" s="25">
        <f>+MITRE[[#This Row],[Trenes Puntuales]]/MITRE[[#This Row],[Trenes Corridos]]</f>
        <v>0.92480311626725376</v>
      </c>
      <c r="E288" s="25">
        <f>+MITRE[[#This Row],[Trenes Corridos]]/MITRE[[#This Row],[Trenes Programados]]</f>
        <v>0.98244592346089854</v>
      </c>
      <c r="F288" s="27">
        <f t="shared" si="154"/>
        <v>12020</v>
      </c>
      <c r="G288" s="27">
        <f t="shared" si="155"/>
        <v>211</v>
      </c>
      <c r="H288" s="27">
        <f t="shared" si="156"/>
        <v>11809</v>
      </c>
      <c r="I288" s="27">
        <f t="shared" si="157"/>
        <v>10921</v>
      </c>
      <c r="J288" s="27">
        <f t="shared" si="158"/>
        <v>888</v>
      </c>
      <c r="K288" s="27"/>
      <c r="L288" s="4"/>
      <c r="M288" s="29">
        <v>2016</v>
      </c>
      <c r="N288" s="38" t="s">
        <v>44</v>
      </c>
      <c r="O288" s="35">
        <f>+Tabla4[[#This Row],[Trenes Puntuales]]/Tabla4[[#This Row],[Trenes Programados]]</f>
        <v>0.96551036682615632</v>
      </c>
      <c r="P288" s="35">
        <f>+Tabla4[[#This Row],[Trenes Puntuales]]/Tabla4[[#This Row],[Trenes Corridos]]</f>
        <v>0.97601773478436116</v>
      </c>
      <c r="Q288" s="35">
        <f>+Tabla4[[#This Row],[Trenes Corridos]]/Tabla4[[#This Row],[Trenes Programados]]</f>
        <v>0.98923444976076558</v>
      </c>
      <c r="R288" s="20">
        <v>5016</v>
      </c>
      <c r="S288" s="27">
        <f t="shared" si="169"/>
        <v>54</v>
      </c>
      <c r="T288" s="20">
        <v>4962</v>
      </c>
      <c r="U288" s="20">
        <v>4843</v>
      </c>
      <c r="V288" s="20">
        <f t="shared" si="170"/>
        <v>119</v>
      </c>
      <c r="W288" s="20"/>
      <c r="X288" s="5"/>
      <c r="Y288" s="29">
        <v>2016</v>
      </c>
      <c r="Z288" s="38" t="s">
        <v>44</v>
      </c>
      <c r="AA288" s="35">
        <f>+Tabla5[[#This Row],[Trenes Puntuales]]/Tabla5[[#This Row],[Trenes Programados]]</f>
        <v>0.91564792176039123</v>
      </c>
      <c r="AB288" s="35">
        <f>+Tabla5[[#This Row],[Trenes Puntuales]]/Tabla5[[#This Row],[Trenes Corridos]]</f>
        <v>0.9233234714003945</v>
      </c>
      <c r="AC288" s="35">
        <f>+Tabla5[[#This Row],[Trenes Corridos]]/Tabla5[[#This Row],[Trenes Programados]]</f>
        <v>0.99168704156479215</v>
      </c>
      <c r="AD288" s="20">
        <v>4090</v>
      </c>
      <c r="AE288" s="27">
        <f t="shared" si="171"/>
        <v>34</v>
      </c>
      <c r="AF288" s="20">
        <v>4056</v>
      </c>
      <c r="AG288" s="20">
        <v>3745</v>
      </c>
      <c r="AH288" s="20">
        <f t="shared" si="172"/>
        <v>311</v>
      </c>
      <c r="AI288" s="20"/>
      <c r="AJ288" s="5"/>
      <c r="AK288" s="29">
        <v>2016</v>
      </c>
      <c r="AL288" s="38" t="s">
        <v>44</v>
      </c>
      <c r="AM288" s="35">
        <f>+Tabla6[[#This Row],[Trenes Puntuales]]/Tabla6[[#This Row],[Trenes Programados]]</f>
        <v>0.92619745845552293</v>
      </c>
      <c r="AN288" s="35">
        <f>+Tabla6[[#This Row],[Trenes Puntuales]]/Tabla6[[#This Row],[Trenes Corridos]]</f>
        <v>0.92755751346059712</v>
      </c>
      <c r="AO288" s="35">
        <f>+Tabla6[[#This Row],[Trenes Corridos]]/Tabla6[[#This Row],[Trenes Programados]]</f>
        <v>0.99853372434017595</v>
      </c>
      <c r="AP288" s="20">
        <v>2046</v>
      </c>
      <c r="AQ288" s="27">
        <f t="shared" si="173"/>
        <v>3</v>
      </c>
      <c r="AR288" s="20">
        <v>2043</v>
      </c>
      <c r="AS288" s="20">
        <v>1895</v>
      </c>
      <c r="AT288" s="20">
        <f t="shared" si="174"/>
        <v>148</v>
      </c>
      <c r="AU288" s="20"/>
      <c r="AV288" s="5"/>
      <c r="AW288" s="29">
        <v>2016</v>
      </c>
      <c r="AX288" s="38" t="s">
        <v>44</v>
      </c>
      <c r="AY288" s="35">
        <f>+MIT_Vic_Cap[[#This Row],[Trenes Puntuales]]/MIT_Vic_Cap[[#This Row],[Trenes Programados]]</f>
        <v>0.51466275659824046</v>
      </c>
      <c r="AZ288" s="35">
        <f>+MIT_Vic_Cap[[#This Row],[Trenes Puntuales]]/MIT_Vic_Cap[[#This Row],[Trenes Corridos]]</f>
        <v>0.61795774647887325</v>
      </c>
      <c r="BA288" s="35">
        <f>+MIT_Vic_Cap[[#This Row],[Trenes Corridos]]/MIT_Vic_Cap[[#This Row],[Trenes Programados]]</f>
        <v>0.83284457478005869</v>
      </c>
      <c r="BB288" s="20">
        <v>682</v>
      </c>
      <c r="BC288" s="27">
        <f t="shared" si="175"/>
        <v>114</v>
      </c>
      <c r="BD288" s="20">
        <v>568</v>
      </c>
      <c r="BE288" s="20">
        <v>351</v>
      </c>
      <c r="BF288" s="20">
        <f t="shared" si="176"/>
        <v>217</v>
      </c>
      <c r="BG288" s="20"/>
      <c r="BH288" s="5"/>
      <c r="BI288" s="29">
        <v>2016</v>
      </c>
      <c r="BJ288" s="38" t="s">
        <v>44</v>
      </c>
      <c r="BK288" s="35">
        <f>+Tabla8[[#This Row],[Trenes Puntuales]]/Tabla8[[#This Row],[Trenes Programados]]</f>
        <v>0.46774193548387094</v>
      </c>
      <c r="BL288" s="35">
        <f>+Tabla8[[#This Row],[Trenes Puntuales]]/Tabla8[[#This Row],[Trenes Corridos]]</f>
        <v>0.48333333333333334</v>
      </c>
      <c r="BM288" s="35">
        <f>+Tabla8[[#This Row],[Trenes Corridos]]/Tabla8[[#This Row],[Trenes Programados]]</f>
        <v>0.967741935483871</v>
      </c>
      <c r="BN288" s="20">
        <v>186</v>
      </c>
      <c r="BO288" s="27">
        <f t="shared" si="177"/>
        <v>6</v>
      </c>
      <c r="BP288" s="20">
        <v>180</v>
      </c>
      <c r="BQ288" s="20">
        <v>87</v>
      </c>
      <c r="BR288" s="20">
        <f t="shared" si="178"/>
        <v>93</v>
      </c>
      <c r="BS288" s="29"/>
    </row>
    <row r="289" spans="1:71" s="3" customFormat="1" ht="12.75">
      <c r="A289" s="3">
        <v>2016</v>
      </c>
      <c r="B289" s="38" t="s">
        <v>45</v>
      </c>
      <c r="C289" s="25">
        <f>+MITRE[[#This Row],[Trenes Puntuales]]/MITRE[[#This Row],[Trenes Programados]]</f>
        <v>0.90713643423526524</v>
      </c>
      <c r="D289" s="25">
        <f>+MITRE[[#This Row],[Trenes Puntuales]]/MITRE[[#This Row],[Trenes Corridos]]</f>
        <v>0.92398001665278939</v>
      </c>
      <c r="E289" s="25">
        <f>+MITRE[[#This Row],[Trenes Corridos]]/MITRE[[#This Row],[Trenes Programados]]</f>
        <v>0.98177062045287333</v>
      </c>
      <c r="F289" s="27">
        <f t="shared" si="154"/>
        <v>12233</v>
      </c>
      <c r="G289" s="27">
        <f t="shared" si="155"/>
        <v>223</v>
      </c>
      <c r="H289" s="27">
        <f t="shared" si="156"/>
        <v>12010</v>
      </c>
      <c r="I289" s="27">
        <f t="shared" si="157"/>
        <v>11097</v>
      </c>
      <c r="J289" s="27">
        <f t="shared" si="158"/>
        <v>913</v>
      </c>
      <c r="K289" s="27"/>
      <c r="L289" s="4"/>
      <c r="M289" s="29">
        <v>2016</v>
      </c>
      <c r="N289" s="38" t="s">
        <v>45</v>
      </c>
      <c r="O289" s="35">
        <f>+Tabla4[[#This Row],[Trenes Puntuales]]/Tabla4[[#This Row],[Trenes Programados]]</f>
        <v>0.94093406593406592</v>
      </c>
      <c r="P289" s="35">
        <f>+Tabla4[[#This Row],[Trenes Puntuales]]/Tabla4[[#This Row],[Trenes Corridos]]</f>
        <v>0.9659548751007252</v>
      </c>
      <c r="Q289" s="35">
        <f>+Tabla4[[#This Row],[Trenes Corridos]]/Tabla4[[#This Row],[Trenes Programados]]</f>
        <v>0.97409733124018838</v>
      </c>
      <c r="R289" s="20">
        <v>5096</v>
      </c>
      <c r="S289" s="27">
        <f t="shared" si="169"/>
        <v>132</v>
      </c>
      <c r="T289" s="20">
        <v>4964</v>
      </c>
      <c r="U289" s="20">
        <v>4795</v>
      </c>
      <c r="V289" s="20">
        <f t="shared" si="170"/>
        <v>169</v>
      </c>
      <c r="W289" s="20"/>
      <c r="X289" s="5"/>
      <c r="Y289" s="29">
        <v>2016</v>
      </c>
      <c r="Z289" s="38" t="s">
        <v>45</v>
      </c>
      <c r="AA289" s="35">
        <f>+Tabla5[[#This Row],[Trenes Puntuales]]/Tabla5[[#This Row],[Trenes Programados]]</f>
        <v>0.92231842231842232</v>
      </c>
      <c r="AB289" s="35">
        <f>+Tabla5[[#This Row],[Trenes Puntuales]]/Tabla5[[#This Row],[Trenes Corridos]]</f>
        <v>0.93195625759416767</v>
      </c>
      <c r="AC289" s="35">
        <f>+Tabla5[[#This Row],[Trenes Corridos]]/Tabla5[[#This Row],[Trenes Programados]]</f>
        <v>0.98965848965848968</v>
      </c>
      <c r="AD289" s="20">
        <v>4158</v>
      </c>
      <c r="AE289" s="27">
        <f t="shared" si="171"/>
        <v>43</v>
      </c>
      <c r="AF289" s="20">
        <v>4115</v>
      </c>
      <c r="AG289" s="20">
        <v>3835</v>
      </c>
      <c r="AH289" s="20">
        <f t="shared" si="172"/>
        <v>280</v>
      </c>
      <c r="AI289" s="20"/>
      <c r="AJ289" s="5"/>
      <c r="AK289" s="29">
        <v>2016</v>
      </c>
      <c r="AL289" s="38" t="s">
        <v>45</v>
      </c>
      <c r="AM289" s="35">
        <f>+Tabla6[[#This Row],[Trenes Puntuales]]/Tabla6[[#This Row],[Trenes Programados]]</f>
        <v>0.93206256109481911</v>
      </c>
      <c r="AN289" s="35">
        <f>+Tabla6[[#This Row],[Trenes Puntuales]]/Tabla6[[#This Row],[Trenes Corridos]]</f>
        <v>0.93802262666010816</v>
      </c>
      <c r="AO289" s="35">
        <f>+Tabla6[[#This Row],[Trenes Corridos]]/Tabla6[[#This Row],[Trenes Programados]]</f>
        <v>0.99364613880742914</v>
      </c>
      <c r="AP289" s="20">
        <v>2046</v>
      </c>
      <c r="AQ289" s="27">
        <f t="shared" si="173"/>
        <v>13</v>
      </c>
      <c r="AR289" s="20">
        <v>2033</v>
      </c>
      <c r="AS289" s="20">
        <v>1907</v>
      </c>
      <c r="AT289" s="20">
        <f t="shared" si="174"/>
        <v>126</v>
      </c>
      <c r="AU289" s="20"/>
      <c r="AV289" s="5"/>
      <c r="AW289" s="29">
        <v>2016</v>
      </c>
      <c r="AX289" s="38" t="s">
        <v>45</v>
      </c>
      <c r="AY289" s="35">
        <f>+MIT_Vic_Cap[[#This Row],[Trenes Puntuales]]/MIT_Vic_Cap[[#This Row],[Trenes Programados]]</f>
        <v>0.61178045515394908</v>
      </c>
      <c r="AZ289" s="35">
        <f>+MIT_Vic_Cap[[#This Row],[Trenes Puntuales]]/MIT_Vic_Cap[[#This Row],[Trenes Corridos]]</f>
        <v>0.63737796373779643</v>
      </c>
      <c r="BA289" s="35">
        <f>+MIT_Vic_Cap[[#This Row],[Trenes Corridos]]/MIT_Vic_Cap[[#This Row],[Trenes Programados]]</f>
        <v>0.95983935742971882</v>
      </c>
      <c r="BB289" s="20">
        <v>747</v>
      </c>
      <c r="BC289" s="27">
        <f t="shared" si="175"/>
        <v>30</v>
      </c>
      <c r="BD289" s="20">
        <v>717</v>
      </c>
      <c r="BE289" s="20">
        <v>457</v>
      </c>
      <c r="BF289" s="20">
        <f t="shared" si="176"/>
        <v>260</v>
      </c>
      <c r="BG289" s="20"/>
      <c r="BH289" s="5"/>
      <c r="BI289" s="29">
        <v>2016</v>
      </c>
      <c r="BJ289" s="38" t="s">
        <v>45</v>
      </c>
      <c r="BK289" s="35">
        <f>+Tabla8[[#This Row],[Trenes Puntuales]]/Tabla8[[#This Row],[Trenes Programados]]</f>
        <v>0.55376344086021501</v>
      </c>
      <c r="BL289" s="35">
        <f>+Tabla8[[#This Row],[Trenes Puntuales]]/Tabla8[[#This Row],[Trenes Corridos]]</f>
        <v>0.56906077348066297</v>
      </c>
      <c r="BM289" s="35">
        <f>+Tabla8[[#This Row],[Trenes Corridos]]/Tabla8[[#This Row],[Trenes Programados]]</f>
        <v>0.9731182795698925</v>
      </c>
      <c r="BN289" s="20">
        <v>186</v>
      </c>
      <c r="BO289" s="27">
        <f t="shared" si="177"/>
        <v>5</v>
      </c>
      <c r="BP289" s="20">
        <v>181</v>
      </c>
      <c r="BQ289" s="20">
        <v>103</v>
      </c>
      <c r="BR289" s="20">
        <f t="shared" si="178"/>
        <v>78</v>
      </c>
      <c r="BS289" s="29"/>
    </row>
    <row r="290" spans="1:71" s="3" customFormat="1" ht="12.75">
      <c r="A290" s="3">
        <v>2016</v>
      </c>
      <c r="B290" s="38" t="s">
        <v>46</v>
      </c>
      <c r="C290" s="25">
        <f>+MITRE[[#This Row],[Trenes Puntuales]]/MITRE[[#This Row],[Trenes Programados]]</f>
        <v>0.9213180901143242</v>
      </c>
      <c r="D290" s="25">
        <f>+MITRE[[#This Row],[Trenes Puntuales]]/MITRE[[#This Row],[Trenes Corridos]]</f>
        <v>0.93356047700170353</v>
      </c>
      <c r="E290" s="25">
        <f>+MITRE[[#This Row],[Trenes Corridos]]/MITRE[[#This Row],[Trenes Programados]]</f>
        <v>0.98688634835238731</v>
      </c>
      <c r="F290" s="27">
        <f t="shared" si="154"/>
        <v>11896</v>
      </c>
      <c r="G290" s="27">
        <f t="shared" si="155"/>
        <v>156</v>
      </c>
      <c r="H290" s="27">
        <f t="shared" si="156"/>
        <v>11740</v>
      </c>
      <c r="I290" s="27">
        <f t="shared" si="157"/>
        <v>10960</v>
      </c>
      <c r="J290" s="27">
        <f t="shared" si="158"/>
        <v>780</v>
      </c>
      <c r="K290" s="27"/>
      <c r="L290" s="4"/>
      <c r="M290" s="29">
        <v>2016</v>
      </c>
      <c r="N290" s="38" t="s">
        <v>46</v>
      </c>
      <c r="O290" s="35">
        <f>+Tabla4[[#This Row],[Trenes Puntuales]]/Tabla4[[#This Row],[Trenes Programados]]</f>
        <v>0.9643145161290323</v>
      </c>
      <c r="P290" s="35">
        <f>+Tabla4[[#This Row],[Trenes Puntuales]]/Tabla4[[#This Row],[Trenes Corridos]]</f>
        <v>0.97294548413344184</v>
      </c>
      <c r="Q290" s="35">
        <f>+Tabla4[[#This Row],[Trenes Corridos]]/Tabla4[[#This Row],[Trenes Programados]]</f>
        <v>0.99112903225806448</v>
      </c>
      <c r="R290" s="20">
        <v>4960</v>
      </c>
      <c r="S290" s="27">
        <f t="shared" si="169"/>
        <v>44</v>
      </c>
      <c r="T290" s="20">
        <v>4916</v>
      </c>
      <c r="U290" s="20">
        <v>4783</v>
      </c>
      <c r="V290" s="20">
        <f t="shared" si="170"/>
        <v>133</v>
      </c>
      <c r="W290" s="20"/>
      <c r="X290" s="5"/>
      <c r="Y290" s="29">
        <v>2016</v>
      </c>
      <c r="Z290" s="38" t="s">
        <v>46</v>
      </c>
      <c r="AA290" s="35">
        <f>+Tabla5[[#This Row],[Trenes Puntuales]]/Tabla5[[#This Row],[Trenes Programados]]</f>
        <v>0.92860671936758898</v>
      </c>
      <c r="AB290" s="35">
        <f>+Tabla5[[#This Row],[Trenes Puntuales]]/Tabla5[[#This Row],[Trenes Corridos]]</f>
        <v>0.93857677902621728</v>
      </c>
      <c r="AC290" s="35">
        <f>+Tabla5[[#This Row],[Trenes Corridos]]/Tabla5[[#This Row],[Trenes Programados]]</f>
        <v>0.9893774703557312</v>
      </c>
      <c r="AD290" s="20">
        <v>4048</v>
      </c>
      <c r="AE290" s="27">
        <f t="shared" si="171"/>
        <v>43</v>
      </c>
      <c r="AF290" s="20">
        <v>4005</v>
      </c>
      <c r="AG290" s="20">
        <v>3759</v>
      </c>
      <c r="AH290" s="20">
        <f t="shared" si="172"/>
        <v>246</v>
      </c>
      <c r="AI290" s="20"/>
      <c r="AJ290" s="5"/>
      <c r="AK290" s="29">
        <v>2016</v>
      </c>
      <c r="AL290" s="38" t="s">
        <v>46</v>
      </c>
      <c r="AM290" s="35">
        <f>+Tabla6[[#This Row],[Trenes Puntuales]]/Tabla6[[#This Row],[Trenes Programados]]</f>
        <v>0.91767676767676765</v>
      </c>
      <c r="AN290" s="35">
        <f>+Tabla6[[#This Row],[Trenes Puntuales]]/Tabla6[[#This Row],[Trenes Corridos]]</f>
        <v>0.92468193384223918</v>
      </c>
      <c r="AO290" s="35">
        <f>+Tabla6[[#This Row],[Trenes Corridos]]/Tabla6[[#This Row],[Trenes Programados]]</f>
        <v>0.99242424242424243</v>
      </c>
      <c r="AP290" s="20">
        <v>1980</v>
      </c>
      <c r="AQ290" s="27">
        <f t="shared" si="173"/>
        <v>15</v>
      </c>
      <c r="AR290" s="20">
        <v>1965</v>
      </c>
      <c r="AS290" s="20">
        <v>1817</v>
      </c>
      <c r="AT290" s="20">
        <f t="shared" si="174"/>
        <v>148</v>
      </c>
      <c r="AU290" s="20"/>
      <c r="AV290" s="5"/>
      <c r="AW290" s="29">
        <v>2016</v>
      </c>
      <c r="AX290" s="38" t="s">
        <v>46</v>
      </c>
      <c r="AY290" s="35">
        <f>+MIT_Vic_Cap[[#This Row],[Trenes Puntuales]]/MIT_Vic_Cap[[#This Row],[Trenes Programados]]</f>
        <v>0.68681318681318682</v>
      </c>
      <c r="AZ290" s="35">
        <f>+MIT_Vic_Cap[[#This Row],[Trenes Puntuales]]/MIT_Vic_Cap[[#This Row],[Trenes Corridos]]</f>
        <v>0.72046109510086453</v>
      </c>
      <c r="BA290" s="35">
        <f>+MIT_Vic_Cap[[#This Row],[Trenes Corridos]]/MIT_Vic_Cap[[#This Row],[Trenes Programados]]</f>
        <v>0.95329670329670335</v>
      </c>
      <c r="BB290" s="20">
        <v>728</v>
      </c>
      <c r="BC290" s="27">
        <f t="shared" si="175"/>
        <v>34</v>
      </c>
      <c r="BD290" s="20">
        <v>694</v>
      </c>
      <c r="BE290" s="20">
        <v>500</v>
      </c>
      <c r="BF290" s="20">
        <f t="shared" si="176"/>
        <v>194</v>
      </c>
      <c r="BG290" s="20"/>
      <c r="BH290" s="5"/>
      <c r="BI290" s="29">
        <v>2016</v>
      </c>
      <c r="BJ290" s="38" t="s">
        <v>46</v>
      </c>
      <c r="BK290" s="35">
        <f>+Tabla8[[#This Row],[Trenes Puntuales]]/Tabla8[[#This Row],[Trenes Programados]]</f>
        <v>0.56111111111111112</v>
      </c>
      <c r="BL290" s="35">
        <f>+Tabla8[[#This Row],[Trenes Puntuales]]/Tabla8[[#This Row],[Trenes Corridos]]</f>
        <v>0.63124999999999998</v>
      </c>
      <c r="BM290" s="35">
        <f>+Tabla8[[#This Row],[Trenes Corridos]]/Tabla8[[#This Row],[Trenes Programados]]</f>
        <v>0.88888888888888884</v>
      </c>
      <c r="BN290" s="20">
        <v>180</v>
      </c>
      <c r="BO290" s="27">
        <f t="shared" si="177"/>
        <v>20</v>
      </c>
      <c r="BP290" s="20">
        <v>160</v>
      </c>
      <c r="BQ290" s="20">
        <v>101</v>
      </c>
      <c r="BR290" s="20">
        <f t="shared" si="178"/>
        <v>59</v>
      </c>
      <c r="BS290" s="29"/>
    </row>
    <row r="291" spans="1:71" s="3" customFormat="1" ht="12.75">
      <c r="A291" s="3">
        <v>2016</v>
      </c>
      <c r="B291" s="38" t="s">
        <v>47</v>
      </c>
      <c r="C291" s="25">
        <f>+MITRE[[#This Row],[Trenes Puntuales]]/MITRE[[#This Row],[Trenes Programados]]</f>
        <v>0.91476143141153077</v>
      </c>
      <c r="D291" s="25">
        <f>+MITRE[[#This Row],[Trenes Puntuales]]/MITRE[[#This Row],[Trenes Corridos]]</f>
        <v>0.93103448275862066</v>
      </c>
      <c r="E291" s="25">
        <f>+MITRE[[#This Row],[Trenes Corridos]]/MITRE[[#This Row],[Trenes Programados]]</f>
        <v>0.98252153744201454</v>
      </c>
      <c r="F291" s="27">
        <f t="shared" si="154"/>
        <v>12072</v>
      </c>
      <c r="G291" s="27">
        <f t="shared" si="155"/>
        <v>211</v>
      </c>
      <c r="H291" s="27">
        <f t="shared" si="156"/>
        <v>11861</v>
      </c>
      <c r="I291" s="27">
        <f t="shared" si="157"/>
        <v>11043</v>
      </c>
      <c r="J291" s="27">
        <f t="shared" si="158"/>
        <v>818</v>
      </c>
      <c r="K291" s="27"/>
      <c r="L291" s="4"/>
      <c r="M291" s="29">
        <v>2016</v>
      </c>
      <c r="N291" s="38" t="s">
        <v>47</v>
      </c>
      <c r="O291" s="35">
        <f>+Tabla4[[#This Row],[Trenes Puntuales]]/Tabla4[[#This Row],[Trenes Programados]]</f>
        <v>0.95334928229665072</v>
      </c>
      <c r="P291" s="35">
        <f>+Tabla4[[#This Row],[Trenes Puntuales]]/Tabla4[[#This Row],[Trenes Corridos]]</f>
        <v>0.96294804671768019</v>
      </c>
      <c r="Q291" s="35">
        <f>+Tabla4[[#This Row],[Trenes Corridos]]/Tabla4[[#This Row],[Trenes Programados]]</f>
        <v>0.99003189792663482</v>
      </c>
      <c r="R291" s="20">
        <v>5016</v>
      </c>
      <c r="S291" s="27">
        <f t="shared" si="169"/>
        <v>50</v>
      </c>
      <c r="T291" s="20">
        <v>4966</v>
      </c>
      <c r="U291" s="20">
        <v>4782</v>
      </c>
      <c r="V291" s="20">
        <f t="shared" si="170"/>
        <v>184</v>
      </c>
      <c r="W291" s="20"/>
      <c r="X291" s="5"/>
      <c r="Y291" s="29">
        <v>2016</v>
      </c>
      <c r="Z291" s="38" t="s">
        <v>47</v>
      </c>
      <c r="AA291" s="35">
        <f>+Tabla5[[#This Row],[Trenes Puntuales]]/Tabla5[[#This Row],[Trenes Programados]]</f>
        <v>0.9354523227383863</v>
      </c>
      <c r="AB291" s="35">
        <f>+Tabla5[[#This Row],[Trenes Puntuales]]/Tabla5[[#This Row],[Trenes Corridos]]</f>
        <v>0.94820322180916972</v>
      </c>
      <c r="AC291" s="35">
        <f>+Tabla5[[#This Row],[Trenes Corridos]]/Tabla5[[#This Row],[Trenes Programados]]</f>
        <v>0.98655256723716378</v>
      </c>
      <c r="AD291" s="20">
        <v>4090</v>
      </c>
      <c r="AE291" s="27">
        <f t="shared" si="171"/>
        <v>55</v>
      </c>
      <c r="AF291" s="20">
        <v>4035</v>
      </c>
      <c r="AG291" s="20">
        <v>3826</v>
      </c>
      <c r="AH291" s="20">
        <f t="shared" si="172"/>
        <v>209</v>
      </c>
      <c r="AI291" s="20"/>
      <c r="AJ291" s="5"/>
      <c r="AK291" s="29">
        <v>2016</v>
      </c>
      <c r="AL291" s="38" t="s">
        <v>47</v>
      </c>
      <c r="AM291" s="35">
        <f>+Tabla6[[#This Row],[Trenes Puntuales]]/Tabla6[[#This Row],[Trenes Programados]]</f>
        <v>0.93646138807429125</v>
      </c>
      <c r="AN291" s="35">
        <f>+Tabla6[[#This Row],[Trenes Puntuales]]/Tabla6[[#This Row],[Trenes Corridos]]</f>
        <v>0.94664031620553357</v>
      </c>
      <c r="AO291" s="35">
        <f>+Tabla6[[#This Row],[Trenes Corridos]]/Tabla6[[#This Row],[Trenes Programados]]</f>
        <v>0.989247311827957</v>
      </c>
      <c r="AP291" s="20">
        <v>2046</v>
      </c>
      <c r="AQ291" s="27">
        <f t="shared" si="173"/>
        <v>22</v>
      </c>
      <c r="AR291" s="20">
        <v>2024</v>
      </c>
      <c r="AS291" s="20">
        <v>1916</v>
      </c>
      <c r="AT291" s="20">
        <f t="shared" si="174"/>
        <v>108</v>
      </c>
      <c r="AU291" s="20"/>
      <c r="AV291" s="5"/>
      <c r="AW291" s="29">
        <v>2016</v>
      </c>
      <c r="AX291" s="38" t="s">
        <v>47</v>
      </c>
      <c r="AY291" s="35">
        <f>+MIT_Vic_Cap[[#This Row],[Trenes Puntuales]]/MIT_Vic_Cap[[#This Row],[Trenes Programados]]</f>
        <v>0.58174386920980925</v>
      </c>
      <c r="AZ291" s="35">
        <f>+MIT_Vic_Cap[[#This Row],[Trenes Puntuales]]/MIT_Vic_Cap[[#This Row],[Trenes Corridos]]</f>
        <v>0.64210526315789473</v>
      </c>
      <c r="BA291" s="35">
        <f>+MIT_Vic_Cap[[#This Row],[Trenes Corridos]]/MIT_Vic_Cap[[#This Row],[Trenes Programados]]</f>
        <v>0.90599455040871935</v>
      </c>
      <c r="BB291" s="20">
        <v>734</v>
      </c>
      <c r="BC291" s="27">
        <f t="shared" si="175"/>
        <v>69</v>
      </c>
      <c r="BD291" s="20">
        <v>665</v>
      </c>
      <c r="BE291" s="20">
        <v>427</v>
      </c>
      <c r="BF291" s="20">
        <f t="shared" si="176"/>
        <v>238</v>
      </c>
      <c r="BG291" s="20"/>
      <c r="BH291" s="5"/>
      <c r="BI291" s="29">
        <v>2016</v>
      </c>
      <c r="BJ291" s="38" t="s">
        <v>47</v>
      </c>
      <c r="BK291" s="35">
        <f>+Tabla8[[#This Row],[Trenes Puntuales]]/Tabla8[[#This Row],[Trenes Programados]]</f>
        <v>0.4946236559139785</v>
      </c>
      <c r="BL291" s="35">
        <f>+Tabla8[[#This Row],[Trenes Puntuales]]/Tabla8[[#This Row],[Trenes Corridos]]</f>
        <v>0.53801169590643272</v>
      </c>
      <c r="BM291" s="35">
        <f>+Tabla8[[#This Row],[Trenes Corridos]]/Tabla8[[#This Row],[Trenes Programados]]</f>
        <v>0.91935483870967738</v>
      </c>
      <c r="BN291" s="20">
        <v>186</v>
      </c>
      <c r="BO291" s="27">
        <f t="shared" si="177"/>
        <v>15</v>
      </c>
      <c r="BP291" s="20">
        <v>171</v>
      </c>
      <c r="BQ291" s="20">
        <v>92</v>
      </c>
      <c r="BR291" s="20">
        <f t="shared" si="178"/>
        <v>79</v>
      </c>
      <c r="BS291" s="29"/>
    </row>
    <row r="292" spans="1:71" s="3" customFormat="1" ht="12.75">
      <c r="A292" s="3">
        <v>2016</v>
      </c>
      <c r="B292" s="38" t="s">
        <v>48</v>
      </c>
      <c r="C292" s="25">
        <f>+MITRE[[#This Row],[Trenes Puntuales]]/MITRE[[#This Row],[Trenes Programados]]</f>
        <v>0.90063478628861615</v>
      </c>
      <c r="D292" s="25">
        <f>+MITRE[[#This Row],[Trenes Puntuales]]/MITRE[[#This Row],[Trenes Corridos]]</f>
        <v>0.91653746770025835</v>
      </c>
      <c r="E292" s="25">
        <f>+MITRE[[#This Row],[Trenes Corridos]]/MITRE[[#This Row],[Trenes Programados]]</f>
        <v>0.98264917477782476</v>
      </c>
      <c r="F292" s="27">
        <f t="shared" si="154"/>
        <v>11815</v>
      </c>
      <c r="G292" s="27">
        <f t="shared" si="155"/>
        <v>205</v>
      </c>
      <c r="H292" s="27">
        <f t="shared" si="156"/>
        <v>11610</v>
      </c>
      <c r="I292" s="27">
        <f t="shared" si="157"/>
        <v>10641</v>
      </c>
      <c r="J292" s="27">
        <f t="shared" si="158"/>
        <v>969</v>
      </c>
      <c r="K292" s="27"/>
      <c r="L292" s="4"/>
      <c r="M292" s="29">
        <v>2016</v>
      </c>
      <c r="N292" s="38" t="s">
        <v>48</v>
      </c>
      <c r="O292" s="35">
        <f>+Tabla4[[#This Row],[Trenes Puntuales]]/Tabla4[[#This Row],[Trenes Programados]]</f>
        <v>0.93394308943089432</v>
      </c>
      <c r="P292" s="35">
        <f>+Tabla4[[#This Row],[Trenes Puntuales]]/Tabla4[[#This Row],[Trenes Corridos]]</f>
        <v>0.94664194478780384</v>
      </c>
      <c r="Q292" s="35">
        <f>+Tabla4[[#This Row],[Trenes Corridos]]/Tabla4[[#This Row],[Trenes Programados]]</f>
        <v>0.98658536585365852</v>
      </c>
      <c r="R292" s="20">
        <v>4920</v>
      </c>
      <c r="S292" s="27">
        <f t="shared" si="169"/>
        <v>66</v>
      </c>
      <c r="T292" s="20">
        <v>4854</v>
      </c>
      <c r="U292" s="20">
        <v>4595</v>
      </c>
      <c r="V292" s="20">
        <f t="shared" si="170"/>
        <v>259</v>
      </c>
      <c r="W292" s="20"/>
      <c r="X292" s="5"/>
      <c r="Y292" s="29">
        <v>2016</v>
      </c>
      <c r="Z292" s="38" t="s">
        <v>48</v>
      </c>
      <c r="AA292" s="35">
        <f>+Tabla5[[#This Row],[Trenes Puntuales]]/Tabla5[[#This Row],[Trenes Programados]]</f>
        <v>0.91978076731439962</v>
      </c>
      <c r="AB292" s="35">
        <f>+Tabla5[[#This Row],[Trenes Puntuales]]/Tabla5[[#This Row],[Trenes Corridos]]</f>
        <v>0.93279434057604849</v>
      </c>
      <c r="AC292" s="35">
        <f>+Tabla5[[#This Row],[Trenes Corridos]]/Tabla5[[#This Row],[Trenes Programados]]</f>
        <v>0.9860488290981565</v>
      </c>
      <c r="AD292" s="20">
        <v>4014</v>
      </c>
      <c r="AE292" s="27">
        <f t="shared" si="171"/>
        <v>56</v>
      </c>
      <c r="AF292" s="20">
        <v>3958</v>
      </c>
      <c r="AG292" s="20">
        <v>3692</v>
      </c>
      <c r="AH292" s="20">
        <f t="shared" si="172"/>
        <v>266</v>
      </c>
      <c r="AI292" s="20"/>
      <c r="AJ292" s="5"/>
      <c r="AK292" s="29">
        <v>2016</v>
      </c>
      <c r="AL292" s="38" t="s">
        <v>48</v>
      </c>
      <c r="AM292" s="35">
        <f>+Tabla6[[#This Row],[Trenes Puntuales]]/Tabla6[[#This Row],[Trenes Programados]]</f>
        <v>0.91565656565656561</v>
      </c>
      <c r="AN292" s="35">
        <f>+Tabla6[[#This Row],[Trenes Puntuales]]/Tabla6[[#This Row],[Trenes Corridos]]</f>
        <v>0.9273657289002557</v>
      </c>
      <c r="AO292" s="35">
        <f>+Tabla6[[#This Row],[Trenes Corridos]]/Tabla6[[#This Row],[Trenes Programados]]</f>
        <v>0.98737373737373735</v>
      </c>
      <c r="AP292" s="20">
        <v>1980</v>
      </c>
      <c r="AQ292" s="27">
        <f t="shared" si="173"/>
        <v>25</v>
      </c>
      <c r="AR292" s="20">
        <v>1955</v>
      </c>
      <c r="AS292" s="20">
        <v>1813</v>
      </c>
      <c r="AT292" s="20">
        <f t="shared" si="174"/>
        <v>142</v>
      </c>
      <c r="AU292" s="20"/>
      <c r="AV292" s="5"/>
      <c r="AW292" s="29">
        <v>2016</v>
      </c>
      <c r="AX292" s="38" t="s">
        <v>48</v>
      </c>
      <c r="AY292" s="35">
        <f>+MIT_Vic_Cap[[#This Row],[Trenes Puntuales]]/MIT_Vic_Cap[[#This Row],[Trenes Programados]]</f>
        <v>0.61442441054091534</v>
      </c>
      <c r="AZ292" s="35">
        <f>+MIT_Vic_Cap[[#This Row],[Trenes Puntuales]]/MIT_Vic_Cap[[#This Row],[Trenes Corridos]]</f>
        <v>0.66516516516516522</v>
      </c>
      <c r="BA292" s="35">
        <f>+MIT_Vic_Cap[[#This Row],[Trenes Corridos]]/MIT_Vic_Cap[[#This Row],[Trenes Programados]]</f>
        <v>0.92371705963938977</v>
      </c>
      <c r="BB292" s="20">
        <v>721</v>
      </c>
      <c r="BC292" s="27">
        <f t="shared" si="175"/>
        <v>55</v>
      </c>
      <c r="BD292" s="20">
        <v>666</v>
      </c>
      <c r="BE292" s="20">
        <v>443</v>
      </c>
      <c r="BF292" s="20">
        <f t="shared" si="176"/>
        <v>223</v>
      </c>
      <c r="BG292" s="20"/>
      <c r="BH292" s="5"/>
      <c r="BI292" s="29">
        <v>2016</v>
      </c>
      <c r="BJ292" s="38" t="s">
        <v>48</v>
      </c>
      <c r="BK292" s="35">
        <f>+Tabla8[[#This Row],[Trenes Puntuales]]/Tabla8[[#This Row],[Trenes Programados]]</f>
        <v>0.5444444444444444</v>
      </c>
      <c r="BL292" s="35">
        <f>+Tabla8[[#This Row],[Trenes Puntuales]]/Tabla8[[#This Row],[Trenes Corridos]]</f>
        <v>0.5536723163841808</v>
      </c>
      <c r="BM292" s="35">
        <f>+Tabla8[[#This Row],[Trenes Corridos]]/Tabla8[[#This Row],[Trenes Programados]]</f>
        <v>0.98333333333333328</v>
      </c>
      <c r="BN292" s="20">
        <v>180</v>
      </c>
      <c r="BO292" s="27">
        <f t="shared" si="177"/>
        <v>3</v>
      </c>
      <c r="BP292" s="20">
        <v>177</v>
      </c>
      <c r="BQ292" s="20">
        <v>98</v>
      </c>
      <c r="BR292" s="20">
        <f t="shared" si="178"/>
        <v>79</v>
      </c>
      <c r="BS292" s="29"/>
    </row>
    <row r="293" spans="1:71" s="3" customFormat="1" ht="12.75">
      <c r="A293" s="3">
        <v>2016</v>
      </c>
      <c r="B293" s="38" t="s">
        <v>49</v>
      </c>
      <c r="C293" s="25">
        <f>+MITRE[[#This Row],[Trenes Puntuales]]/MITRE[[#This Row],[Trenes Programados]]</f>
        <v>0.87024340075419948</v>
      </c>
      <c r="D293" s="25">
        <f>+MITRE[[#This Row],[Trenes Puntuales]]/MITRE[[#This Row],[Trenes Corridos]]</f>
        <v>0.90693104680242942</v>
      </c>
      <c r="E293" s="25">
        <f>+MITRE[[#This Row],[Trenes Corridos]]/MITRE[[#This Row],[Trenes Programados]]</f>
        <v>0.9595474802879671</v>
      </c>
      <c r="F293" s="27">
        <f t="shared" si="154"/>
        <v>11668</v>
      </c>
      <c r="G293" s="27">
        <f t="shared" si="155"/>
        <v>472</v>
      </c>
      <c r="H293" s="27">
        <f t="shared" si="156"/>
        <v>11196</v>
      </c>
      <c r="I293" s="27">
        <f t="shared" si="157"/>
        <v>10154</v>
      </c>
      <c r="J293" s="27">
        <f t="shared" si="158"/>
        <v>1042</v>
      </c>
      <c r="K293" s="27"/>
      <c r="L293" s="4"/>
      <c r="M293" s="29">
        <v>2016</v>
      </c>
      <c r="N293" s="38" t="s">
        <v>49</v>
      </c>
      <c r="O293" s="35">
        <f>+Tabla4[[#This Row],[Trenes Puntuales]]/Tabla4[[#This Row],[Trenes Programados]]</f>
        <v>0.9080050293378038</v>
      </c>
      <c r="P293" s="35">
        <f>+Tabla4[[#This Row],[Trenes Puntuales]]/Tabla4[[#This Row],[Trenes Corridos]]</f>
        <v>0.94524432809773129</v>
      </c>
      <c r="Q293" s="35">
        <f>+Tabla4[[#This Row],[Trenes Corridos]]/Tabla4[[#This Row],[Trenes Programados]]</f>
        <v>0.9606035205364627</v>
      </c>
      <c r="R293" s="20">
        <v>4772</v>
      </c>
      <c r="S293" s="20">
        <f t="shared" si="169"/>
        <v>188</v>
      </c>
      <c r="T293" s="20">
        <v>4584</v>
      </c>
      <c r="U293" s="20">
        <v>4333</v>
      </c>
      <c r="V293" s="20">
        <f t="shared" si="170"/>
        <v>251</v>
      </c>
      <c r="W293" s="20"/>
      <c r="X293" s="5"/>
      <c r="Y293" s="29">
        <v>2016</v>
      </c>
      <c r="Z293" s="38" t="s">
        <v>49</v>
      </c>
      <c r="AA293" s="35">
        <f>+Tabla5[[#This Row],[Trenes Puntuales]]/Tabla5[[#This Row],[Trenes Programados]]</f>
        <v>0.90229007633587788</v>
      </c>
      <c r="AB293" s="35">
        <f>+Tabla5[[#This Row],[Trenes Puntuales]]/Tabla5[[#This Row],[Trenes Corridos]]</f>
        <v>0.92705882352941171</v>
      </c>
      <c r="AC293" s="35">
        <f>+Tabla5[[#This Row],[Trenes Corridos]]/Tabla5[[#This Row],[Trenes Programados]]</f>
        <v>0.97328244274809161</v>
      </c>
      <c r="AD293" s="20">
        <v>3930</v>
      </c>
      <c r="AE293" s="20">
        <f t="shared" si="171"/>
        <v>105</v>
      </c>
      <c r="AF293" s="20">
        <v>3825</v>
      </c>
      <c r="AG293" s="20">
        <v>3546</v>
      </c>
      <c r="AH293" s="20">
        <f t="shared" si="172"/>
        <v>279</v>
      </c>
      <c r="AI293" s="20"/>
      <c r="AJ293" s="5"/>
      <c r="AK293" s="29">
        <v>2016</v>
      </c>
      <c r="AL293" s="38" t="s">
        <v>49</v>
      </c>
      <c r="AM293" s="35">
        <f>+Tabla6[[#This Row],[Trenes Puntuales]]/Tabla6[[#This Row],[Trenes Programados]]</f>
        <v>0.88025415444770283</v>
      </c>
      <c r="AN293" s="35">
        <f>+Tabla6[[#This Row],[Trenes Puntuales]]/Tabla6[[#This Row],[Trenes Corridos]]</f>
        <v>0.90095047523761884</v>
      </c>
      <c r="AO293" s="35">
        <f>+Tabla6[[#This Row],[Trenes Corridos]]/Tabla6[[#This Row],[Trenes Programados]]</f>
        <v>0.97702834799608995</v>
      </c>
      <c r="AP293" s="20">
        <v>2046</v>
      </c>
      <c r="AQ293" s="20">
        <f t="shared" si="173"/>
        <v>47</v>
      </c>
      <c r="AR293" s="20">
        <v>1999</v>
      </c>
      <c r="AS293" s="20">
        <v>1801</v>
      </c>
      <c r="AT293" s="20">
        <f t="shared" si="174"/>
        <v>198</v>
      </c>
      <c r="AU293" s="20"/>
      <c r="AV293" s="5"/>
      <c r="AW293" s="29">
        <v>2016</v>
      </c>
      <c r="AX293" s="38" t="s">
        <v>49</v>
      </c>
      <c r="AY293" s="35">
        <f>+MIT_Vic_Cap[[#This Row],[Trenes Puntuales]]/MIT_Vic_Cap[[#This Row],[Trenes Programados]]</f>
        <v>0.49455040871934602</v>
      </c>
      <c r="AZ293" s="35">
        <f>+MIT_Vic_Cap[[#This Row],[Trenes Puntuales]]/MIT_Vic_Cap[[#This Row],[Trenes Corridos]]</f>
        <v>0.59313725490196079</v>
      </c>
      <c r="BA293" s="35">
        <f>+MIT_Vic_Cap[[#This Row],[Trenes Corridos]]/MIT_Vic_Cap[[#This Row],[Trenes Programados]]</f>
        <v>0.83378746594005448</v>
      </c>
      <c r="BB293" s="20">
        <v>734</v>
      </c>
      <c r="BC293" s="20">
        <f t="shared" si="175"/>
        <v>122</v>
      </c>
      <c r="BD293" s="20">
        <v>612</v>
      </c>
      <c r="BE293" s="20">
        <v>363</v>
      </c>
      <c r="BF293" s="20">
        <f t="shared" si="176"/>
        <v>249</v>
      </c>
      <c r="BG293" s="20"/>
      <c r="BH293" s="5"/>
      <c r="BI293" s="29">
        <v>2016</v>
      </c>
      <c r="BJ293" s="38" t="s">
        <v>49</v>
      </c>
      <c r="BK293" s="35">
        <f>+Tabla8[[#This Row],[Trenes Puntuales]]/Tabla8[[#This Row],[Trenes Programados]]</f>
        <v>0.59677419354838712</v>
      </c>
      <c r="BL293" s="35">
        <f>+Tabla8[[#This Row],[Trenes Puntuales]]/Tabla8[[#This Row],[Trenes Corridos]]</f>
        <v>0.63068181818181823</v>
      </c>
      <c r="BM293" s="35">
        <f>+Tabla8[[#This Row],[Trenes Corridos]]/Tabla8[[#This Row],[Trenes Programados]]</f>
        <v>0.94623655913978499</v>
      </c>
      <c r="BN293" s="20">
        <v>186</v>
      </c>
      <c r="BO293" s="20">
        <f t="shared" si="177"/>
        <v>10</v>
      </c>
      <c r="BP293" s="20">
        <v>176</v>
      </c>
      <c r="BQ293" s="20">
        <v>111</v>
      </c>
      <c r="BR293" s="20">
        <f t="shared" si="178"/>
        <v>65</v>
      </c>
      <c r="BS293" s="29"/>
    </row>
    <row r="294" spans="1:71" s="3" customFormat="1" ht="12.75">
      <c r="A294" s="3">
        <v>2017</v>
      </c>
      <c r="B294" s="38" t="s">
        <v>38</v>
      </c>
      <c r="C294" s="25">
        <f>+MITRE[[#This Row],[Trenes Puntuales]]/MITRE[[#This Row],[Trenes Programados]]</f>
        <v>0.90569536423841057</v>
      </c>
      <c r="D294" s="25">
        <f>+MITRE[[#This Row],[Trenes Puntuales]]/MITRE[[#This Row],[Trenes Corridos]]</f>
        <v>0.92148054981582972</v>
      </c>
      <c r="E294" s="25">
        <f>+MITRE[[#This Row],[Trenes Corridos]]/MITRE[[#This Row],[Trenes Programados]]</f>
        <v>0.98286975717439296</v>
      </c>
      <c r="F294" s="27">
        <f t="shared" si="154"/>
        <v>11325</v>
      </c>
      <c r="G294" s="27">
        <f t="shared" si="155"/>
        <v>194</v>
      </c>
      <c r="H294" s="27">
        <f t="shared" si="156"/>
        <v>11131</v>
      </c>
      <c r="I294" s="27">
        <f t="shared" si="157"/>
        <v>10257</v>
      </c>
      <c r="J294" s="27">
        <f t="shared" si="158"/>
        <v>874</v>
      </c>
      <c r="K294" s="27"/>
      <c r="L294" s="4"/>
      <c r="M294" s="29">
        <v>2017</v>
      </c>
      <c r="N294" s="38" t="s">
        <v>38</v>
      </c>
      <c r="O294" s="35">
        <f>+Tabla4[[#This Row],[Trenes Puntuales]]/Tabla4[[#This Row],[Trenes Programados]]</f>
        <v>0.95242290748898684</v>
      </c>
      <c r="P294" s="35">
        <f>+Tabla4[[#This Row],[Trenes Puntuales]]/Tabla4[[#This Row],[Trenes Corridos]]</f>
        <v>0.96994167788245855</v>
      </c>
      <c r="Q294" s="35">
        <f>+Tabla4[[#This Row],[Trenes Corridos]]/Tabla4[[#This Row],[Trenes Programados]]</f>
        <v>0.98193832599118946</v>
      </c>
      <c r="R294" s="20">
        <v>4540</v>
      </c>
      <c r="S294" s="27">
        <f t="shared" ref="S294:S305" si="179">R294-T294</f>
        <v>82</v>
      </c>
      <c r="T294" s="20">
        <v>4458</v>
      </c>
      <c r="U294" s="20">
        <v>4324</v>
      </c>
      <c r="V294" s="20">
        <f t="shared" ref="V294:V305" si="180">T294-U294</f>
        <v>134</v>
      </c>
      <c r="W294" s="20"/>
      <c r="X294" s="5"/>
      <c r="Y294" s="29">
        <v>2017</v>
      </c>
      <c r="Z294" s="38" t="s">
        <v>38</v>
      </c>
      <c r="AA294" s="35">
        <f>+Tabla5[[#This Row],[Trenes Puntuales]]/Tabla5[[#This Row],[Trenes Programados]]</f>
        <v>0.9387808723068839</v>
      </c>
      <c r="AB294" s="35">
        <f>+Tabla5[[#This Row],[Trenes Puntuales]]/Tabla5[[#This Row],[Trenes Corridos]]</f>
        <v>0.94674085850556444</v>
      </c>
      <c r="AC294" s="35">
        <f>+Tabla5[[#This Row],[Trenes Corridos]]/Tabla5[[#This Row],[Trenes Programados]]</f>
        <v>0.9915922228060956</v>
      </c>
      <c r="AD294" s="20">
        <v>3806</v>
      </c>
      <c r="AE294" s="27">
        <f t="shared" ref="AE294:AE305" si="181">AD294-AF294</f>
        <v>32</v>
      </c>
      <c r="AF294" s="20">
        <v>3774</v>
      </c>
      <c r="AG294" s="20">
        <v>3573</v>
      </c>
      <c r="AH294" s="20">
        <f t="shared" ref="AH294:AH305" si="182">AF294-AG294</f>
        <v>201</v>
      </c>
      <c r="AI294" s="20"/>
      <c r="AJ294" s="5"/>
      <c r="AK294" s="29">
        <v>2017</v>
      </c>
      <c r="AL294" s="38" t="s">
        <v>38</v>
      </c>
      <c r="AM294" s="35">
        <f>+Tabla6[[#This Row],[Trenes Puntuales]]/Tabla6[[#This Row],[Trenes Programados]]</f>
        <v>0.89882697947214074</v>
      </c>
      <c r="AN294" s="35">
        <f>+Tabla6[[#This Row],[Trenes Puntuales]]/Tabla6[[#This Row],[Trenes Corridos]]</f>
        <v>0.90457452041318254</v>
      </c>
      <c r="AO294" s="35">
        <f>+Tabla6[[#This Row],[Trenes Corridos]]/Tabla6[[#This Row],[Trenes Programados]]</f>
        <v>0.99364613880742914</v>
      </c>
      <c r="AP294" s="20">
        <v>2046</v>
      </c>
      <c r="AQ294" s="27">
        <f t="shared" ref="AQ294:AQ305" si="183">AP294-AR294</f>
        <v>13</v>
      </c>
      <c r="AR294" s="20">
        <v>2033</v>
      </c>
      <c r="AS294" s="20">
        <v>1839</v>
      </c>
      <c r="AT294" s="20">
        <f t="shared" ref="AT294:AT305" si="184">AR294-AS294</f>
        <v>194</v>
      </c>
      <c r="AU294" s="20"/>
      <c r="AV294" s="5"/>
      <c r="AW294" s="29">
        <v>2017</v>
      </c>
      <c r="AX294" s="38" t="s">
        <v>38</v>
      </c>
      <c r="AY294" s="35">
        <f>+MIT_Vic_Cap[[#This Row],[Trenes Puntuales]]/MIT_Vic_Cap[[#This Row],[Trenes Programados]]</f>
        <v>0.57697456492637211</v>
      </c>
      <c r="AZ294" s="35">
        <f>+MIT_Vic_Cap[[#This Row],[Trenes Puntuales]]/MIT_Vic_Cap[[#This Row],[Trenes Corridos]]</f>
        <v>0.62554426705370103</v>
      </c>
      <c r="BA294" s="35">
        <f>+MIT_Vic_Cap[[#This Row],[Trenes Corridos]]/MIT_Vic_Cap[[#This Row],[Trenes Programados]]</f>
        <v>0.92235609103078986</v>
      </c>
      <c r="BB294" s="20">
        <v>747</v>
      </c>
      <c r="BC294" s="27">
        <f t="shared" ref="BC294:BC305" si="185">BB294-BD294</f>
        <v>58</v>
      </c>
      <c r="BD294" s="20">
        <v>689</v>
      </c>
      <c r="BE294" s="20">
        <v>431</v>
      </c>
      <c r="BF294" s="20">
        <f t="shared" ref="BF294:BF305" si="186">BD294-BE294</f>
        <v>258</v>
      </c>
      <c r="BG294" s="20"/>
      <c r="BH294" s="5"/>
      <c r="BI294" s="29">
        <v>2017</v>
      </c>
      <c r="BJ294" s="38" t="s">
        <v>38</v>
      </c>
      <c r="BK294" s="35">
        <f>+Tabla8[[#This Row],[Trenes Puntuales]]/Tabla8[[#This Row],[Trenes Programados]]</f>
        <v>0.4838709677419355</v>
      </c>
      <c r="BL294" s="35">
        <f>+Tabla8[[#This Row],[Trenes Puntuales]]/Tabla8[[#This Row],[Trenes Corridos]]</f>
        <v>0.50847457627118642</v>
      </c>
      <c r="BM294" s="35">
        <f>+Tabla8[[#This Row],[Trenes Corridos]]/Tabla8[[#This Row],[Trenes Programados]]</f>
        <v>0.95161290322580649</v>
      </c>
      <c r="BN294" s="20">
        <v>186</v>
      </c>
      <c r="BO294" s="27">
        <f t="shared" ref="BO294:BO305" si="187">BN294-BP294</f>
        <v>9</v>
      </c>
      <c r="BP294" s="20">
        <v>177</v>
      </c>
      <c r="BQ294" s="20">
        <v>90</v>
      </c>
      <c r="BR294" s="20">
        <f t="shared" ref="BR294:BR305" si="188">BP294-BQ294</f>
        <v>87</v>
      </c>
      <c r="BS294" s="29"/>
    </row>
    <row r="295" spans="1:71" s="3" customFormat="1" ht="12.75">
      <c r="A295" s="3">
        <v>2017</v>
      </c>
      <c r="B295" s="38" t="s">
        <v>39</v>
      </c>
      <c r="C295" s="25">
        <f>+MITRE[[#This Row],[Trenes Puntuales]]/MITRE[[#This Row],[Trenes Programados]]</f>
        <v>0.89323070850601938</v>
      </c>
      <c r="D295" s="25">
        <f>+MITRE[[#This Row],[Trenes Puntuales]]/MITRE[[#This Row],[Trenes Corridos]]</f>
        <v>0.9120403022670025</v>
      </c>
      <c r="E295" s="25">
        <f>+MITRE[[#This Row],[Trenes Corridos]]/MITRE[[#This Row],[Trenes Programados]]</f>
        <v>0.97937635681863033</v>
      </c>
      <c r="F295" s="27">
        <f t="shared" si="154"/>
        <v>10134</v>
      </c>
      <c r="G295" s="27">
        <f t="shared" si="155"/>
        <v>209</v>
      </c>
      <c r="H295" s="27">
        <f t="shared" si="156"/>
        <v>9925</v>
      </c>
      <c r="I295" s="27">
        <f t="shared" si="157"/>
        <v>9052</v>
      </c>
      <c r="J295" s="27">
        <f t="shared" si="158"/>
        <v>873</v>
      </c>
      <c r="K295" s="27"/>
      <c r="L295" s="4"/>
      <c r="M295" s="29">
        <v>2017</v>
      </c>
      <c r="N295" s="38" t="s">
        <v>39</v>
      </c>
      <c r="O295" s="35">
        <f>+Tabla4[[#This Row],[Trenes Puntuales]]/Tabla4[[#This Row],[Trenes Programados]]</f>
        <v>0.92472852912142156</v>
      </c>
      <c r="P295" s="35">
        <f>+Tabla4[[#This Row],[Trenes Puntuales]]/Tabla4[[#This Row],[Trenes Corridos]]</f>
        <v>0.93815723585378064</v>
      </c>
      <c r="Q295" s="35">
        <f>+Tabla4[[#This Row],[Trenes Corridos]]/Tabla4[[#This Row],[Trenes Programados]]</f>
        <v>0.98568608094768018</v>
      </c>
      <c r="R295" s="20">
        <v>4052</v>
      </c>
      <c r="S295" s="27">
        <f t="shared" si="179"/>
        <v>58</v>
      </c>
      <c r="T295" s="20">
        <v>3994</v>
      </c>
      <c r="U295" s="20">
        <v>3747</v>
      </c>
      <c r="V295" s="20">
        <f t="shared" si="180"/>
        <v>247</v>
      </c>
      <c r="W295" s="20"/>
      <c r="X295" s="5"/>
      <c r="Y295" s="29">
        <v>2017</v>
      </c>
      <c r="Z295" s="38" t="s">
        <v>39</v>
      </c>
      <c r="AA295" s="35">
        <f>+Tabla5[[#This Row],[Trenes Puntuales]]/Tabla5[[#This Row],[Trenes Programados]]</f>
        <v>0.92920094007050524</v>
      </c>
      <c r="AB295" s="35">
        <f>+Tabla5[[#This Row],[Trenes Puntuales]]/Tabla5[[#This Row],[Trenes Corridos]]</f>
        <v>0.94277198211624436</v>
      </c>
      <c r="AC295" s="35">
        <f>+Tabla5[[#This Row],[Trenes Corridos]]/Tabla5[[#This Row],[Trenes Programados]]</f>
        <v>0.98560517038777906</v>
      </c>
      <c r="AD295" s="20">
        <v>3404</v>
      </c>
      <c r="AE295" s="27">
        <f t="shared" si="181"/>
        <v>49</v>
      </c>
      <c r="AF295" s="20">
        <v>3355</v>
      </c>
      <c r="AG295" s="20">
        <v>3163</v>
      </c>
      <c r="AH295" s="20">
        <f t="shared" si="182"/>
        <v>192</v>
      </c>
      <c r="AI295" s="20"/>
      <c r="AJ295" s="5"/>
      <c r="AK295" s="29">
        <v>2017</v>
      </c>
      <c r="AL295" s="38" t="s">
        <v>39</v>
      </c>
      <c r="AM295" s="35">
        <f>+Tabla6[[#This Row],[Trenes Puntuales]]/Tabla6[[#This Row],[Trenes Programados]]</f>
        <v>0.88582251082251084</v>
      </c>
      <c r="AN295" s="35">
        <f>+Tabla6[[#This Row],[Trenes Puntuales]]/Tabla6[[#This Row],[Trenes Corridos]]</f>
        <v>0.90893947806774011</v>
      </c>
      <c r="AO295" s="35">
        <f>+Tabla6[[#This Row],[Trenes Corridos]]/Tabla6[[#This Row],[Trenes Programados]]</f>
        <v>0.97456709956709953</v>
      </c>
      <c r="AP295" s="20">
        <v>1848</v>
      </c>
      <c r="AQ295" s="27">
        <f t="shared" si="183"/>
        <v>47</v>
      </c>
      <c r="AR295" s="20">
        <v>1801</v>
      </c>
      <c r="AS295" s="20">
        <v>1637</v>
      </c>
      <c r="AT295" s="20">
        <f t="shared" si="184"/>
        <v>164</v>
      </c>
      <c r="AU295" s="20"/>
      <c r="AV295" s="5"/>
      <c r="AW295" s="29">
        <v>2017</v>
      </c>
      <c r="AX295" s="38" t="s">
        <v>39</v>
      </c>
      <c r="AY295" s="35">
        <f>+MIT_Vic_Cap[[#This Row],[Trenes Puntuales]]/MIT_Vic_Cap[[#This Row],[Trenes Programados]]</f>
        <v>0.6344410876132931</v>
      </c>
      <c r="AZ295" s="35">
        <f>+MIT_Vic_Cap[[#This Row],[Trenes Puntuales]]/MIT_Vic_Cap[[#This Row],[Trenes Corridos]]</f>
        <v>0.68071312803889794</v>
      </c>
      <c r="BA295" s="35">
        <f>+MIT_Vic_Cap[[#This Row],[Trenes Corridos]]/MIT_Vic_Cap[[#This Row],[Trenes Programados]]</f>
        <v>0.93202416918428999</v>
      </c>
      <c r="BB295" s="20">
        <v>662</v>
      </c>
      <c r="BC295" s="27">
        <f t="shared" si="185"/>
        <v>45</v>
      </c>
      <c r="BD295" s="20">
        <v>617</v>
      </c>
      <c r="BE295" s="20">
        <v>420</v>
      </c>
      <c r="BF295" s="20">
        <f t="shared" si="186"/>
        <v>197</v>
      </c>
      <c r="BG295" s="20"/>
      <c r="BH295" s="5"/>
      <c r="BI295" s="29">
        <v>2017</v>
      </c>
      <c r="BJ295" s="38" t="s">
        <v>39</v>
      </c>
      <c r="BK295" s="35">
        <f>+Tabla8[[#This Row],[Trenes Puntuales]]/Tabla8[[#This Row],[Trenes Programados]]</f>
        <v>0.50595238095238093</v>
      </c>
      <c r="BL295" s="35">
        <f>+Tabla8[[#This Row],[Trenes Puntuales]]/Tabla8[[#This Row],[Trenes Corridos]]</f>
        <v>0.53797468354430378</v>
      </c>
      <c r="BM295" s="35">
        <f>+Tabla8[[#This Row],[Trenes Corridos]]/Tabla8[[#This Row],[Trenes Programados]]</f>
        <v>0.94047619047619047</v>
      </c>
      <c r="BN295" s="20">
        <v>168</v>
      </c>
      <c r="BO295" s="27">
        <f t="shared" si="187"/>
        <v>10</v>
      </c>
      <c r="BP295" s="20">
        <v>158</v>
      </c>
      <c r="BQ295" s="20">
        <v>85</v>
      </c>
      <c r="BR295" s="20">
        <f t="shared" si="188"/>
        <v>73</v>
      </c>
      <c r="BS295" s="29"/>
    </row>
    <row r="296" spans="1:71" s="3" customFormat="1" ht="12.75">
      <c r="A296" s="3">
        <v>2017</v>
      </c>
      <c r="B296" s="38" t="s">
        <v>40</v>
      </c>
      <c r="C296" s="25">
        <f>+MITRE[[#This Row],[Trenes Puntuales]]/MITRE[[#This Row],[Trenes Programados]]</f>
        <v>0.83689994216310004</v>
      </c>
      <c r="D296" s="25">
        <f>+MITRE[[#This Row],[Trenes Puntuales]]/MITRE[[#This Row],[Trenes Corridos]]</f>
        <v>0.85505655917609324</v>
      </c>
      <c r="E296" s="25">
        <f>+MITRE[[#This Row],[Trenes Corridos]]/MITRE[[#This Row],[Trenes Programados]]</f>
        <v>0.97876559530694873</v>
      </c>
      <c r="F296" s="27">
        <f t="shared" si="154"/>
        <v>12103</v>
      </c>
      <c r="G296" s="27">
        <f t="shared" si="155"/>
        <v>257</v>
      </c>
      <c r="H296" s="27">
        <f t="shared" si="156"/>
        <v>11846</v>
      </c>
      <c r="I296" s="27">
        <f t="shared" si="157"/>
        <v>10129</v>
      </c>
      <c r="J296" s="27">
        <f t="shared" si="158"/>
        <v>1717</v>
      </c>
      <c r="K296" s="27"/>
      <c r="L296" s="4"/>
      <c r="M296" s="29">
        <v>2017</v>
      </c>
      <c r="N296" s="38" t="s">
        <v>40</v>
      </c>
      <c r="O296" s="35">
        <f>+Tabla4[[#This Row],[Trenes Puntuales]]/Tabla4[[#This Row],[Trenes Programados]]</f>
        <v>0.78919026725169528</v>
      </c>
      <c r="P296" s="35">
        <f>+Tabla4[[#This Row],[Trenes Puntuales]]/Tabla4[[#This Row],[Trenes Corridos]]</f>
        <v>0.81537193488563775</v>
      </c>
      <c r="Q296" s="35">
        <f>+Tabla4[[#This Row],[Trenes Corridos]]/Tabla4[[#This Row],[Trenes Programados]]</f>
        <v>0.9678899082568807</v>
      </c>
      <c r="R296" s="20">
        <v>5014</v>
      </c>
      <c r="S296" s="27">
        <f t="shared" si="179"/>
        <v>161</v>
      </c>
      <c r="T296" s="20">
        <v>4853</v>
      </c>
      <c r="U296" s="20">
        <v>3957</v>
      </c>
      <c r="V296" s="20">
        <f t="shared" si="180"/>
        <v>896</v>
      </c>
      <c r="W296" s="20"/>
      <c r="X296" s="5"/>
      <c r="Y296" s="29">
        <v>2017</v>
      </c>
      <c r="Z296" s="38" t="s">
        <v>40</v>
      </c>
      <c r="AA296" s="35">
        <f>+Tabla5[[#This Row],[Trenes Puntuales]]/Tabla5[[#This Row],[Trenes Programados]]</f>
        <v>0.91362530413625309</v>
      </c>
      <c r="AB296" s="35">
        <f>+Tabla5[[#This Row],[Trenes Puntuales]]/Tabla5[[#This Row],[Trenes Corridos]]</f>
        <v>0.92124631992149164</v>
      </c>
      <c r="AC296" s="35">
        <f>+Tabla5[[#This Row],[Trenes Corridos]]/Tabla5[[#This Row],[Trenes Programados]]</f>
        <v>0.99172749391727499</v>
      </c>
      <c r="AD296" s="20">
        <v>4110</v>
      </c>
      <c r="AE296" s="27">
        <f t="shared" si="181"/>
        <v>34</v>
      </c>
      <c r="AF296" s="20">
        <v>4076</v>
      </c>
      <c r="AG296" s="20">
        <v>3755</v>
      </c>
      <c r="AH296" s="20">
        <f t="shared" si="182"/>
        <v>321</v>
      </c>
      <c r="AI296" s="20"/>
      <c r="AJ296" s="5"/>
      <c r="AK296" s="29">
        <v>2017</v>
      </c>
      <c r="AL296" s="38" t="s">
        <v>40</v>
      </c>
      <c r="AM296" s="35">
        <f>+Tabla6[[#This Row],[Trenes Puntuales]]/Tabla6[[#This Row],[Trenes Programados]]</f>
        <v>0.88220918866080156</v>
      </c>
      <c r="AN296" s="35">
        <f>+Tabla6[[#This Row],[Trenes Puntuales]]/Tabla6[[#This Row],[Trenes Corridos]]</f>
        <v>0.89135802469135805</v>
      </c>
      <c r="AO296" s="35">
        <f>+Tabla6[[#This Row],[Trenes Corridos]]/Tabla6[[#This Row],[Trenes Programados]]</f>
        <v>0.98973607038123168</v>
      </c>
      <c r="AP296" s="20">
        <v>2046</v>
      </c>
      <c r="AQ296" s="27">
        <f t="shared" si="183"/>
        <v>21</v>
      </c>
      <c r="AR296" s="20">
        <v>2025</v>
      </c>
      <c r="AS296" s="20">
        <v>1805</v>
      </c>
      <c r="AT296" s="20">
        <f t="shared" si="184"/>
        <v>220</v>
      </c>
      <c r="AU296" s="20"/>
      <c r="AV296" s="5"/>
      <c r="AW296" s="29">
        <v>2017</v>
      </c>
      <c r="AX296" s="38" t="s">
        <v>40</v>
      </c>
      <c r="AY296" s="35">
        <f>+MIT_Vic_Cap[[#This Row],[Trenes Puntuales]]/MIT_Vic_Cap[[#This Row],[Trenes Programados]]</f>
        <v>0.69076305220883538</v>
      </c>
      <c r="AZ296" s="35">
        <f>+MIT_Vic_Cap[[#This Row],[Trenes Puntuales]]/MIT_Vic_Cap[[#This Row],[Trenes Corridos]]</f>
        <v>0.72881355932203384</v>
      </c>
      <c r="BA296" s="35">
        <f>+MIT_Vic_Cap[[#This Row],[Trenes Corridos]]/MIT_Vic_Cap[[#This Row],[Trenes Programados]]</f>
        <v>0.94779116465863456</v>
      </c>
      <c r="BB296" s="20">
        <v>747</v>
      </c>
      <c r="BC296" s="27">
        <f t="shared" si="185"/>
        <v>39</v>
      </c>
      <c r="BD296" s="20">
        <v>708</v>
      </c>
      <c r="BE296" s="20">
        <v>516</v>
      </c>
      <c r="BF296" s="20">
        <f t="shared" si="186"/>
        <v>192</v>
      </c>
      <c r="BG296" s="20"/>
      <c r="BH296" s="5"/>
      <c r="BI296" s="29">
        <v>2017</v>
      </c>
      <c r="BJ296" s="38" t="s">
        <v>40</v>
      </c>
      <c r="BK296" s="35">
        <f>+Tabla8[[#This Row],[Trenes Puntuales]]/Tabla8[[#This Row],[Trenes Programados]]</f>
        <v>0.5161290322580645</v>
      </c>
      <c r="BL296" s="35">
        <f>+Tabla8[[#This Row],[Trenes Puntuales]]/Tabla8[[#This Row],[Trenes Corridos]]</f>
        <v>0.52173913043478259</v>
      </c>
      <c r="BM296" s="35">
        <f>+Tabla8[[#This Row],[Trenes Corridos]]/Tabla8[[#This Row],[Trenes Programados]]</f>
        <v>0.989247311827957</v>
      </c>
      <c r="BN296" s="20">
        <v>186</v>
      </c>
      <c r="BO296" s="27">
        <f t="shared" si="187"/>
        <v>2</v>
      </c>
      <c r="BP296" s="20">
        <v>184</v>
      </c>
      <c r="BQ296" s="20">
        <v>96</v>
      </c>
      <c r="BR296" s="20">
        <f t="shared" si="188"/>
        <v>88</v>
      </c>
      <c r="BS296" s="29"/>
    </row>
    <row r="297" spans="1:71" s="3" customFormat="1" ht="12.75">
      <c r="A297" s="3">
        <v>2017</v>
      </c>
      <c r="B297" s="38" t="s">
        <v>41</v>
      </c>
      <c r="C297" s="25">
        <f>+MITRE[[#This Row],[Trenes Puntuales]]/MITRE[[#This Row],[Trenes Programados]]</f>
        <v>0.81959564541213059</v>
      </c>
      <c r="D297" s="25">
        <f>+MITRE[[#This Row],[Trenes Puntuales]]/MITRE[[#This Row],[Trenes Corridos]]</f>
        <v>0.88037122969837589</v>
      </c>
      <c r="E297" s="25">
        <f>+MITRE[[#This Row],[Trenes Corridos]]/MITRE[[#This Row],[Trenes Programados]]</f>
        <v>0.93096595818213235</v>
      </c>
      <c r="F297" s="27">
        <f t="shared" si="154"/>
        <v>11574</v>
      </c>
      <c r="G297" s="27">
        <f t="shared" si="155"/>
        <v>799</v>
      </c>
      <c r="H297" s="27">
        <f t="shared" si="156"/>
        <v>10775</v>
      </c>
      <c r="I297" s="27">
        <f t="shared" si="157"/>
        <v>9486</v>
      </c>
      <c r="J297" s="27">
        <f t="shared" si="158"/>
        <v>1289</v>
      </c>
      <c r="K297" s="27"/>
      <c r="L297" s="4"/>
      <c r="M297" s="29">
        <v>2017</v>
      </c>
      <c r="N297" s="38" t="s">
        <v>41</v>
      </c>
      <c r="O297" s="35">
        <f>+Tabla4[[#This Row],[Trenes Puntuales]]/Tabla4[[#This Row],[Trenes Programados]]</f>
        <v>0.81833333333333336</v>
      </c>
      <c r="P297" s="35">
        <f>+Tabla4[[#This Row],[Trenes Puntuales]]/Tabla4[[#This Row],[Trenes Corridos]]</f>
        <v>0.87619897390140533</v>
      </c>
      <c r="Q297" s="35">
        <f>+Tabla4[[#This Row],[Trenes Corridos]]/Tabla4[[#This Row],[Trenes Programados]]</f>
        <v>0.93395833333333333</v>
      </c>
      <c r="R297" s="20">
        <v>4800</v>
      </c>
      <c r="S297" s="27">
        <f t="shared" si="179"/>
        <v>317</v>
      </c>
      <c r="T297" s="20">
        <v>4483</v>
      </c>
      <c r="U297" s="20">
        <v>3928</v>
      </c>
      <c r="V297" s="20">
        <f t="shared" si="180"/>
        <v>555</v>
      </c>
      <c r="W297" s="20"/>
      <c r="X297" s="5"/>
      <c r="Y297" s="29">
        <v>2017</v>
      </c>
      <c r="Z297" s="38" t="s">
        <v>41</v>
      </c>
      <c r="AA297" s="35">
        <f>+Tabla5[[#This Row],[Trenes Puntuales]]/Tabla5[[#This Row],[Trenes Programados]]</f>
        <v>0.8693762781186094</v>
      </c>
      <c r="AB297" s="35">
        <f>+Tabla5[[#This Row],[Trenes Puntuales]]/Tabla5[[#This Row],[Trenes Corridos]]</f>
        <v>0.92847392847392851</v>
      </c>
      <c r="AC297" s="35">
        <f>+Tabla5[[#This Row],[Trenes Corridos]]/Tabla5[[#This Row],[Trenes Programados]]</f>
        <v>0.93634969325153372</v>
      </c>
      <c r="AD297" s="20">
        <v>3912</v>
      </c>
      <c r="AE297" s="27">
        <f t="shared" si="181"/>
        <v>249</v>
      </c>
      <c r="AF297" s="20">
        <v>3663</v>
      </c>
      <c r="AG297" s="20">
        <v>3401</v>
      </c>
      <c r="AH297" s="20">
        <f t="shared" si="182"/>
        <v>262</v>
      </c>
      <c r="AI297" s="20"/>
      <c r="AJ297" s="5"/>
      <c r="AK297" s="29">
        <v>2017</v>
      </c>
      <c r="AL297" s="38" t="s">
        <v>41</v>
      </c>
      <c r="AM297" s="35">
        <f>+Tabla6[[#This Row],[Trenes Puntuales]]/Tabla6[[#This Row],[Trenes Programados]]</f>
        <v>0.84141414141414139</v>
      </c>
      <c r="AN297" s="35">
        <f>+Tabla6[[#This Row],[Trenes Puntuales]]/Tabla6[[#This Row],[Trenes Corridos]]</f>
        <v>0.88900747065101382</v>
      </c>
      <c r="AO297" s="35">
        <f>+Tabla6[[#This Row],[Trenes Corridos]]/Tabla6[[#This Row],[Trenes Programados]]</f>
        <v>0.94646464646464645</v>
      </c>
      <c r="AP297" s="20">
        <v>1980</v>
      </c>
      <c r="AQ297" s="27">
        <f t="shared" si="183"/>
        <v>106</v>
      </c>
      <c r="AR297" s="20">
        <v>1874</v>
      </c>
      <c r="AS297" s="20">
        <v>1666</v>
      </c>
      <c r="AT297" s="20">
        <f t="shared" si="184"/>
        <v>208</v>
      </c>
      <c r="AU297" s="20"/>
      <c r="AV297" s="5"/>
      <c r="AW297" s="29">
        <v>2017</v>
      </c>
      <c r="AX297" s="38" t="s">
        <v>41</v>
      </c>
      <c r="AY297" s="35">
        <f>+MIT_Vic_Cap[[#This Row],[Trenes Puntuales]]/MIT_Vic_Cap[[#This Row],[Trenes Programados]]</f>
        <v>0.55698005698005693</v>
      </c>
      <c r="AZ297" s="35">
        <f>+MIT_Vic_Cap[[#This Row],[Trenes Puntuales]]/MIT_Vic_Cap[[#This Row],[Trenes Corridos]]</f>
        <v>0.66952054794520544</v>
      </c>
      <c r="BA297" s="35">
        <f>+MIT_Vic_Cap[[#This Row],[Trenes Corridos]]/MIT_Vic_Cap[[#This Row],[Trenes Programados]]</f>
        <v>0.83190883190883191</v>
      </c>
      <c r="BB297" s="20">
        <v>702</v>
      </c>
      <c r="BC297" s="27">
        <f t="shared" si="185"/>
        <v>118</v>
      </c>
      <c r="BD297" s="20">
        <v>584</v>
      </c>
      <c r="BE297" s="20">
        <v>391</v>
      </c>
      <c r="BF297" s="20">
        <f t="shared" si="186"/>
        <v>193</v>
      </c>
      <c r="BG297" s="20"/>
      <c r="BH297" s="5"/>
      <c r="BI297" s="29">
        <v>2017</v>
      </c>
      <c r="BJ297" s="38" t="s">
        <v>41</v>
      </c>
      <c r="BK297" s="35">
        <f>+Tabla8[[#This Row],[Trenes Puntuales]]/Tabla8[[#This Row],[Trenes Programados]]</f>
        <v>0.55555555555555558</v>
      </c>
      <c r="BL297" s="35">
        <f>+Tabla8[[#This Row],[Trenes Puntuales]]/Tabla8[[#This Row],[Trenes Corridos]]</f>
        <v>0.58479532163742687</v>
      </c>
      <c r="BM297" s="35">
        <f>+Tabla8[[#This Row],[Trenes Corridos]]/Tabla8[[#This Row],[Trenes Programados]]</f>
        <v>0.95</v>
      </c>
      <c r="BN297" s="20">
        <v>180</v>
      </c>
      <c r="BO297" s="27">
        <f t="shared" si="187"/>
        <v>9</v>
      </c>
      <c r="BP297" s="20">
        <v>171</v>
      </c>
      <c r="BQ297" s="20">
        <v>100</v>
      </c>
      <c r="BR297" s="20">
        <f t="shared" si="188"/>
        <v>71</v>
      </c>
      <c r="BS297" s="29"/>
    </row>
    <row r="298" spans="1:71" s="3" customFormat="1" ht="12.75">
      <c r="A298" s="3">
        <v>2017</v>
      </c>
      <c r="B298" s="38" t="s">
        <v>42</v>
      </c>
      <c r="C298" s="25">
        <f>+MITRE[[#This Row],[Trenes Puntuales]]/MITRE[[#This Row],[Trenes Programados]]</f>
        <v>0.86578341013824889</v>
      </c>
      <c r="D298" s="25">
        <f>+MITRE[[#This Row],[Trenes Puntuales]]/MITRE[[#This Row],[Trenes Corridos]]</f>
        <v>0.891912512716175</v>
      </c>
      <c r="E298" s="25">
        <f>+MITRE[[#This Row],[Trenes Corridos]]/MITRE[[#This Row],[Trenes Programados]]</f>
        <v>0.97070441079657666</v>
      </c>
      <c r="F298" s="27">
        <f t="shared" si="154"/>
        <v>12152</v>
      </c>
      <c r="G298" s="27">
        <f t="shared" si="155"/>
        <v>356</v>
      </c>
      <c r="H298" s="27">
        <f t="shared" si="156"/>
        <v>11796</v>
      </c>
      <c r="I298" s="27">
        <f t="shared" si="157"/>
        <v>10521</v>
      </c>
      <c r="J298" s="27">
        <f t="shared" si="158"/>
        <v>1275</v>
      </c>
      <c r="K298" s="27"/>
      <c r="L298" s="4"/>
      <c r="M298" s="29">
        <v>2017</v>
      </c>
      <c r="N298" s="38" t="s">
        <v>42</v>
      </c>
      <c r="O298" s="35">
        <f>+Tabla4[[#This Row],[Trenes Puntuales]]/Tabla4[[#This Row],[Trenes Programados]]</f>
        <v>0.87183544303797467</v>
      </c>
      <c r="P298" s="35">
        <f>+Tabla4[[#This Row],[Trenes Puntuales]]/Tabla4[[#This Row],[Trenes Corridos]]</f>
        <v>0.90143149284253576</v>
      </c>
      <c r="Q298" s="35">
        <f>+Tabla4[[#This Row],[Trenes Corridos]]/Tabla4[[#This Row],[Trenes Programados]]</f>
        <v>0.96716772151898733</v>
      </c>
      <c r="R298" s="20">
        <v>5056</v>
      </c>
      <c r="S298" s="27">
        <f t="shared" si="179"/>
        <v>166</v>
      </c>
      <c r="T298" s="20">
        <v>4890</v>
      </c>
      <c r="U298" s="20">
        <v>4408</v>
      </c>
      <c r="V298" s="20">
        <f t="shared" si="180"/>
        <v>482</v>
      </c>
      <c r="W298" s="20"/>
      <c r="X298" s="5"/>
      <c r="Y298" s="29">
        <v>2017</v>
      </c>
      <c r="Z298" s="38" t="s">
        <v>42</v>
      </c>
      <c r="AA298" s="35">
        <f>+Tabla5[[#This Row],[Trenes Puntuales]]/Tabla5[[#This Row],[Trenes Programados]]</f>
        <v>0.91173617846750732</v>
      </c>
      <c r="AB298" s="35">
        <f>+Tabla5[[#This Row],[Trenes Puntuales]]/Tabla5[[#This Row],[Trenes Corridos]]</f>
        <v>0.92360599361336282</v>
      </c>
      <c r="AC298" s="35">
        <f>+Tabla5[[#This Row],[Trenes Corridos]]/Tabla5[[#This Row],[Trenes Programados]]</f>
        <v>0.98714839961202716</v>
      </c>
      <c r="AD298" s="20">
        <v>4124</v>
      </c>
      <c r="AE298" s="27">
        <f t="shared" si="181"/>
        <v>53</v>
      </c>
      <c r="AF298" s="20">
        <v>4071</v>
      </c>
      <c r="AG298" s="20">
        <v>3760</v>
      </c>
      <c r="AH298" s="20">
        <f t="shared" si="182"/>
        <v>311</v>
      </c>
      <c r="AI298" s="20"/>
      <c r="AJ298" s="5"/>
      <c r="AK298" s="29">
        <v>2017</v>
      </c>
      <c r="AL298" s="38" t="s">
        <v>42</v>
      </c>
      <c r="AM298" s="35">
        <f>+Tabla6[[#This Row],[Trenes Puntuales]]/Tabla6[[#This Row],[Trenes Programados]]</f>
        <v>0.8729227761485826</v>
      </c>
      <c r="AN298" s="35">
        <f>+Tabla6[[#This Row],[Trenes Puntuales]]/Tabla6[[#This Row],[Trenes Corridos]]</f>
        <v>0.88372093023255816</v>
      </c>
      <c r="AO298" s="35">
        <f>+Tabla6[[#This Row],[Trenes Corridos]]/Tabla6[[#This Row],[Trenes Programados]]</f>
        <v>0.98778103616813295</v>
      </c>
      <c r="AP298" s="20">
        <v>2046</v>
      </c>
      <c r="AQ298" s="27">
        <f t="shared" si="183"/>
        <v>25</v>
      </c>
      <c r="AR298" s="20">
        <v>2021</v>
      </c>
      <c r="AS298" s="20">
        <v>1786</v>
      </c>
      <c r="AT298" s="20">
        <f t="shared" si="184"/>
        <v>235</v>
      </c>
      <c r="AU298" s="20"/>
      <c r="AV298" s="5"/>
      <c r="AW298" s="29">
        <v>2017</v>
      </c>
      <c r="AX298" s="38" t="s">
        <v>42</v>
      </c>
      <c r="AY298" s="35">
        <f>+MIT_Vic_Cap[[#This Row],[Trenes Puntuales]]/MIT_Vic_Cap[[#This Row],[Trenes Programados]]</f>
        <v>0.5972972972972973</v>
      </c>
      <c r="AZ298" s="35">
        <f>+MIT_Vic_Cap[[#This Row],[Trenes Puntuales]]/MIT_Vic_Cap[[#This Row],[Trenes Corridos]]</f>
        <v>0.69716088328075709</v>
      </c>
      <c r="BA298" s="35">
        <f>+MIT_Vic_Cap[[#This Row],[Trenes Corridos]]/MIT_Vic_Cap[[#This Row],[Trenes Programados]]</f>
        <v>0.85675675675675678</v>
      </c>
      <c r="BB298" s="20">
        <v>740</v>
      </c>
      <c r="BC298" s="27">
        <f t="shared" si="185"/>
        <v>106</v>
      </c>
      <c r="BD298" s="20">
        <v>634</v>
      </c>
      <c r="BE298" s="20">
        <v>442</v>
      </c>
      <c r="BF298" s="20">
        <f t="shared" si="186"/>
        <v>192</v>
      </c>
      <c r="BG298" s="20"/>
      <c r="BH298" s="5"/>
      <c r="BI298" s="29">
        <v>2017</v>
      </c>
      <c r="BJ298" s="38" t="s">
        <v>42</v>
      </c>
      <c r="BK298" s="35">
        <f>+Tabla8[[#This Row],[Trenes Puntuales]]/Tabla8[[#This Row],[Trenes Programados]]</f>
        <v>0.67204301075268813</v>
      </c>
      <c r="BL298" s="35">
        <f>+Tabla8[[#This Row],[Trenes Puntuales]]/Tabla8[[#This Row],[Trenes Corridos]]</f>
        <v>0.69444444444444442</v>
      </c>
      <c r="BM298" s="35">
        <f>+Tabla8[[#This Row],[Trenes Corridos]]/Tabla8[[#This Row],[Trenes Programados]]</f>
        <v>0.967741935483871</v>
      </c>
      <c r="BN298" s="20">
        <v>186</v>
      </c>
      <c r="BO298" s="27">
        <f t="shared" si="187"/>
        <v>6</v>
      </c>
      <c r="BP298" s="20">
        <v>180</v>
      </c>
      <c r="BQ298" s="20">
        <v>125</v>
      </c>
      <c r="BR298" s="20">
        <f t="shared" si="188"/>
        <v>55</v>
      </c>
      <c r="BS298" s="29"/>
    </row>
    <row r="299" spans="1:71" s="3" customFormat="1" ht="12.75">
      <c r="A299" s="3">
        <v>2017</v>
      </c>
      <c r="B299" s="38" t="s">
        <v>43</v>
      </c>
      <c r="C299" s="25">
        <f>+MITRE[[#This Row],[Trenes Puntuales]]/MITRE[[#This Row],[Trenes Programados]]</f>
        <v>0.86811352253756258</v>
      </c>
      <c r="D299" s="25">
        <f>+MITRE[[#This Row],[Trenes Puntuales]]/MITRE[[#This Row],[Trenes Corridos]]</f>
        <v>0.88038601540675532</v>
      </c>
      <c r="E299" s="25">
        <f>+MITRE[[#This Row],[Trenes Corridos]]/MITRE[[#This Row],[Trenes Programados]]</f>
        <v>0.9860601001669449</v>
      </c>
      <c r="F299" s="27">
        <f t="shared" si="154"/>
        <v>11980</v>
      </c>
      <c r="G299" s="27">
        <f t="shared" si="155"/>
        <v>167</v>
      </c>
      <c r="H299" s="27">
        <f t="shared" si="156"/>
        <v>11813</v>
      </c>
      <c r="I299" s="27">
        <f t="shared" si="157"/>
        <v>10400</v>
      </c>
      <c r="J299" s="27">
        <f t="shared" si="158"/>
        <v>1413</v>
      </c>
      <c r="K299" s="27"/>
      <c r="L299" s="4"/>
      <c r="M299" s="29">
        <v>2017</v>
      </c>
      <c r="N299" s="38" t="s">
        <v>43</v>
      </c>
      <c r="O299" s="35">
        <f>+Tabla4[[#This Row],[Trenes Puntuales]]/Tabla4[[#This Row],[Trenes Programados]]</f>
        <v>0.90365853658536588</v>
      </c>
      <c r="P299" s="35">
        <f>+Tabla4[[#This Row],[Trenes Puntuales]]/Tabla4[[#This Row],[Trenes Corridos]]</f>
        <v>0.91575695159629245</v>
      </c>
      <c r="Q299" s="35">
        <f>+Tabla4[[#This Row],[Trenes Corridos]]/Tabla4[[#This Row],[Trenes Programados]]</f>
        <v>0.98678861788617889</v>
      </c>
      <c r="R299" s="20">
        <v>4920</v>
      </c>
      <c r="S299" s="27">
        <f t="shared" si="179"/>
        <v>65</v>
      </c>
      <c r="T299" s="20">
        <v>4855</v>
      </c>
      <c r="U299" s="20">
        <v>4446</v>
      </c>
      <c r="V299" s="20">
        <f t="shared" si="180"/>
        <v>409</v>
      </c>
      <c r="W299" s="20"/>
      <c r="X299" s="5"/>
      <c r="Y299" s="29">
        <v>2017</v>
      </c>
      <c r="Z299" s="38" t="s">
        <v>43</v>
      </c>
      <c r="AA299" s="35">
        <f>+Tabla5[[#This Row],[Trenes Puntuales]]/Tabla5[[#This Row],[Trenes Programados]]</f>
        <v>0.92277030393622317</v>
      </c>
      <c r="AB299" s="35">
        <f>+Tabla5[[#This Row],[Trenes Puntuales]]/Tabla5[[#This Row],[Trenes Corridos]]</f>
        <v>0.92785571142284573</v>
      </c>
      <c r="AC299" s="35">
        <f>+Tabla5[[#This Row],[Trenes Corridos]]/Tabla5[[#This Row],[Trenes Programados]]</f>
        <v>0.99451918285999008</v>
      </c>
      <c r="AD299" s="20">
        <v>4014</v>
      </c>
      <c r="AE299" s="27">
        <f t="shared" si="181"/>
        <v>22</v>
      </c>
      <c r="AF299" s="20">
        <v>3992</v>
      </c>
      <c r="AG299" s="20">
        <v>3704</v>
      </c>
      <c r="AH299" s="20">
        <f t="shared" si="182"/>
        <v>288</v>
      </c>
      <c r="AI299" s="20"/>
      <c r="AJ299" s="5"/>
      <c r="AK299" s="29">
        <v>2017</v>
      </c>
      <c r="AL299" s="38" t="s">
        <v>43</v>
      </c>
      <c r="AM299" s="35">
        <f>+Tabla6[[#This Row],[Trenes Puntuales]]/Tabla6[[#This Row],[Trenes Programados]]</f>
        <v>0.89191919191919189</v>
      </c>
      <c r="AN299" s="35">
        <f>+Tabla6[[#This Row],[Trenes Puntuales]]/Tabla6[[#This Row],[Trenes Corridos]]</f>
        <v>0.89327263530601919</v>
      </c>
      <c r="AO299" s="35">
        <f>+Tabla6[[#This Row],[Trenes Corridos]]/Tabla6[[#This Row],[Trenes Programados]]</f>
        <v>0.99848484848484853</v>
      </c>
      <c r="AP299" s="20">
        <v>1980</v>
      </c>
      <c r="AQ299" s="27">
        <f t="shared" si="183"/>
        <v>3</v>
      </c>
      <c r="AR299" s="20">
        <v>1977</v>
      </c>
      <c r="AS299" s="20">
        <v>1766</v>
      </c>
      <c r="AT299" s="20">
        <f t="shared" si="184"/>
        <v>211</v>
      </c>
      <c r="AU299" s="20"/>
      <c r="AV299" s="5"/>
      <c r="AW299" s="29">
        <v>2017</v>
      </c>
      <c r="AX299" s="38" t="s">
        <v>43</v>
      </c>
      <c r="AY299" s="35">
        <f>+MIT_Vic_Cap[[#This Row],[Trenes Puntuales]]/MIT_Vic_Cap[[#This Row],[Trenes Programados]]</f>
        <v>0.55833333333333335</v>
      </c>
      <c r="AZ299" s="35">
        <f>+MIT_Vic_Cap[[#This Row],[Trenes Puntuales]]/MIT_Vic_Cap[[#This Row],[Trenes Corridos]]</f>
        <v>0.62037037037037035</v>
      </c>
      <c r="BA299" s="35">
        <f>+MIT_Vic_Cap[[#This Row],[Trenes Corridos]]/MIT_Vic_Cap[[#This Row],[Trenes Programados]]</f>
        <v>0.9</v>
      </c>
      <c r="BB299" s="20">
        <v>720</v>
      </c>
      <c r="BC299" s="27">
        <f t="shared" si="185"/>
        <v>72</v>
      </c>
      <c r="BD299" s="20">
        <v>648</v>
      </c>
      <c r="BE299" s="20">
        <v>402</v>
      </c>
      <c r="BF299" s="20">
        <f t="shared" si="186"/>
        <v>246</v>
      </c>
      <c r="BG299" s="20"/>
      <c r="BH299" s="5"/>
      <c r="BI299" s="29">
        <v>2017</v>
      </c>
      <c r="BJ299" s="38" t="s">
        <v>43</v>
      </c>
      <c r="BK299" s="35">
        <f>+Tabla8[[#This Row],[Trenes Puntuales]]/Tabla8[[#This Row],[Trenes Programados]]</f>
        <v>0.23699421965317918</v>
      </c>
      <c r="BL299" s="35">
        <f>+Tabla8[[#This Row],[Trenes Puntuales]]/Tabla8[[#This Row],[Trenes Corridos]]</f>
        <v>0.2404692082111437</v>
      </c>
      <c r="BM299" s="35">
        <f>+Tabla8[[#This Row],[Trenes Corridos]]/Tabla8[[#This Row],[Trenes Programados]]</f>
        <v>0.98554913294797686</v>
      </c>
      <c r="BN299" s="20">
        <v>346</v>
      </c>
      <c r="BO299" s="27">
        <f t="shared" si="187"/>
        <v>5</v>
      </c>
      <c r="BP299" s="20">
        <v>341</v>
      </c>
      <c r="BQ299" s="20">
        <v>82</v>
      </c>
      <c r="BR299" s="20">
        <f t="shared" si="188"/>
        <v>259</v>
      </c>
      <c r="BS299" s="29"/>
    </row>
    <row r="300" spans="1:71" s="3" customFormat="1" ht="12.75">
      <c r="A300" s="3">
        <v>2017</v>
      </c>
      <c r="B300" s="38" t="s">
        <v>44</v>
      </c>
      <c r="C300" s="25">
        <f>+MITRE[[#This Row],[Trenes Puntuales]]/MITRE[[#This Row],[Trenes Programados]]</f>
        <v>0.8862328822623774</v>
      </c>
      <c r="D300" s="25">
        <f>+MITRE[[#This Row],[Trenes Puntuales]]/MITRE[[#This Row],[Trenes Corridos]]</f>
        <v>0.91907563025210082</v>
      </c>
      <c r="E300" s="25">
        <f>+MITRE[[#This Row],[Trenes Corridos]]/MITRE[[#This Row],[Trenes Programados]]</f>
        <v>0.96426545660805441</v>
      </c>
      <c r="F300" s="27">
        <f t="shared" si="154"/>
        <v>12341</v>
      </c>
      <c r="G300" s="27">
        <f t="shared" si="155"/>
        <v>441</v>
      </c>
      <c r="H300" s="27">
        <f t="shared" si="156"/>
        <v>11900</v>
      </c>
      <c r="I300" s="27">
        <f t="shared" si="157"/>
        <v>10937</v>
      </c>
      <c r="J300" s="27">
        <f t="shared" si="158"/>
        <v>963</v>
      </c>
      <c r="K300" s="27"/>
      <c r="L300" s="4"/>
      <c r="M300" s="29">
        <v>2017</v>
      </c>
      <c r="N300" s="38" t="s">
        <v>44</v>
      </c>
      <c r="O300" s="35">
        <f>+Tabla4[[#This Row],[Trenes Puntuales]]/Tabla4[[#This Row],[Trenes Programados]]</f>
        <v>0.91356803797468356</v>
      </c>
      <c r="P300" s="35">
        <f>+Tabla4[[#This Row],[Trenes Puntuales]]/Tabla4[[#This Row],[Trenes Corridos]]</f>
        <v>0.93577795786061591</v>
      </c>
      <c r="Q300" s="35">
        <f>+Tabla4[[#This Row],[Trenes Corridos]]/Tabla4[[#This Row],[Trenes Programados]]</f>
        <v>0.97626582278481011</v>
      </c>
      <c r="R300" s="20">
        <v>5056</v>
      </c>
      <c r="S300" s="27">
        <f t="shared" si="179"/>
        <v>120</v>
      </c>
      <c r="T300" s="20">
        <v>4936</v>
      </c>
      <c r="U300" s="20">
        <v>4619</v>
      </c>
      <c r="V300" s="20">
        <f t="shared" si="180"/>
        <v>317</v>
      </c>
      <c r="W300" s="20"/>
      <c r="X300" s="5"/>
      <c r="Y300" s="29">
        <v>2017</v>
      </c>
      <c r="Z300" s="38" t="s">
        <v>44</v>
      </c>
      <c r="AA300" s="35">
        <f>+Tabla5[[#This Row],[Trenes Puntuales]]/Tabla5[[#This Row],[Trenes Programados]]</f>
        <v>0.94956353055286125</v>
      </c>
      <c r="AB300" s="35">
        <f>+Tabla5[[#This Row],[Trenes Puntuales]]/Tabla5[[#This Row],[Trenes Corridos]]</f>
        <v>0.95839451786588348</v>
      </c>
      <c r="AC300" s="35">
        <f>+Tabla5[[#This Row],[Trenes Corridos]]/Tabla5[[#This Row],[Trenes Programados]]</f>
        <v>0.99078564500484967</v>
      </c>
      <c r="AD300" s="20">
        <v>4124</v>
      </c>
      <c r="AE300" s="27">
        <f t="shared" si="181"/>
        <v>38</v>
      </c>
      <c r="AF300" s="20">
        <v>4086</v>
      </c>
      <c r="AG300" s="20">
        <v>3916</v>
      </c>
      <c r="AH300" s="20">
        <f t="shared" si="182"/>
        <v>170</v>
      </c>
      <c r="AI300" s="20"/>
      <c r="AJ300" s="5"/>
      <c r="AK300" s="29">
        <v>2017</v>
      </c>
      <c r="AL300" s="38" t="s">
        <v>44</v>
      </c>
      <c r="AM300" s="35">
        <f>+Tabla6[[#This Row],[Trenes Puntuales]]/Tabla6[[#This Row],[Trenes Programados]]</f>
        <v>0.93206256109481911</v>
      </c>
      <c r="AN300" s="35">
        <f>+Tabla6[[#This Row],[Trenes Puntuales]]/Tabla6[[#This Row],[Trenes Corridos]]</f>
        <v>0.96459281740010117</v>
      </c>
      <c r="AO300" s="35">
        <f>+Tabla6[[#This Row],[Trenes Corridos]]/Tabla6[[#This Row],[Trenes Programados]]</f>
        <v>0.96627565982404695</v>
      </c>
      <c r="AP300" s="20">
        <v>2046</v>
      </c>
      <c r="AQ300" s="27">
        <f t="shared" si="183"/>
        <v>69</v>
      </c>
      <c r="AR300" s="20">
        <v>1977</v>
      </c>
      <c r="AS300" s="20">
        <v>1907</v>
      </c>
      <c r="AT300" s="20">
        <f t="shared" si="184"/>
        <v>70</v>
      </c>
      <c r="AU300" s="20"/>
      <c r="AV300" s="5"/>
      <c r="AW300" s="29">
        <v>2017</v>
      </c>
      <c r="AX300" s="38" t="s">
        <v>44</v>
      </c>
      <c r="AY300" s="35">
        <f>+MIT_Vic_Cap[[#This Row],[Trenes Puntuales]]/MIT_Vic_Cap[[#This Row],[Trenes Programados]]</f>
        <v>0.4331983805668016</v>
      </c>
      <c r="AZ300" s="35">
        <f>+MIT_Vic_Cap[[#This Row],[Trenes Puntuales]]/MIT_Vic_Cap[[#This Row],[Trenes Corridos]]</f>
        <v>0.60795454545454541</v>
      </c>
      <c r="BA300" s="35">
        <f>+MIT_Vic_Cap[[#This Row],[Trenes Corridos]]/MIT_Vic_Cap[[#This Row],[Trenes Programados]]</f>
        <v>0.71255060728744934</v>
      </c>
      <c r="BB300" s="20">
        <v>741</v>
      </c>
      <c r="BC300" s="27">
        <f t="shared" si="185"/>
        <v>213</v>
      </c>
      <c r="BD300" s="20">
        <v>528</v>
      </c>
      <c r="BE300" s="20">
        <v>321</v>
      </c>
      <c r="BF300" s="20">
        <f t="shared" si="186"/>
        <v>207</v>
      </c>
      <c r="BG300" s="20"/>
      <c r="BH300" s="5"/>
      <c r="BI300" s="29">
        <v>2017</v>
      </c>
      <c r="BJ300" s="38" t="s">
        <v>44</v>
      </c>
      <c r="BK300" s="35">
        <f>+Tabla8[[#This Row],[Trenes Puntuales]]/Tabla8[[#This Row],[Trenes Programados]]</f>
        <v>0.46524064171122997</v>
      </c>
      <c r="BL300" s="35">
        <f>+Tabla8[[#This Row],[Trenes Puntuales]]/Tabla8[[#This Row],[Trenes Corridos]]</f>
        <v>0.46648793565683644</v>
      </c>
      <c r="BM300" s="35">
        <f>+Tabla8[[#This Row],[Trenes Corridos]]/Tabla8[[#This Row],[Trenes Programados]]</f>
        <v>0.99732620320855614</v>
      </c>
      <c r="BN300" s="20">
        <v>374</v>
      </c>
      <c r="BO300" s="27">
        <f t="shared" si="187"/>
        <v>1</v>
      </c>
      <c r="BP300" s="20">
        <v>373</v>
      </c>
      <c r="BQ300" s="20">
        <v>174</v>
      </c>
      <c r="BR300" s="20">
        <f t="shared" si="188"/>
        <v>199</v>
      </c>
      <c r="BS300" s="29"/>
    </row>
    <row r="301" spans="1:71" s="3" customFormat="1" ht="12.75">
      <c r="A301" s="3">
        <v>2017</v>
      </c>
      <c r="B301" s="38" t="s">
        <v>45</v>
      </c>
      <c r="C301" s="25">
        <f>+MITRE[[#This Row],[Trenes Puntuales]]/MITRE[[#This Row],[Trenes Programados]]</f>
        <v>0.89546954212601593</v>
      </c>
      <c r="D301" s="25">
        <f>+MITRE[[#This Row],[Trenes Puntuales]]/MITRE[[#This Row],[Trenes Corridos]]</f>
        <v>0.90892755043698437</v>
      </c>
      <c r="E301" s="25">
        <f>+MITRE[[#This Row],[Trenes Corridos]]/MITRE[[#This Row],[Trenes Programados]]</f>
        <v>0.98519353021646416</v>
      </c>
      <c r="F301" s="27">
        <f t="shared" si="154"/>
        <v>12427</v>
      </c>
      <c r="G301" s="27">
        <f t="shared" si="155"/>
        <v>184</v>
      </c>
      <c r="H301" s="27">
        <f t="shared" si="156"/>
        <v>12243</v>
      </c>
      <c r="I301" s="27">
        <f t="shared" si="157"/>
        <v>11128</v>
      </c>
      <c r="J301" s="27">
        <f t="shared" si="158"/>
        <v>1115</v>
      </c>
      <c r="K301" s="27"/>
      <c r="L301" s="4"/>
      <c r="M301" s="29">
        <v>2017</v>
      </c>
      <c r="N301" s="38" t="s">
        <v>45</v>
      </c>
      <c r="O301" s="35">
        <f>+Tabla4[[#This Row],[Trenes Puntuales]]/Tabla4[[#This Row],[Trenes Programados]]</f>
        <v>0.92974882260596547</v>
      </c>
      <c r="P301" s="35">
        <f>+Tabla4[[#This Row],[Trenes Puntuales]]/Tabla4[[#This Row],[Trenes Corridos]]</f>
        <v>0.94251044360453551</v>
      </c>
      <c r="Q301" s="35">
        <f>+Tabla4[[#This Row],[Trenes Corridos]]/Tabla4[[#This Row],[Trenes Programados]]</f>
        <v>0.9864599686028257</v>
      </c>
      <c r="R301" s="20">
        <v>5096</v>
      </c>
      <c r="S301" s="27">
        <f t="shared" si="179"/>
        <v>69</v>
      </c>
      <c r="T301" s="20">
        <v>5027</v>
      </c>
      <c r="U301" s="20">
        <v>4738</v>
      </c>
      <c r="V301" s="20">
        <f t="shared" si="180"/>
        <v>289</v>
      </c>
      <c r="W301" s="20"/>
      <c r="X301" s="5"/>
      <c r="Y301" s="29">
        <v>2017</v>
      </c>
      <c r="Z301" s="38" t="s">
        <v>45</v>
      </c>
      <c r="AA301" s="35">
        <f>+Tabla5[[#This Row],[Trenes Puntuales]]/Tabla5[[#This Row],[Trenes Programados]]</f>
        <v>0.92640692640692646</v>
      </c>
      <c r="AB301" s="35">
        <f>+Tabla5[[#This Row],[Trenes Puntuales]]/Tabla5[[#This Row],[Trenes Corridos]]</f>
        <v>0.93495145631067966</v>
      </c>
      <c r="AC301" s="35">
        <f>+Tabla5[[#This Row],[Trenes Corridos]]/Tabla5[[#This Row],[Trenes Programados]]</f>
        <v>0.99086099086099089</v>
      </c>
      <c r="AD301" s="20">
        <v>4158</v>
      </c>
      <c r="AE301" s="27">
        <f t="shared" si="181"/>
        <v>38</v>
      </c>
      <c r="AF301" s="20">
        <v>4120</v>
      </c>
      <c r="AG301" s="20">
        <v>3852</v>
      </c>
      <c r="AH301" s="20">
        <f t="shared" si="182"/>
        <v>268</v>
      </c>
      <c r="AI301" s="20"/>
      <c r="AJ301" s="5"/>
      <c r="AK301" s="29">
        <v>2017</v>
      </c>
      <c r="AL301" s="38" t="s">
        <v>45</v>
      </c>
      <c r="AM301" s="35">
        <f>+Tabla6[[#This Row],[Trenes Puntuales]]/Tabla6[[#This Row],[Trenes Programados]]</f>
        <v>0.91788856304985333</v>
      </c>
      <c r="AN301" s="35">
        <f>+Tabla6[[#This Row],[Trenes Puntuales]]/Tabla6[[#This Row],[Trenes Corridos]]</f>
        <v>0.92330383480825962</v>
      </c>
      <c r="AO301" s="35">
        <f>+Tabla6[[#This Row],[Trenes Corridos]]/Tabla6[[#This Row],[Trenes Programados]]</f>
        <v>0.99413489736070382</v>
      </c>
      <c r="AP301" s="20">
        <v>2046</v>
      </c>
      <c r="AQ301" s="27">
        <f t="shared" si="183"/>
        <v>12</v>
      </c>
      <c r="AR301" s="20">
        <v>2034</v>
      </c>
      <c r="AS301" s="20">
        <v>1878</v>
      </c>
      <c r="AT301" s="20">
        <f t="shared" si="184"/>
        <v>156</v>
      </c>
      <c r="AU301" s="20"/>
      <c r="AV301" s="5"/>
      <c r="AW301" s="29">
        <v>2017</v>
      </c>
      <c r="AX301" s="38" t="s">
        <v>45</v>
      </c>
      <c r="AY301" s="35">
        <f>+MIT_Vic_Cap[[#This Row],[Trenes Puntuales]]/MIT_Vic_Cap[[#This Row],[Trenes Programados]]</f>
        <v>0.60776439089692103</v>
      </c>
      <c r="AZ301" s="35">
        <f>+MIT_Vic_Cap[[#This Row],[Trenes Puntuales]]/MIT_Vic_Cap[[#This Row],[Trenes Corridos]]</f>
        <v>0.65797101449275364</v>
      </c>
      <c r="BA301" s="35">
        <f>+MIT_Vic_Cap[[#This Row],[Trenes Corridos]]/MIT_Vic_Cap[[#This Row],[Trenes Programados]]</f>
        <v>0.92369477911646591</v>
      </c>
      <c r="BB301" s="20">
        <v>747</v>
      </c>
      <c r="BC301" s="27">
        <f t="shared" si="185"/>
        <v>57</v>
      </c>
      <c r="BD301" s="20">
        <v>690</v>
      </c>
      <c r="BE301" s="20">
        <v>454</v>
      </c>
      <c r="BF301" s="20">
        <f t="shared" si="186"/>
        <v>236</v>
      </c>
      <c r="BG301" s="20"/>
      <c r="BH301" s="5"/>
      <c r="BI301" s="29">
        <v>2017</v>
      </c>
      <c r="BJ301" s="38" t="s">
        <v>45</v>
      </c>
      <c r="BK301" s="35">
        <f>+Tabla8[[#This Row],[Trenes Puntuales]]/Tabla8[[#This Row],[Trenes Programados]]</f>
        <v>0.54210526315789476</v>
      </c>
      <c r="BL301" s="35">
        <f>+Tabla8[[#This Row],[Trenes Puntuales]]/Tabla8[[#This Row],[Trenes Corridos]]</f>
        <v>0.55376344086021501</v>
      </c>
      <c r="BM301" s="35">
        <f>+Tabla8[[#This Row],[Trenes Corridos]]/Tabla8[[#This Row],[Trenes Programados]]</f>
        <v>0.97894736842105268</v>
      </c>
      <c r="BN301" s="20">
        <v>380</v>
      </c>
      <c r="BO301" s="27">
        <f t="shared" si="187"/>
        <v>8</v>
      </c>
      <c r="BP301" s="20">
        <v>372</v>
      </c>
      <c r="BQ301" s="20">
        <v>206</v>
      </c>
      <c r="BR301" s="20">
        <f t="shared" si="188"/>
        <v>166</v>
      </c>
      <c r="BS301" s="29"/>
    </row>
    <row r="302" spans="1:71" s="3" customFormat="1" ht="12.75">
      <c r="A302" s="3">
        <v>2017</v>
      </c>
      <c r="B302" s="38" t="s">
        <v>46</v>
      </c>
      <c r="C302" s="25">
        <f>+MITRE[[#This Row],[Trenes Puntuales]]/MITRE[[#This Row],[Trenes Programados]]</f>
        <v>0.87402099650058329</v>
      </c>
      <c r="D302" s="25">
        <f>+MITRE[[#This Row],[Trenes Puntuales]]/MITRE[[#This Row],[Trenes Corridos]]</f>
        <v>0.90135762158446464</v>
      </c>
      <c r="E302" s="25">
        <f>+MITRE[[#This Row],[Trenes Corridos]]/MITRE[[#This Row],[Trenes Programados]]</f>
        <v>0.96967172137977009</v>
      </c>
      <c r="F302" s="27">
        <f t="shared" si="154"/>
        <v>12002</v>
      </c>
      <c r="G302" s="27">
        <f t="shared" si="155"/>
        <v>364</v>
      </c>
      <c r="H302" s="27">
        <f t="shared" si="156"/>
        <v>11638</v>
      </c>
      <c r="I302" s="27">
        <f t="shared" si="157"/>
        <v>10490</v>
      </c>
      <c r="J302" s="27">
        <f t="shared" si="158"/>
        <v>1148</v>
      </c>
      <c r="K302" s="27"/>
      <c r="L302" s="4"/>
      <c r="M302" s="29">
        <v>2017</v>
      </c>
      <c r="N302" s="38" t="s">
        <v>46</v>
      </c>
      <c r="O302" s="35">
        <f>+Tabla4[[#This Row],[Trenes Puntuales]]/Tabla4[[#This Row],[Trenes Programados]]</f>
        <v>0.92296747967479675</v>
      </c>
      <c r="P302" s="35">
        <f>+Tabla4[[#This Row],[Trenes Puntuales]]/Tabla4[[#This Row],[Trenes Corridos]]</f>
        <v>0.95199161425576517</v>
      </c>
      <c r="Q302" s="35">
        <f>+Tabla4[[#This Row],[Trenes Corridos]]/Tabla4[[#This Row],[Trenes Programados]]</f>
        <v>0.96951219512195119</v>
      </c>
      <c r="R302" s="20">
        <v>4920</v>
      </c>
      <c r="S302" s="27">
        <f t="shared" si="179"/>
        <v>150</v>
      </c>
      <c r="T302" s="20">
        <v>4770</v>
      </c>
      <c r="U302" s="20">
        <v>4541</v>
      </c>
      <c r="V302" s="20">
        <f t="shared" si="180"/>
        <v>229</v>
      </c>
      <c r="W302" s="20"/>
      <c r="X302" s="5"/>
      <c r="Y302" s="29">
        <v>2017</v>
      </c>
      <c r="Z302" s="38" t="s">
        <v>46</v>
      </c>
      <c r="AA302" s="35">
        <f>+Tabla5[[#This Row],[Trenes Puntuales]]/Tabla5[[#This Row],[Trenes Programados]]</f>
        <v>0.87717987045341306</v>
      </c>
      <c r="AB302" s="35">
        <f>+Tabla5[[#This Row],[Trenes Puntuales]]/Tabla5[[#This Row],[Trenes Corridos]]</f>
        <v>0.90583997941857475</v>
      </c>
      <c r="AC302" s="35">
        <f>+Tabla5[[#This Row],[Trenes Corridos]]/Tabla5[[#This Row],[Trenes Programados]]</f>
        <v>0.96836073741903339</v>
      </c>
      <c r="AD302" s="20">
        <v>4014</v>
      </c>
      <c r="AE302" s="27">
        <f t="shared" si="181"/>
        <v>127</v>
      </c>
      <c r="AF302" s="20">
        <v>3887</v>
      </c>
      <c r="AG302" s="20">
        <v>3521</v>
      </c>
      <c r="AH302" s="20">
        <f t="shared" si="182"/>
        <v>366</v>
      </c>
      <c r="AI302" s="20"/>
      <c r="AJ302" s="5"/>
      <c r="AK302" s="29">
        <v>2017</v>
      </c>
      <c r="AL302" s="38" t="s">
        <v>46</v>
      </c>
      <c r="AM302" s="35">
        <f>+Tabla6[[#This Row],[Trenes Puntuales]]/Tabla6[[#This Row],[Trenes Programados]]</f>
        <v>0.88838383838383839</v>
      </c>
      <c r="AN302" s="35">
        <f>+Tabla6[[#This Row],[Trenes Puntuales]]/Tabla6[[#This Row],[Trenes Corridos]]</f>
        <v>0.90763673890608876</v>
      </c>
      <c r="AO302" s="35">
        <f>+Tabla6[[#This Row],[Trenes Corridos]]/Tabla6[[#This Row],[Trenes Programados]]</f>
        <v>0.97878787878787876</v>
      </c>
      <c r="AP302" s="20">
        <v>1980</v>
      </c>
      <c r="AQ302" s="27">
        <f t="shared" si="183"/>
        <v>42</v>
      </c>
      <c r="AR302" s="20">
        <v>1938</v>
      </c>
      <c r="AS302" s="20">
        <v>1759</v>
      </c>
      <c r="AT302" s="20">
        <f t="shared" si="184"/>
        <v>179</v>
      </c>
      <c r="AU302" s="20"/>
      <c r="AV302" s="5"/>
      <c r="AW302" s="29">
        <v>2017</v>
      </c>
      <c r="AX302" s="38" t="s">
        <v>46</v>
      </c>
      <c r="AY302" s="35">
        <f>+MIT_Vic_Cap[[#This Row],[Trenes Puntuales]]/MIT_Vic_Cap[[#This Row],[Trenes Programados]]</f>
        <v>0.52354570637119113</v>
      </c>
      <c r="AZ302" s="35">
        <f>+MIT_Vic_Cap[[#This Row],[Trenes Puntuales]]/MIT_Vic_Cap[[#This Row],[Trenes Corridos]]</f>
        <v>0.55670103092783507</v>
      </c>
      <c r="BA302" s="35">
        <f>+MIT_Vic_Cap[[#This Row],[Trenes Corridos]]/MIT_Vic_Cap[[#This Row],[Trenes Programados]]</f>
        <v>0.94044321329639891</v>
      </c>
      <c r="BB302" s="20">
        <v>722</v>
      </c>
      <c r="BC302" s="27">
        <f t="shared" si="185"/>
        <v>43</v>
      </c>
      <c r="BD302" s="20">
        <v>679</v>
      </c>
      <c r="BE302" s="20">
        <v>378</v>
      </c>
      <c r="BF302" s="20">
        <f t="shared" si="186"/>
        <v>301</v>
      </c>
      <c r="BG302" s="20"/>
      <c r="BH302" s="5"/>
      <c r="BI302" s="29">
        <v>2017</v>
      </c>
      <c r="BJ302" s="38" t="s">
        <v>46</v>
      </c>
      <c r="BK302" s="35">
        <f>+Tabla8[[#This Row],[Trenes Puntuales]]/Tabla8[[#This Row],[Trenes Programados]]</f>
        <v>0.79508196721311475</v>
      </c>
      <c r="BL302" s="35">
        <f>+Tabla8[[#This Row],[Trenes Puntuales]]/Tabla8[[#This Row],[Trenes Corridos]]</f>
        <v>0.7994505494505495</v>
      </c>
      <c r="BM302" s="35">
        <f>+Tabla8[[#This Row],[Trenes Corridos]]/Tabla8[[#This Row],[Trenes Programados]]</f>
        <v>0.99453551912568305</v>
      </c>
      <c r="BN302" s="20">
        <v>366</v>
      </c>
      <c r="BO302" s="27">
        <f t="shared" si="187"/>
        <v>2</v>
      </c>
      <c r="BP302" s="20">
        <v>364</v>
      </c>
      <c r="BQ302" s="20">
        <v>291</v>
      </c>
      <c r="BR302" s="20">
        <f t="shared" si="188"/>
        <v>73</v>
      </c>
      <c r="BS302" s="29"/>
    </row>
    <row r="303" spans="1:71" s="3" customFormat="1" ht="12.75">
      <c r="A303" s="3">
        <v>2017</v>
      </c>
      <c r="B303" s="38" t="s">
        <v>47</v>
      </c>
      <c r="C303" s="25">
        <f>+MITRE[[#This Row],[Trenes Puntuales]]/MITRE[[#This Row],[Trenes Programados]]</f>
        <v>0.86920583468395463</v>
      </c>
      <c r="D303" s="25">
        <f>+MITRE[[#This Row],[Trenes Puntuales]]/MITRE[[#This Row],[Trenes Corridos]]</f>
        <v>0.89937950695958413</v>
      </c>
      <c r="E303" s="25">
        <f>+MITRE[[#This Row],[Trenes Corridos]]/MITRE[[#This Row],[Trenes Programados]]</f>
        <v>0.96645056726094003</v>
      </c>
      <c r="F303" s="27">
        <f t="shared" si="154"/>
        <v>12340</v>
      </c>
      <c r="G303" s="27">
        <f t="shared" si="155"/>
        <v>414</v>
      </c>
      <c r="H303" s="27">
        <f t="shared" si="156"/>
        <v>11926</v>
      </c>
      <c r="I303" s="27">
        <f t="shared" si="157"/>
        <v>10726</v>
      </c>
      <c r="J303" s="27">
        <f t="shared" si="158"/>
        <v>1200</v>
      </c>
      <c r="K303" s="27"/>
      <c r="L303" s="4"/>
      <c r="M303" s="29">
        <v>2017</v>
      </c>
      <c r="N303" s="38" t="s">
        <v>47</v>
      </c>
      <c r="O303" s="35">
        <f>+Tabla4[[#This Row],[Trenes Puntuales]]/Tabla4[[#This Row],[Trenes Programados]]</f>
        <v>0.87381329113924056</v>
      </c>
      <c r="P303" s="35">
        <f>+Tabla4[[#This Row],[Trenes Puntuales]]/Tabla4[[#This Row],[Trenes Corridos]]</f>
        <v>0.92041666666666666</v>
      </c>
      <c r="Q303" s="35">
        <f>+Tabla4[[#This Row],[Trenes Corridos]]/Tabla4[[#This Row],[Trenes Programados]]</f>
        <v>0.94936708860759489</v>
      </c>
      <c r="R303" s="20">
        <v>5056</v>
      </c>
      <c r="S303" s="27">
        <f t="shared" si="179"/>
        <v>256</v>
      </c>
      <c r="T303" s="20">
        <v>4800</v>
      </c>
      <c r="U303" s="20">
        <v>4418</v>
      </c>
      <c r="V303" s="20">
        <f t="shared" si="180"/>
        <v>382</v>
      </c>
      <c r="W303" s="20"/>
      <c r="X303" s="5"/>
      <c r="Y303" s="29">
        <v>2017</v>
      </c>
      <c r="Z303" s="38" t="s">
        <v>47</v>
      </c>
      <c r="AA303" s="35">
        <f>+Tabla5[[#This Row],[Trenes Puntuales]]/Tabla5[[#This Row],[Trenes Programados]]</f>
        <v>0.93186226964112517</v>
      </c>
      <c r="AB303" s="35">
        <f>+Tabla5[[#This Row],[Trenes Puntuales]]/Tabla5[[#This Row],[Trenes Corridos]]</f>
        <v>0.9463186407288845</v>
      </c>
      <c r="AC303" s="35">
        <f>+Tabla5[[#This Row],[Trenes Corridos]]/Tabla5[[#This Row],[Trenes Programados]]</f>
        <v>0.98472356935014549</v>
      </c>
      <c r="AD303" s="20">
        <v>4124</v>
      </c>
      <c r="AE303" s="27">
        <f t="shared" si="181"/>
        <v>63</v>
      </c>
      <c r="AF303" s="20">
        <v>4061</v>
      </c>
      <c r="AG303" s="20">
        <v>3843</v>
      </c>
      <c r="AH303" s="20">
        <f t="shared" si="182"/>
        <v>218</v>
      </c>
      <c r="AI303" s="20"/>
      <c r="AJ303" s="5"/>
      <c r="AK303" s="29">
        <v>2017</v>
      </c>
      <c r="AL303" s="38" t="s">
        <v>47</v>
      </c>
      <c r="AM303" s="35">
        <f>+Tabla6[[#This Row],[Trenes Puntuales]]/Tabla6[[#This Row],[Trenes Programados]]</f>
        <v>0.89247311827956988</v>
      </c>
      <c r="AN303" s="35">
        <f>+Tabla6[[#This Row],[Trenes Puntuales]]/Tabla6[[#This Row],[Trenes Corridos]]</f>
        <v>0.91163255117324016</v>
      </c>
      <c r="AO303" s="35">
        <f>+Tabla6[[#This Row],[Trenes Corridos]]/Tabla6[[#This Row],[Trenes Programados]]</f>
        <v>0.97898338220918868</v>
      </c>
      <c r="AP303" s="20">
        <v>2046</v>
      </c>
      <c r="AQ303" s="27">
        <f t="shared" si="183"/>
        <v>43</v>
      </c>
      <c r="AR303" s="20">
        <v>2003</v>
      </c>
      <c r="AS303" s="20">
        <v>1826</v>
      </c>
      <c r="AT303" s="20">
        <f t="shared" si="184"/>
        <v>177</v>
      </c>
      <c r="AU303" s="20"/>
      <c r="AV303" s="5"/>
      <c r="AW303" s="29">
        <v>2017</v>
      </c>
      <c r="AX303" s="38" t="s">
        <v>47</v>
      </c>
      <c r="AY303" s="35">
        <f>+MIT_Vic_Cap[[#This Row],[Trenes Puntuales]]/MIT_Vic_Cap[[#This Row],[Trenes Programados]]</f>
        <v>0.46486486486486489</v>
      </c>
      <c r="AZ303" s="35">
        <f>+MIT_Vic_Cap[[#This Row],[Trenes Puntuales]]/MIT_Vic_Cap[[#This Row],[Trenes Corridos]]</f>
        <v>0.49567723342939479</v>
      </c>
      <c r="BA303" s="35">
        <f>+MIT_Vic_Cap[[#This Row],[Trenes Corridos]]/MIT_Vic_Cap[[#This Row],[Trenes Programados]]</f>
        <v>0.93783783783783781</v>
      </c>
      <c r="BB303" s="20">
        <v>740</v>
      </c>
      <c r="BC303" s="27">
        <f t="shared" si="185"/>
        <v>46</v>
      </c>
      <c r="BD303" s="20">
        <v>694</v>
      </c>
      <c r="BE303" s="20">
        <v>344</v>
      </c>
      <c r="BF303" s="20">
        <f t="shared" si="186"/>
        <v>350</v>
      </c>
      <c r="BG303" s="20"/>
      <c r="BH303" s="5"/>
      <c r="BI303" s="29">
        <v>2017</v>
      </c>
      <c r="BJ303" s="38" t="s">
        <v>47</v>
      </c>
      <c r="BK303" s="35">
        <f>+Tabla8[[#This Row],[Trenes Puntuales]]/Tabla8[[#This Row],[Trenes Programados]]</f>
        <v>0.78877005347593587</v>
      </c>
      <c r="BL303" s="35">
        <f>+Tabla8[[#This Row],[Trenes Puntuales]]/Tabla8[[#This Row],[Trenes Corridos]]</f>
        <v>0.80163043478260865</v>
      </c>
      <c r="BM303" s="35">
        <f>+Tabla8[[#This Row],[Trenes Corridos]]/Tabla8[[#This Row],[Trenes Programados]]</f>
        <v>0.98395721925133695</v>
      </c>
      <c r="BN303" s="20">
        <v>374</v>
      </c>
      <c r="BO303" s="27">
        <f t="shared" si="187"/>
        <v>6</v>
      </c>
      <c r="BP303" s="20">
        <v>368</v>
      </c>
      <c r="BQ303" s="20">
        <v>295</v>
      </c>
      <c r="BR303" s="20">
        <f t="shared" si="188"/>
        <v>73</v>
      </c>
      <c r="BS303" s="29"/>
    </row>
    <row r="304" spans="1:71" s="3" customFormat="1" ht="12.75">
      <c r="A304" s="3">
        <v>2017</v>
      </c>
      <c r="B304" s="38" t="s">
        <v>48</v>
      </c>
      <c r="C304" s="25">
        <f>+MITRE[[#This Row],[Trenes Puntuales]]/MITRE[[#This Row],[Trenes Programados]]</f>
        <v>0.81634863761353216</v>
      </c>
      <c r="D304" s="25">
        <f>+MITRE[[#This Row],[Trenes Puntuales]]/MITRE[[#This Row],[Trenes Corridos]]</f>
        <v>0.84954908081859171</v>
      </c>
      <c r="E304" s="25">
        <f>+MITRE[[#This Row],[Trenes Corridos]]/MITRE[[#This Row],[Trenes Programados]]</f>
        <v>0.96091992333972165</v>
      </c>
      <c r="F304" s="27">
        <f t="shared" si="154"/>
        <v>12001</v>
      </c>
      <c r="G304" s="27">
        <f t="shared" si="155"/>
        <v>469</v>
      </c>
      <c r="H304" s="27">
        <f t="shared" si="156"/>
        <v>11532</v>
      </c>
      <c r="I304" s="27">
        <f t="shared" si="157"/>
        <v>9797</v>
      </c>
      <c r="J304" s="27">
        <f t="shared" si="158"/>
        <v>1735</v>
      </c>
      <c r="K304" s="27"/>
      <c r="L304" s="4"/>
      <c r="M304" s="29">
        <v>2017</v>
      </c>
      <c r="N304" s="38" t="s">
        <v>48</v>
      </c>
      <c r="O304" s="35">
        <f>+Tabla4[[#This Row],[Trenes Puntuales]]/Tabla4[[#This Row],[Trenes Programados]]</f>
        <v>0.7943089430894309</v>
      </c>
      <c r="P304" s="35">
        <f>+Tabla4[[#This Row],[Trenes Puntuales]]/Tabla4[[#This Row],[Trenes Corridos]]</f>
        <v>0.84570439298853062</v>
      </c>
      <c r="Q304" s="35">
        <f>+Tabla4[[#This Row],[Trenes Corridos]]/Tabla4[[#This Row],[Trenes Programados]]</f>
        <v>0.93922764227642275</v>
      </c>
      <c r="R304" s="20">
        <v>4920</v>
      </c>
      <c r="S304" s="27">
        <f t="shared" si="179"/>
        <v>299</v>
      </c>
      <c r="T304" s="20">
        <v>4621</v>
      </c>
      <c r="U304" s="20">
        <v>3908</v>
      </c>
      <c r="V304" s="20">
        <f t="shared" si="180"/>
        <v>713</v>
      </c>
      <c r="W304" s="20"/>
      <c r="X304" s="5"/>
      <c r="Y304" s="29">
        <v>2017</v>
      </c>
      <c r="Z304" s="38" t="s">
        <v>48</v>
      </c>
      <c r="AA304" s="35">
        <f>+Tabla5[[#This Row],[Trenes Puntuales]]/Tabla5[[#This Row],[Trenes Programados]]</f>
        <v>0.9063278525161933</v>
      </c>
      <c r="AB304" s="35">
        <f>+Tabla5[[#This Row],[Trenes Puntuales]]/Tabla5[[#This Row],[Trenes Corridos]]</f>
        <v>0.91915108640727639</v>
      </c>
      <c r="AC304" s="35">
        <f>+Tabla5[[#This Row],[Trenes Corridos]]/Tabla5[[#This Row],[Trenes Programados]]</f>
        <v>0.9860488290981565</v>
      </c>
      <c r="AD304" s="20">
        <v>4014</v>
      </c>
      <c r="AE304" s="27">
        <f t="shared" si="181"/>
        <v>56</v>
      </c>
      <c r="AF304" s="20">
        <v>3958</v>
      </c>
      <c r="AG304" s="20">
        <v>3638</v>
      </c>
      <c r="AH304" s="20">
        <f t="shared" si="182"/>
        <v>320</v>
      </c>
      <c r="AI304" s="20"/>
      <c r="AJ304" s="5"/>
      <c r="AK304" s="29">
        <v>2017</v>
      </c>
      <c r="AL304" s="38" t="s">
        <v>48</v>
      </c>
      <c r="AM304" s="35">
        <f>+Tabla6[[#This Row],[Trenes Puntuales]]/Tabla6[[#This Row],[Trenes Programados]]</f>
        <v>0.8545454545454545</v>
      </c>
      <c r="AN304" s="35">
        <f>+Tabla6[[#This Row],[Trenes Puntuales]]/Tabla6[[#This Row],[Trenes Corridos]]</f>
        <v>0.86547314578005119</v>
      </c>
      <c r="AO304" s="35">
        <f>+Tabla6[[#This Row],[Trenes Corridos]]/Tabla6[[#This Row],[Trenes Programados]]</f>
        <v>0.98737373737373735</v>
      </c>
      <c r="AP304" s="20">
        <v>1980</v>
      </c>
      <c r="AQ304" s="27">
        <f t="shared" si="183"/>
        <v>25</v>
      </c>
      <c r="AR304" s="20">
        <v>1955</v>
      </c>
      <c r="AS304" s="20">
        <v>1692</v>
      </c>
      <c r="AT304" s="20">
        <f t="shared" si="184"/>
        <v>263</v>
      </c>
      <c r="AU304" s="20"/>
      <c r="AV304" s="5"/>
      <c r="AW304" s="29">
        <v>2017</v>
      </c>
      <c r="AX304" s="38" t="s">
        <v>48</v>
      </c>
      <c r="AY304" s="35">
        <f>+MIT_Vic_Cap[[#This Row],[Trenes Puntuales]]/MIT_Vic_Cap[[#This Row],[Trenes Programados]]</f>
        <v>0.3841886269070735</v>
      </c>
      <c r="AZ304" s="35">
        <f>+MIT_Vic_Cap[[#This Row],[Trenes Puntuales]]/MIT_Vic_Cap[[#This Row],[Trenes Corridos]]</f>
        <v>0.43146417445482865</v>
      </c>
      <c r="BA304" s="35">
        <f>+MIT_Vic_Cap[[#This Row],[Trenes Corridos]]/MIT_Vic_Cap[[#This Row],[Trenes Programados]]</f>
        <v>0.89042995839112349</v>
      </c>
      <c r="BB304" s="20">
        <v>721</v>
      </c>
      <c r="BC304" s="27">
        <f t="shared" si="185"/>
        <v>79</v>
      </c>
      <c r="BD304" s="20">
        <v>642</v>
      </c>
      <c r="BE304" s="20">
        <v>277</v>
      </c>
      <c r="BF304" s="20">
        <f t="shared" si="186"/>
        <v>365</v>
      </c>
      <c r="BG304" s="20"/>
      <c r="BH304" s="5"/>
      <c r="BI304" s="29">
        <v>2017</v>
      </c>
      <c r="BJ304" s="38" t="s">
        <v>48</v>
      </c>
      <c r="BK304" s="35">
        <f>+Tabla8[[#This Row],[Trenes Puntuales]]/Tabla8[[#This Row],[Trenes Programados]]</f>
        <v>0.77049180327868849</v>
      </c>
      <c r="BL304" s="35">
        <f>+Tabla8[[#This Row],[Trenes Puntuales]]/Tabla8[[#This Row],[Trenes Corridos]]</f>
        <v>0.7921348314606742</v>
      </c>
      <c r="BM304" s="35">
        <f>+Tabla8[[#This Row],[Trenes Corridos]]/Tabla8[[#This Row],[Trenes Programados]]</f>
        <v>0.97267759562841527</v>
      </c>
      <c r="BN304" s="20">
        <v>366</v>
      </c>
      <c r="BO304" s="27">
        <f t="shared" si="187"/>
        <v>10</v>
      </c>
      <c r="BP304" s="20">
        <v>356</v>
      </c>
      <c r="BQ304" s="20">
        <v>282</v>
      </c>
      <c r="BR304" s="20">
        <f t="shared" si="188"/>
        <v>74</v>
      </c>
      <c r="BS304" s="29"/>
    </row>
    <row r="305" spans="1:71" s="3" customFormat="1" ht="12.75">
      <c r="A305" s="3">
        <v>2017</v>
      </c>
      <c r="B305" s="38" t="s">
        <v>49</v>
      </c>
      <c r="C305" s="25">
        <f>+MITRE[[#This Row],[Trenes Puntuales]]/MITRE[[#This Row],[Trenes Programados]]</f>
        <v>0.83003082342580359</v>
      </c>
      <c r="D305" s="25">
        <f>+MITRE[[#This Row],[Trenes Puntuales]]/MITRE[[#This Row],[Trenes Corridos]]</f>
        <v>0.87479116391312417</v>
      </c>
      <c r="E305" s="25">
        <f>+MITRE[[#This Row],[Trenes Corridos]]/MITRE[[#This Row],[Trenes Programados]]</f>
        <v>0.94883311316600616</v>
      </c>
      <c r="F305" s="27">
        <f t="shared" si="154"/>
        <v>11355</v>
      </c>
      <c r="G305" s="27">
        <f t="shared" si="155"/>
        <v>581</v>
      </c>
      <c r="H305" s="27">
        <f t="shared" si="156"/>
        <v>10774</v>
      </c>
      <c r="I305" s="27">
        <f t="shared" si="157"/>
        <v>9425</v>
      </c>
      <c r="J305" s="27">
        <f t="shared" si="158"/>
        <v>1349</v>
      </c>
      <c r="K305" s="27"/>
      <c r="L305" s="4"/>
      <c r="M305" s="29">
        <v>2017</v>
      </c>
      <c r="N305" s="38" t="s">
        <v>49</v>
      </c>
      <c r="O305" s="35">
        <f>+Tabla4[[#This Row],[Trenes Puntuales]]/Tabla4[[#This Row],[Trenes Programados]]</f>
        <v>0.84731084776663623</v>
      </c>
      <c r="P305" s="35">
        <f>+Tabla4[[#This Row],[Trenes Puntuales]]/Tabla4[[#This Row],[Trenes Corridos]]</f>
        <v>0.90771484375</v>
      </c>
      <c r="Q305" s="35">
        <f>+Tabla4[[#This Row],[Trenes Corridos]]/Tabla4[[#This Row],[Trenes Programados]]</f>
        <v>0.93345487693710116</v>
      </c>
      <c r="R305" s="20">
        <v>4388</v>
      </c>
      <c r="S305" s="27">
        <f t="shared" si="179"/>
        <v>292</v>
      </c>
      <c r="T305" s="20">
        <v>4096</v>
      </c>
      <c r="U305" s="20">
        <v>3718</v>
      </c>
      <c r="V305" s="20">
        <f t="shared" si="180"/>
        <v>378</v>
      </c>
      <c r="W305" s="20"/>
      <c r="X305" s="5"/>
      <c r="Y305" s="29">
        <v>2017</v>
      </c>
      <c r="Z305" s="38" t="s">
        <v>49</v>
      </c>
      <c r="AA305" s="35">
        <f>+Tabla5[[#This Row],[Trenes Puntuales]]/Tabla5[[#This Row],[Trenes Programados]]</f>
        <v>0.90057411273486432</v>
      </c>
      <c r="AB305" s="35">
        <f>+Tabla5[[#This Row],[Trenes Puntuales]]/Tabla5[[#This Row],[Trenes Corridos]]</f>
        <v>0.92470525187566988</v>
      </c>
      <c r="AC305" s="35">
        <f>+Tabla5[[#This Row],[Trenes Corridos]]/Tabla5[[#This Row],[Trenes Programados]]</f>
        <v>0.97390396659707723</v>
      </c>
      <c r="AD305" s="20">
        <v>3832</v>
      </c>
      <c r="AE305" s="27">
        <f t="shared" si="181"/>
        <v>100</v>
      </c>
      <c r="AF305" s="20">
        <v>3732</v>
      </c>
      <c r="AG305" s="20">
        <v>3451</v>
      </c>
      <c r="AH305" s="20">
        <f t="shared" si="182"/>
        <v>281</v>
      </c>
      <c r="AI305" s="20"/>
      <c r="AJ305" s="5"/>
      <c r="AK305" s="29">
        <v>2017</v>
      </c>
      <c r="AL305" s="38" t="s">
        <v>49</v>
      </c>
      <c r="AM305" s="35">
        <f>+Tabla6[[#This Row],[Trenes Puntuales]]/Tabla6[[#This Row],[Trenes Programados]]</f>
        <v>0.80107526881720426</v>
      </c>
      <c r="AN305" s="35">
        <f>+Tabla6[[#This Row],[Trenes Puntuales]]/Tabla6[[#This Row],[Trenes Corridos]]</f>
        <v>0.82610887096774188</v>
      </c>
      <c r="AO305" s="35">
        <f>+Tabla6[[#This Row],[Trenes Corridos]]/Tabla6[[#This Row],[Trenes Programados]]</f>
        <v>0.96969696969696972</v>
      </c>
      <c r="AP305" s="20">
        <v>2046</v>
      </c>
      <c r="AQ305" s="27">
        <f t="shared" si="183"/>
        <v>62</v>
      </c>
      <c r="AR305" s="20">
        <v>1984</v>
      </c>
      <c r="AS305" s="20">
        <v>1639</v>
      </c>
      <c r="AT305" s="20">
        <f t="shared" si="184"/>
        <v>345</v>
      </c>
      <c r="AU305" s="20"/>
      <c r="AV305" s="5"/>
      <c r="AW305" s="29">
        <v>2017</v>
      </c>
      <c r="AX305" s="38" t="s">
        <v>49</v>
      </c>
      <c r="AY305" s="35">
        <f>+MIT_Vic_Cap[[#This Row],[Trenes Puntuales]]/MIT_Vic_Cap[[#This Row],[Trenes Programados]]</f>
        <v>0.49381017881705641</v>
      </c>
      <c r="AZ305" s="35">
        <f>+MIT_Vic_Cap[[#This Row],[Trenes Puntuales]]/MIT_Vic_Cap[[#This Row],[Trenes Corridos]]</f>
        <v>0.58469055374592838</v>
      </c>
      <c r="BA305" s="35">
        <f>+MIT_Vic_Cap[[#This Row],[Trenes Corridos]]/MIT_Vic_Cap[[#This Row],[Trenes Programados]]</f>
        <v>0.84456671251719395</v>
      </c>
      <c r="BB305" s="20">
        <v>727</v>
      </c>
      <c r="BC305" s="27">
        <f t="shared" si="185"/>
        <v>113</v>
      </c>
      <c r="BD305" s="20">
        <v>614</v>
      </c>
      <c r="BE305" s="20">
        <v>359</v>
      </c>
      <c r="BF305" s="20">
        <f t="shared" si="186"/>
        <v>255</v>
      </c>
      <c r="BG305" s="20"/>
      <c r="BH305" s="5"/>
      <c r="BI305" s="29">
        <v>2017</v>
      </c>
      <c r="BJ305" s="38" t="s">
        <v>49</v>
      </c>
      <c r="BK305" s="35">
        <f>+Tabla8[[#This Row],[Trenes Puntuales]]/Tabla8[[#This Row],[Trenes Programados]]</f>
        <v>0.71270718232044195</v>
      </c>
      <c r="BL305" s="35">
        <f>+Tabla8[[#This Row],[Trenes Puntuales]]/Tabla8[[#This Row],[Trenes Corridos]]</f>
        <v>0.74137931034482762</v>
      </c>
      <c r="BM305" s="35">
        <f>+Tabla8[[#This Row],[Trenes Corridos]]/Tabla8[[#This Row],[Trenes Programados]]</f>
        <v>0.96132596685082872</v>
      </c>
      <c r="BN305" s="20">
        <v>362</v>
      </c>
      <c r="BO305" s="27">
        <f t="shared" si="187"/>
        <v>14</v>
      </c>
      <c r="BP305" s="20">
        <v>348</v>
      </c>
      <c r="BQ305" s="20">
        <v>258</v>
      </c>
      <c r="BR305" s="20">
        <f t="shared" si="188"/>
        <v>90</v>
      </c>
      <c r="BS305" s="29"/>
    </row>
    <row r="306" spans="1:71" s="3" customFormat="1" ht="12.75">
      <c r="A306" s="3">
        <v>2018</v>
      </c>
      <c r="B306" s="38" t="s">
        <v>38</v>
      </c>
      <c r="C306" s="25">
        <f>+MITRE[[#This Row],[Trenes Puntuales]]/MITRE[[#This Row],[Trenes Programados]]</f>
        <v>0.83643652561247217</v>
      </c>
      <c r="D306" s="25">
        <f>+MITRE[[#This Row],[Trenes Puntuales]]/MITRE[[#This Row],[Trenes Corridos]]</f>
        <v>0.92529811767024739</v>
      </c>
      <c r="E306" s="25">
        <f>+MITRE[[#This Row],[Trenes Corridos]]/MITRE[[#This Row],[Trenes Programados]]</f>
        <v>0.90396436525612467</v>
      </c>
      <c r="F306" s="27">
        <f t="shared" si="154"/>
        <v>11225</v>
      </c>
      <c r="G306" s="27">
        <f t="shared" si="155"/>
        <v>1078</v>
      </c>
      <c r="H306" s="27">
        <f t="shared" si="156"/>
        <v>10147</v>
      </c>
      <c r="I306" s="27">
        <f t="shared" si="157"/>
        <v>9389</v>
      </c>
      <c r="J306" s="27">
        <f t="shared" si="158"/>
        <v>758</v>
      </c>
      <c r="K306" s="27"/>
      <c r="L306" s="4"/>
      <c r="M306" s="29">
        <v>2018</v>
      </c>
      <c r="N306" s="38" t="s">
        <v>38</v>
      </c>
      <c r="O306" s="35">
        <f>+Tabla4[[#This Row],[Trenes Puntuales]]/Tabla4[[#This Row],[Trenes Programados]]</f>
        <v>0.8420551855375833</v>
      </c>
      <c r="P306" s="35">
        <f>+Tabla4[[#This Row],[Trenes Puntuales]]/Tabla4[[#This Row],[Trenes Corridos]]</f>
        <v>0.96933187294633083</v>
      </c>
      <c r="Q306" s="35">
        <f>+Tabla4[[#This Row],[Trenes Corridos]]/Tabla4[[#This Row],[Trenes Programados]]</f>
        <v>0.8686964795432921</v>
      </c>
      <c r="R306" s="20">
        <v>4204</v>
      </c>
      <c r="S306" s="27">
        <f t="shared" ref="S306:S317" si="189">R306-T306</f>
        <v>552</v>
      </c>
      <c r="T306" s="20">
        <v>3652</v>
      </c>
      <c r="U306" s="20">
        <v>3540</v>
      </c>
      <c r="V306" s="20">
        <f t="shared" ref="V306:V317" si="190">T306-U306</f>
        <v>112</v>
      </c>
      <c r="W306" s="20"/>
      <c r="X306" s="5"/>
      <c r="Y306" s="29">
        <v>2018</v>
      </c>
      <c r="Z306" s="38" t="s">
        <v>38</v>
      </c>
      <c r="AA306" s="35">
        <f>+Tabla5[[#This Row],[Trenes Puntuales]]/Tabla5[[#This Row],[Trenes Programados]]</f>
        <v>0.93483972674724125</v>
      </c>
      <c r="AB306" s="35">
        <f>+Tabla5[[#This Row],[Trenes Puntuales]]/Tabla5[[#This Row],[Trenes Corridos]]</f>
        <v>0.95133689839572189</v>
      </c>
      <c r="AC306" s="35">
        <f>+Tabla5[[#This Row],[Trenes Corridos]]/Tabla5[[#This Row],[Trenes Programados]]</f>
        <v>0.98265895953757221</v>
      </c>
      <c r="AD306" s="20">
        <v>3806</v>
      </c>
      <c r="AE306" s="27">
        <f t="shared" ref="AE306:AE317" si="191">AD306-AF306</f>
        <v>66</v>
      </c>
      <c r="AF306" s="20">
        <v>3740</v>
      </c>
      <c r="AG306" s="20">
        <v>3558</v>
      </c>
      <c r="AH306" s="20">
        <f t="shared" ref="AH306:AH317" si="192">AF306-AG306</f>
        <v>182</v>
      </c>
      <c r="AI306" s="20"/>
      <c r="AJ306" s="5"/>
      <c r="AK306" s="29">
        <v>2018</v>
      </c>
      <c r="AL306" s="38" t="s">
        <v>38</v>
      </c>
      <c r="AM306" s="35">
        <f>+Tabla6[[#This Row],[Trenes Puntuales]]/Tabla6[[#This Row],[Trenes Programados]]</f>
        <v>0.87585532746823069</v>
      </c>
      <c r="AN306" s="35">
        <f>+Tabla6[[#This Row],[Trenes Puntuales]]/Tabla6[[#This Row],[Trenes Corridos]]</f>
        <v>0.89065606361829031</v>
      </c>
      <c r="AO306" s="35">
        <f>+Tabla6[[#This Row],[Trenes Corridos]]/Tabla6[[#This Row],[Trenes Programados]]</f>
        <v>0.98338220918866082</v>
      </c>
      <c r="AP306" s="20">
        <v>2046</v>
      </c>
      <c r="AQ306" s="27">
        <f t="shared" ref="AQ306:AQ317" si="193">AP306-AR306</f>
        <v>34</v>
      </c>
      <c r="AR306" s="20">
        <v>2012</v>
      </c>
      <c r="AS306" s="20">
        <v>1792</v>
      </c>
      <c r="AT306" s="20">
        <f t="shared" ref="AT306:AT317" si="194">AR306-AS306</f>
        <v>220</v>
      </c>
      <c r="AU306" s="20"/>
      <c r="AV306" s="5"/>
      <c r="AW306" s="29">
        <v>2018</v>
      </c>
      <c r="AX306" s="38" t="s">
        <v>38</v>
      </c>
      <c r="AY306" s="35">
        <f>+MIT_Vic_Cap[[#This Row],[Trenes Puntuales]]/MIT_Vic_Cap[[#This Row],[Trenes Programados]]</f>
        <v>0.25568942436412317</v>
      </c>
      <c r="AZ306" s="35">
        <f>+MIT_Vic_Cap[[#This Row],[Trenes Puntuales]]/MIT_Vic_Cap[[#This Row],[Trenes Corridos]]</f>
        <v>0.57014925373134329</v>
      </c>
      <c r="BA306" s="35">
        <f>+MIT_Vic_Cap[[#This Row],[Trenes Corridos]]/MIT_Vic_Cap[[#This Row],[Trenes Programados]]</f>
        <v>0.44846050870147258</v>
      </c>
      <c r="BB306" s="20">
        <v>747</v>
      </c>
      <c r="BC306" s="27">
        <f t="shared" ref="BC306:BC317" si="195">BB306-BD306</f>
        <v>412</v>
      </c>
      <c r="BD306" s="20">
        <v>335</v>
      </c>
      <c r="BE306" s="20">
        <v>191</v>
      </c>
      <c r="BF306" s="20">
        <f t="shared" ref="BF306:BF317" si="196">BD306-BE306</f>
        <v>144</v>
      </c>
      <c r="BG306" s="20"/>
      <c r="BH306" s="5"/>
      <c r="BI306" s="29">
        <v>2018</v>
      </c>
      <c r="BJ306" s="38" t="s">
        <v>38</v>
      </c>
      <c r="BK306" s="35">
        <f>+Tabla8[[#This Row],[Trenes Puntuales]]/Tabla8[[#This Row],[Trenes Programados]]</f>
        <v>0.72985781990521326</v>
      </c>
      <c r="BL306" s="35">
        <f>+Tabla8[[#This Row],[Trenes Puntuales]]/Tabla8[[#This Row],[Trenes Corridos]]</f>
        <v>0.75490196078431371</v>
      </c>
      <c r="BM306" s="35">
        <f>+Tabla8[[#This Row],[Trenes Corridos]]/Tabla8[[#This Row],[Trenes Programados]]</f>
        <v>0.96682464454976302</v>
      </c>
      <c r="BN306" s="20">
        <v>422</v>
      </c>
      <c r="BO306" s="27">
        <f t="shared" ref="BO306:BO317" si="197">BN306-BP306</f>
        <v>14</v>
      </c>
      <c r="BP306" s="20">
        <v>408</v>
      </c>
      <c r="BQ306" s="20">
        <v>308</v>
      </c>
      <c r="BR306" s="20">
        <f t="shared" ref="BR306:BR317" si="198">BP306-BQ306</f>
        <v>100</v>
      </c>
      <c r="BS306" s="29"/>
    </row>
    <row r="307" spans="1:71" s="3" customFormat="1" ht="12.75">
      <c r="A307" s="3">
        <v>2018</v>
      </c>
      <c r="B307" s="38" t="s">
        <v>39</v>
      </c>
      <c r="C307" s="25">
        <f>+MITRE[[#This Row],[Trenes Puntuales]]/MITRE[[#This Row],[Trenes Programados]]</f>
        <v>0.7319904743004565</v>
      </c>
      <c r="D307" s="25">
        <f>+MITRE[[#This Row],[Trenes Puntuales]]/MITRE[[#This Row],[Trenes Corridos]]</f>
        <v>0.85908932106672875</v>
      </c>
      <c r="E307" s="25">
        <f>+MITRE[[#This Row],[Trenes Corridos]]/MITRE[[#This Row],[Trenes Programados]]</f>
        <v>0.85205397896408019</v>
      </c>
      <c r="F307" s="27">
        <f t="shared" si="154"/>
        <v>10078</v>
      </c>
      <c r="G307" s="27">
        <f t="shared" si="155"/>
        <v>1491</v>
      </c>
      <c r="H307" s="27">
        <f t="shared" si="156"/>
        <v>8587</v>
      </c>
      <c r="I307" s="27">
        <f t="shared" si="157"/>
        <v>7377</v>
      </c>
      <c r="J307" s="27">
        <f t="shared" si="158"/>
        <v>1210</v>
      </c>
      <c r="K307" s="27"/>
      <c r="L307" s="4"/>
      <c r="M307" s="29">
        <v>2018</v>
      </c>
      <c r="N307" s="38" t="s">
        <v>39</v>
      </c>
      <c r="O307" s="35">
        <f>+Tabla4[[#This Row],[Trenes Puntuales]]/Tabla4[[#This Row],[Trenes Programados]]</f>
        <v>0.597444089456869</v>
      </c>
      <c r="P307" s="35">
        <f>+Tabla4[[#This Row],[Trenes Puntuales]]/Tabla4[[#This Row],[Trenes Corridos]]</f>
        <v>0.8845092629089476</v>
      </c>
      <c r="Q307" s="35">
        <f>+Tabla4[[#This Row],[Trenes Corridos]]/Tabla4[[#This Row],[Trenes Programados]]</f>
        <v>0.67545260915867944</v>
      </c>
      <c r="R307" s="20">
        <v>3756</v>
      </c>
      <c r="S307" s="27">
        <f t="shared" si="189"/>
        <v>1219</v>
      </c>
      <c r="T307" s="20">
        <v>2537</v>
      </c>
      <c r="U307" s="20">
        <v>2244</v>
      </c>
      <c r="V307" s="20">
        <f t="shared" si="190"/>
        <v>293</v>
      </c>
      <c r="W307" s="20"/>
      <c r="X307" s="5"/>
      <c r="Y307" s="29">
        <v>2018</v>
      </c>
      <c r="Z307" s="38" t="s">
        <v>39</v>
      </c>
      <c r="AA307" s="35">
        <f>+Tabla5[[#This Row],[Trenes Puntuales]]/Tabla5[[#This Row],[Trenes Programados]]</f>
        <v>0.90746180963572265</v>
      </c>
      <c r="AB307" s="35">
        <f>+Tabla5[[#This Row],[Trenes Puntuales]]/Tabla5[[#This Row],[Trenes Corridos]]</f>
        <v>0.91255539143279174</v>
      </c>
      <c r="AC307" s="35">
        <f>+Tabla5[[#This Row],[Trenes Corridos]]/Tabla5[[#This Row],[Trenes Programados]]</f>
        <v>0.99441833137485314</v>
      </c>
      <c r="AD307" s="20">
        <v>3404</v>
      </c>
      <c r="AE307" s="27">
        <f t="shared" si="191"/>
        <v>19</v>
      </c>
      <c r="AF307" s="20">
        <v>3385</v>
      </c>
      <c r="AG307" s="20">
        <v>3089</v>
      </c>
      <c r="AH307" s="20">
        <f t="shared" si="192"/>
        <v>296</v>
      </c>
      <c r="AI307" s="20"/>
      <c r="AJ307" s="5"/>
      <c r="AK307" s="29">
        <v>2018</v>
      </c>
      <c r="AL307" s="38" t="s">
        <v>39</v>
      </c>
      <c r="AM307" s="35">
        <f>+Tabla6[[#This Row],[Trenes Puntuales]]/Tabla6[[#This Row],[Trenes Programados]]</f>
        <v>0.81060606060606055</v>
      </c>
      <c r="AN307" s="35">
        <f>+Tabla6[[#This Row],[Trenes Puntuales]]/Tabla6[[#This Row],[Trenes Corridos]]</f>
        <v>0.81992337164750961</v>
      </c>
      <c r="AO307" s="35">
        <f>+Tabla6[[#This Row],[Trenes Corridos]]/Tabla6[[#This Row],[Trenes Programados]]</f>
        <v>0.98863636363636365</v>
      </c>
      <c r="AP307" s="20">
        <v>1848</v>
      </c>
      <c r="AQ307" s="27">
        <f t="shared" si="193"/>
        <v>21</v>
      </c>
      <c r="AR307" s="20">
        <v>1827</v>
      </c>
      <c r="AS307" s="20">
        <v>1498</v>
      </c>
      <c r="AT307" s="20">
        <f t="shared" si="194"/>
        <v>329</v>
      </c>
      <c r="AU307" s="20"/>
      <c r="AV307" s="5"/>
      <c r="AW307" s="29">
        <v>2018</v>
      </c>
      <c r="AX307" s="38" t="s">
        <v>39</v>
      </c>
      <c r="AY307" s="35">
        <f>+MIT_Vic_Cap[[#This Row],[Trenes Puntuales]]/MIT_Vic_Cap[[#This Row],[Trenes Programados]]</f>
        <v>0.38066465256797583</v>
      </c>
      <c r="AZ307" s="35">
        <f>+MIT_Vic_Cap[[#This Row],[Trenes Puntuales]]/MIT_Vic_Cap[[#This Row],[Trenes Corridos]]</f>
        <v>0.57403189066059224</v>
      </c>
      <c r="BA307" s="35">
        <f>+MIT_Vic_Cap[[#This Row],[Trenes Corridos]]/MIT_Vic_Cap[[#This Row],[Trenes Programados]]</f>
        <v>0.6631419939577039</v>
      </c>
      <c r="BB307" s="20">
        <v>662</v>
      </c>
      <c r="BC307" s="27">
        <f t="shared" si="195"/>
        <v>223</v>
      </c>
      <c r="BD307" s="20">
        <v>439</v>
      </c>
      <c r="BE307" s="20">
        <v>252</v>
      </c>
      <c r="BF307" s="20">
        <f t="shared" si="196"/>
        <v>187</v>
      </c>
      <c r="BG307" s="20"/>
      <c r="BH307" s="5"/>
      <c r="BI307" s="29">
        <v>2018</v>
      </c>
      <c r="BJ307" s="38" t="s">
        <v>39</v>
      </c>
      <c r="BK307" s="35">
        <f>+Tabla8[[#This Row],[Trenes Puntuales]]/Tabla8[[#This Row],[Trenes Programados]]</f>
        <v>0.72058823529411764</v>
      </c>
      <c r="BL307" s="35">
        <f>+Tabla8[[#This Row],[Trenes Puntuales]]/Tabla8[[#This Row],[Trenes Corridos]]</f>
        <v>0.73684210526315785</v>
      </c>
      <c r="BM307" s="35">
        <f>+Tabla8[[#This Row],[Trenes Corridos]]/Tabla8[[#This Row],[Trenes Programados]]</f>
        <v>0.9779411764705882</v>
      </c>
      <c r="BN307" s="20">
        <v>408</v>
      </c>
      <c r="BO307" s="27">
        <f t="shared" si="197"/>
        <v>9</v>
      </c>
      <c r="BP307" s="20">
        <v>399</v>
      </c>
      <c r="BQ307" s="20">
        <v>294</v>
      </c>
      <c r="BR307" s="20">
        <f t="shared" si="198"/>
        <v>105</v>
      </c>
      <c r="BS307" s="29"/>
    </row>
    <row r="308" spans="1:71" s="3" customFormat="1" ht="12.75">
      <c r="A308" s="3">
        <v>2018</v>
      </c>
      <c r="B308" s="38" t="s">
        <v>40</v>
      </c>
      <c r="C308" s="25">
        <f>+MITRE[[#This Row],[Trenes Puntuales]]/MITRE[[#This Row],[Trenes Programados]]</f>
        <v>0.5532861018993066</v>
      </c>
      <c r="D308" s="25">
        <f>+MITRE[[#This Row],[Trenes Puntuales]]/MITRE[[#This Row],[Trenes Corridos]]</f>
        <v>0.63508954061770051</v>
      </c>
      <c r="E308" s="25">
        <f>+MITRE[[#This Row],[Trenes Corridos]]/MITRE[[#This Row],[Trenes Programados]]</f>
        <v>0.87119384986433523</v>
      </c>
      <c r="F308" s="27">
        <f t="shared" si="154"/>
        <v>13268</v>
      </c>
      <c r="G308" s="27">
        <f t="shared" si="155"/>
        <v>1709</v>
      </c>
      <c r="H308" s="27">
        <f t="shared" si="156"/>
        <v>11559</v>
      </c>
      <c r="I308" s="27">
        <f t="shared" si="157"/>
        <v>7341</v>
      </c>
      <c r="J308" s="27">
        <f t="shared" si="158"/>
        <v>4218</v>
      </c>
      <c r="K308" s="27"/>
      <c r="L308" s="4"/>
      <c r="M308" s="29">
        <v>2018</v>
      </c>
      <c r="N308" s="38" t="s">
        <v>40</v>
      </c>
      <c r="O308" s="35">
        <f>+Tabla4[[#This Row],[Trenes Puntuales]]/Tabla4[[#This Row],[Trenes Programados]]</f>
        <v>0.63960176991150441</v>
      </c>
      <c r="P308" s="35">
        <f>+Tabla4[[#This Row],[Trenes Puntuales]]/Tabla4[[#This Row],[Trenes Corridos]]</f>
        <v>0.85913818722139668</v>
      </c>
      <c r="Q308" s="35">
        <f>+Tabla4[[#This Row],[Trenes Corridos]]/Tabla4[[#This Row],[Trenes Programados]]</f>
        <v>0.74446902654867253</v>
      </c>
      <c r="R308" s="20">
        <v>4520</v>
      </c>
      <c r="S308" s="27">
        <f t="shared" si="189"/>
        <v>1155</v>
      </c>
      <c r="T308" s="20">
        <v>3365</v>
      </c>
      <c r="U308" s="20">
        <v>2891</v>
      </c>
      <c r="V308" s="20">
        <f t="shared" si="190"/>
        <v>474</v>
      </c>
      <c r="W308" s="20"/>
      <c r="X308" s="5"/>
      <c r="Y308" s="29">
        <v>2018</v>
      </c>
      <c r="Z308" s="38" t="s">
        <v>40</v>
      </c>
      <c r="AA308" s="35">
        <f>+Tabla5[[#This Row],[Trenes Puntuales]]/Tabla5[[#This Row],[Trenes Programados]]</f>
        <v>0.53101889893179954</v>
      </c>
      <c r="AB308" s="35">
        <f>+Tabla5[[#This Row],[Trenes Puntuales]]/Tabla5[[#This Row],[Trenes Corridos]]</f>
        <v>0.55843594728883128</v>
      </c>
      <c r="AC308" s="35">
        <f>+Tabla5[[#This Row],[Trenes Corridos]]/Tabla5[[#This Row],[Trenes Programados]]</f>
        <v>0.95090386195562859</v>
      </c>
      <c r="AD308" s="20">
        <v>4868</v>
      </c>
      <c r="AE308" s="27">
        <f t="shared" si="191"/>
        <v>239</v>
      </c>
      <c r="AF308" s="20">
        <v>4629</v>
      </c>
      <c r="AG308" s="20">
        <v>2585</v>
      </c>
      <c r="AH308" s="20">
        <f t="shared" si="192"/>
        <v>2044</v>
      </c>
      <c r="AI308" s="20"/>
      <c r="AJ308" s="5"/>
      <c r="AK308" s="29">
        <v>2018</v>
      </c>
      <c r="AL308" s="38" t="s">
        <v>40</v>
      </c>
      <c r="AM308" s="35">
        <f>+Tabla6[[#This Row],[Trenes Puntuales]]/Tabla6[[#This Row],[Trenes Programados]]</f>
        <v>0.47995545657015593</v>
      </c>
      <c r="AN308" s="35">
        <f>+Tabla6[[#This Row],[Trenes Puntuales]]/Tabla6[[#This Row],[Trenes Corridos]]</f>
        <v>0.51823647294589181</v>
      </c>
      <c r="AO308" s="35">
        <f>+Tabla6[[#This Row],[Trenes Corridos]]/Tabla6[[#This Row],[Trenes Programados]]</f>
        <v>0.92613214550853751</v>
      </c>
      <c r="AP308" s="20">
        <v>2694</v>
      </c>
      <c r="AQ308" s="27">
        <f t="shared" si="193"/>
        <v>199</v>
      </c>
      <c r="AR308" s="20">
        <v>2495</v>
      </c>
      <c r="AS308" s="20">
        <v>1293</v>
      </c>
      <c r="AT308" s="20">
        <f t="shared" si="194"/>
        <v>1202</v>
      </c>
      <c r="AU308" s="20"/>
      <c r="AV308" s="5"/>
      <c r="AW308" s="29">
        <v>2018</v>
      </c>
      <c r="AX308" s="38" t="s">
        <v>40</v>
      </c>
      <c r="AY308" s="35">
        <f>+MIT_Vic_Cap[[#This Row],[Trenes Puntuales]]/MIT_Vic_Cap[[#This Row],[Trenes Programados]]</f>
        <v>0.44686648501362397</v>
      </c>
      <c r="AZ308" s="35">
        <f>+MIT_Vic_Cap[[#This Row],[Trenes Puntuales]]/MIT_Vic_Cap[[#This Row],[Trenes Corridos]]</f>
        <v>0.51653543307086613</v>
      </c>
      <c r="BA308" s="35">
        <f>+MIT_Vic_Cap[[#This Row],[Trenes Corridos]]/MIT_Vic_Cap[[#This Row],[Trenes Programados]]</f>
        <v>0.86512261580381467</v>
      </c>
      <c r="BB308" s="20">
        <v>734</v>
      </c>
      <c r="BC308" s="27">
        <f t="shared" si="195"/>
        <v>99</v>
      </c>
      <c r="BD308" s="20">
        <v>635</v>
      </c>
      <c r="BE308" s="20">
        <v>328</v>
      </c>
      <c r="BF308" s="20">
        <f t="shared" si="196"/>
        <v>307</v>
      </c>
      <c r="BG308" s="20"/>
      <c r="BH308" s="5"/>
      <c r="BI308" s="29">
        <v>2018</v>
      </c>
      <c r="BJ308" s="38" t="s">
        <v>40</v>
      </c>
      <c r="BK308" s="35">
        <f>+Tabla8[[#This Row],[Trenes Puntuales]]/Tabla8[[#This Row],[Trenes Programados]]</f>
        <v>0.53982300884955747</v>
      </c>
      <c r="BL308" s="35">
        <f>+Tabla8[[#This Row],[Trenes Puntuales]]/Tabla8[[#This Row],[Trenes Corridos]]</f>
        <v>0.56091954022988511</v>
      </c>
      <c r="BM308" s="35">
        <f>+Tabla8[[#This Row],[Trenes Corridos]]/Tabla8[[#This Row],[Trenes Programados]]</f>
        <v>0.96238938053097345</v>
      </c>
      <c r="BN308" s="20">
        <v>452</v>
      </c>
      <c r="BO308" s="27">
        <f t="shared" si="197"/>
        <v>17</v>
      </c>
      <c r="BP308" s="20">
        <v>435</v>
      </c>
      <c r="BQ308" s="20">
        <v>244</v>
      </c>
      <c r="BR308" s="20">
        <f t="shared" si="198"/>
        <v>191</v>
      </c>
      <c r="BS308" s="29"/>
    </row>
    <row r="309" spans="1:71" s="3" customFormat="1" ht="12.75">
      <c r="A309" s="3">
        <v>2018</v>
      </c>
      <c r="B309" s="38" t="s">
        <v>41</v>
      </c>
      <c r="C309" s="25">
        <f>+MITRE[[#This Row],[Trenes Puntuales]]/MITRE[[#This Row],[Trenes Programados]]</f>
        <v>0.54042293304832434</v>
      </c>
      <c r="D309" s="25">
        <f>+MITRE[[#This Row],[Trenes Puntuales]]/MITRE[[#This Row],[Trenes Corridos]]</f>
        <v>0.62918851657630437</v>
      </c>
      <c r="E309" s="25">
        <f>+MITRE[[#This Row],[Trenes Corridos]]/MITRE[[#This Row],[Trenes Programados]]</f>
        <v>0.85892052828460186</v>
      </c>
      <c r="F309" s="27">
        <f t="shared" si="154"/>
        <v>13099</v>
      </c>
      <c r="G309" s="27">
        <f t="shared" si="155"/>
        <v>1848</v>
      </c>
      <c r="H309" s="27">
        <f t="shared" si="156"/>
        <v>11251</v>
      </c>
      <c r="I309" s="27">
        <f t="shared" si="157"/>
        <v>7079</v>
      </c>
      <c r="J309" s="27">
        <f t="shared" si="158"/>
        <v>4172</v>
      </c>
      <c r="K309" s="27"/>
      <c r="L309" s="4"/>
      <c r="M309" s="29">
        <v>2018</v>
      </c>
      <c r="N309" s="38" t="s">
        <v>41</v>
      </c>
      <c r="O309" s="35">
        <f>+Tabla4[[#This Row],[Trenes Puntuales]]/Tabla4[[#This Row],[Trenes Programados]]</f>
        <v>0.65825375170532063</v>
      </c>
      <c r="P309" s="35">
        <f>+Tabla4[[#This Row],[Trenes Puntuales]]/Tabla4[[#This Row],[Trenes Corridos]]</f>
        <v>0.86495368987152677</v>
      </c>
      <c r="Q309" s="35">
        <f>+Tabla4[[#This Row],[Trenes Corridos]]/Tabla4[[#This Row],[Trenes Programados]]</f>
        <v>0.76102773988176442</v>
      </c>
      <c r="R309" s="20">
        <v>4398</v>
      </c>
      <c r="S309" s="27">
        <f t="shared" si="189"/>
        <v>1051</v>
      </c>
      <c r="T309" s="20">
        <v>3347</v>
      </c>
      <c r="U309" s="20">
        <v>2895</v>
      </c>
      <c r="V309" s="20">
        <f t="shared" si="190"/>
        <v>452</v>
      </c>
      <c r="W309" s="20"/>
      <c r="X309" s="5"/>
      <c r="Y309" s="29">
        <v>2018</v>
      </c>
      <c r="Z309" s="38" t="s">
        <v>41</v>
      </c>
      <c r="AA309" s="35">
        <f>+Tabla5[[#This Row],[Trenes Puntuales]]/Tabla5[[#This Row],[Trenes Programados]]</f>
        <v>0.47962124331000411</v>
      </c>
      <c r="AB309" s="35">
        <f>+Tabla5[[#This Row],[Trenes Puntuales]]/Tabla5[[#This Row],[Trenes Corridos]]</f>
        <v>0.52359550561797752</v>
      </c>
      <c r="AC309" s="35">
        <f>+Tabla5[[#This Row],[Trenes Corridos]]/Tabla5[[#This Row],[Trenes Programados]]</f>
        <v>0.91601482091395636</v>
      </c>
      <c r="AD309" s="20">
        <v>4858</v>
      </c>
      <c r="AE309" s="27">
        <f t="shared" si="191"/>
        <v>408</v>
      </c>
      <c r="AF309" s="20">
        <v>4450</v>
      </c>
      <c r="AG309" s="20">
        <v>2330</v>
      </c>
      <c r="AH309" s="20">
        <f t="shared" si="192"/>
        <v>2120</v>
      </c>
      <c r="AI309" s="20"/>
      <c r="AJ309" s="5"/>
      <c r="AK309" s="29">
        <v>2018</v>
      </c>
      <c r="AL309" s="38" t="s">
        <v>41</v>
      </c>
      <c r="AM309" s="35">
        <f>+Tabla6[[#This Row],[Trenes Puntuales]]/Tabla6[[#This Row],[Trenes Programados]]</f>
        <v>0.46888888888888891</v>
      </c>
      <c r="AN309" s="35">
        <f>+Tabla6[[#This Row],[Trenes Puntuales]]/Tabla6[[#This Row],[Trenes Corridos]]</f>
        <v>0.53598645215918717</v>
      </c>
      <c r="AO309" s="35">
        <f>+Tabla6[[#This Row],[Trenes Corridos]]/Tabla6[[#This Row],[Trenes Programados]]</f>
        <v>0.87481481481481482</v>
      </c>
      <c r="AP309" s="20">
        <v>2700</v>
      </c>
      <c r="AQ309" s="27">
        <f t="shared" si="193"/>
        <v>338</v>
      </c>
      <c r="AR309" s="20">
        <v>2362</v>
      </c>
      <c r="AS309" s="20">
        <v>1266</v>
      </c>
      <c r="AT309" s="20">
        <f t="shared" si="194"/>
        <v>1096</v>
      </c>
      <c r="AU309" s="20"/>
      <c r="AV309" s="5"/>
      <c r="AW309" s="29">
        <v>2018</v>
      </c>
      <c r="AX309" s="38" t="s">
        <v>41</v>
      </c>
      <c r="AY309" s="35">
        <f>+MIT_Vic_Cap[[#This Row],[Trenes Puntuales]]/MIT_Vic_Cap[[#This Row],[Trenes Programados]]</f>
        <v>0.57991513437057995</v>
      </c>
      <c r="AZ309" s="35">
        <f>+MIT_Vic_Cap[[#This Row],[Trenes Puntuales]]/MIT_Vic_Cap[[#This Row],[Trenes Corridos]]</f>
        <v>0.61285500747384158</v>
      </c>
      <c r="BA309" s="35">
        <f>+MIT_Vic_Cap[[#This Row],[Trenes Corridos]]/MIT_Vic_Cap[[#This Row],[Trenes Programados]]</f>
        <v>0.94625176803394628</v>
      </c>
      <c r="BB309" s="20">
        <v>707</v>
      </c>
      <c r="BC309" s="27">
        <f t="shared" si="195"/>
        <v>38</v>
      </c>
      <c r="BD309" s="20">
        <v>669</v>
      </c>
      <c r="BE309" s="20">
        <v>410</v>
      </c>
      <c r="BF309" s="20">
        <f t="shared" si="196"/>
        <v>259</v>
      </c>
      <c r="BG309" s="20"/>
      <c r="BH309" s="5"/>
      <c r="BI309" s="29">
        <v>2018</v>
      </c>
      <c r="BJ309" s="38" t="s">
        <v>41</v>
      </c>
      <c r="BK309" s="35">
        <f>+Tabla8[[#This Row],[Trenes Puntuales]]/Tabla8[[#This Row],[Trenes Programados]]</f>
        <v>0.40825688073394495</v>
      </c>
      <c r="BL309" s="35">
        <f>+Tabla8[[#This Row],[Trenes Puntuales]]/Tabla8[[#This Row],[Trenes Corridos]]</f>
        <v>0.42080378250591016</v>
      </c>
      <c r="BM309" s="35">
        <f>+Tabla8[[#This Row],[Trenes Corridos]]/Tabla8[[#This Row],[Trenes Programados]]</f>
        <v>0.97018348623853212</v>
      </c>
      <c r="BN309" s="20">
        <v>436</v>
      </c>
      <c r="BO309" s="27">
        <f t="shared" si="197"/>
        <v>13</v>
      </c>
      <c r="BP309" s="20">
        <v>423</v>
      </c>
      <c r="BQ309" s="20">
        <v>178</v>
      </c>
      <c r="BR309" s="20">
        <f t="shared" si="198"/>
        <v>245</v>
      </c>
      <c r="BS309" s="29"/>
    </row>
    <row r="310" spans="1:71" s="3" customFormat="1" ht="12.75">
      <c r="A310" s="3">
        <v>2018</v>
      </c>
      <c r="B310" s="38" t="s">
        <v>42</v>
      </c>
      <c r="C310" s="25">
        <f>+MITRE[[#This Row],[Trenes Puntuales]]/MITRE[[#This Row],[Trenes Programados]]</f>
        <v>0.59942806863176423</v>
      </c>
      <c r="D310" s="25">
        <f>+MITRE[[#This Row],[Trenes Puntuales]]/MITRE[[#This Row],[Trenes Corridos]]</f>
        <v>0.65699590130997343</v>
      </c>
      <c r="E310" s="25">
        <f>+MITRE[[#This Row],[Trenes Corridos]]/MITRE[[#This Row],[Trenes Programados]]</f>
        <v>0.9123771814048981</v>
      </c>
      <c r="F310" s="27">
        <f t="shared" si="154"/>
        <v>13638</v>
      </c>
      <c r="G310" s="27">
        <f t="shared" si="155"/>
        <v>1195</v>
      </c>
      <c r="H310" s="27">
        <f t="shared" si="156"/>
        <v>12443</v>
      </c>
      <c r="I310" s="27">
        <f t="shared" si="157"/>
        <v>8175</v>
      </c>
      <c r="J310" s="27">
        <f t="shared" si="158"/>
        <v>4268</v>
      </c>
      <c r="K310" s="27"/>
      <c r="L310" s="4"/>
      <c r="M310" s="29">
        <v>2018</v>
      </c>
      <c r="N310" s="38" t="s">
        <v>42</v>
      </c>
      <c r="O310" s="35">
        <f>+Tabla4[[#This Row],[Trenes Puntuales]]/Tabla4[[#This Row],[Trenes Programados]]</f>
        <v>0.82116471099521948</v>
      </c>
      <c r="P310" s="35">
        <f>+Tabla4[[#This Row],[Trenes Puntuales]]/Tabla4[[#This Row],[Trenes Corridos]]</f>
        <v>0.89338061465721041</v>
      </c>
      <c r="Q310" s="35">
        <f>+Tabla4[[#This Row],[Trenes Corridos]]/Tabla4[[#This Row],[Trenes Programados]]</f>
        <v>0.91916558018252936</v>
      </c>
      <c r="R310" s="20">
        <v>4602</v>
      </c>
      <c r="S310" s="27">
        <f t="shared" si="189"/>
        <v>372</v>
      </c>
      <c r="T310" s="20">
        <v>4230</v>
      </c>
      <c r="U310" s="20">
        <v>3779</v>
      </c>
      <c r="V310" s="20">
        <f t="shared" si="190"/>
        <v>451</v>
      </c>
      <c r="W310" s="20"/>
      <c r="X310" s="5"/>
      <c r="Y310" s="29">
        <v>2018</v>
      </c>
      <c r="Z310" s="38" t="s">
        <v>42</v>
      </c>
      <c r="AA310" s="35">
        <f>+Tabla5[[#This Row],[Trenes Puntuales]]/Tabla5[[#This Row],[Trenes Programados]]</f>
        <v>0.47603960396039602</v>
      </c>
      <c r="AB310" s="35">
        <f>+Tabla5[[#This Row],[Trenes Puntuales]]/Tabla5[[#This Row],[Trenes Corridos]]</f>
        <v>0.52317736670293802</v>
      </c>
      <c r="AC310" s="35">
        <f>+Tabla5[[#This Row],[Trenes Corridos]]/Tabla5[[#This Row],[Trenes Programados]]</f>
        <v>0.90990099009900993</v>
      </c>
      <c r="AD310" s="20">
        <v>5050</v>
      </c>
      <c r="AE310" s="27">
        <f t="shared" si="191"/>
        <v>455</v>
      </c>
      <c r="AF310" s="20">
        <v>4595</v>
      </c>
      <c r="AG310" s="20">
        <v>2404</v>
      </c>
      <c r="AH310" s="20">
        <f t="shared" si="192"/>
        <v>2191</v>
      </c>
      <c r="AI310" s="20"/>
      <c r="AJ310" s="5"/>
      <c r="AK310" s="29">
        <v>2018</v>
      </c>
      <c r="AL310" s="38" t="s">
        <v>42</v>
      </c>
      <c r="AM310" s="35">
        <f>+Tabla6[[#This Row],[Trenes Puntuales]]/Tabla6[[#This Row],[Trenes Programados]]</f>
        <v>0.53440860215053765</v>
      </c>
      <c r="AN310" s="35">
        <f>+Tabla6[[#This Row],[Trenes Puntuales]]/Tabla6[[#This Row],[Trenes Corridos]]</f>
        <v>0.59663865546218486</v>
      </c>
      <c r="AO310" s="35">
        <f>+Tabla6[[#This Row],[Trenes Corridos]]/Tabla6[[#This Row],[Trenes Programados]]</f>
        <v>0.89569892473118284</v>
      </c>
      <c r="AP310" s="20">
        <v>2790</v>
      </c>
      <c r="AQ310" s="27">
        <f t="shared" si="193"/>
        <v>291</v>
      </c>
      <c r="AR310" s="20">
        <v>2499</v>
      </c>
      <c r="AS310" s="20">
        <v>1491</v>
      </c>
      <c r="AT310" s="20">
        <f t="shared" si="194"/>
        <v>1008</v>
      </c>
      <c r="AU310" s="20"/>
      <c r="AV310" s="5"/>
      <c r="AW310" s="29">
        <v>2018</v>
      </c>
      <c r="AX310" s="38" t="s">
        <v>42</v>
      </c>
      <c r="AY310" s="35">
        <f>+MIT_Vic_Cap[[#This Row],[Trenes Puntuales]]/MIT_Vic_Cap[[#This Row],[Trenes Programados]]</f>
        <v>0.59189189189189184</v>
      </c>
      <c r="AZ310" s="35">
        <f>+MIT_Vic_Cap[[#This Row],[Trenes Puntuales]]/MIT_Vic_Cap[[#This Row],[Trenes Corridos]]</f>
        <v>0.63386396526772792</v>
      </c>
      <c r="BA310" s="35">
        <f>+MIT_Vic_Cap[[#This Row],[Trenes Corridos]]/MIT_Vic_Cap[[#This Row],[Trenes Programados]]</f>
        <v>0.93378378378378379</v>
      </c>
      <c r="BB310" s="20">
        <v>740</v>
      </c>
      <c r="BC310" s="27">
        <f t="shared" si="195"/>
        <v>49</v>
      </c>
      <c r="BD310" s="20">
        <v>691</v>
      </c>
      <c r="BE310" s="20">
        <v>438</v>
      </c>
      <c r="BF310" s="20">
        <f t="shared" si="196"/>
        <v>253</v>
      </c>
      <c r="BG310" s="20"/>
      <c r="BH310" s="5"/>
      <c r="BI310" s="29">
        <v>2018</v>
      </c>
      <c r="BJ310" s="38" t="s">
        <v>42</v>
      </c>
      <c r="BK310" s="35">
        <f>+Tabla8[[#This Row],[Trenes Puntuales]]/Tabla8[[#This Row],[Trenes Programados]]</f>
        <v>0.13815789473684212</v>
      </c>
      <c r="BL310" s="35">
        <f>+Tabla8[[#This Row],[Trenes Puntuales]]/Tabla8[[#This Row],[Trenes Corridos]]</f>
        <v>0.14719626168224298</v>
      </c>
      <c r="BM310" s="35">
        <f>+Tabla8[[#This Row],[Trenes Corridos]]/Tabla8[[#This Row],[Trenes Programados]]</f>
        <v>0.93859649122807021</v>
      </c>
      <c r="BN310" s="20">
        <v>456</v>
      </c>
      <c r="BO310" s="27">
        <f t="shared" si="197"/>
        <v>28</v>
      </c>
      <c r="BP310" s="20">
        <v>428</v>
      </c>
      <c r="BQ310" s="20">
        <v>63</v>
      </c>
      <c r="BR310" s="20">
        <f t="shared" si="198"/>
        <v>365</v>
      </c>
      <c r="BS310" s="29"/>
    </row>
    <row r="311" spans="1:71" s="3" customFormat="1" ht="12.75">
      <c r="A311" s="3">
        <v>2018</v>
      </c>
      <c r="B311" s="38" t="s">
        <v>43</v>
      </c>
      <c r="C311" s="25">
        <f>+MITRE[[#This Row],[Trenes Puntuales]]/MITRE[[#This Row],[Trenes Programados]]</f>
        <v>0.65015190465061934</v>
      </c>
      <c r="D311" s="25">
        <f>+MITRE[[#This Row],[Trenes Puntuales]]/MITRE[[#This Row],[Trenes Corridos]]</f>
        <v>0.72010353753235545</v>
      </c>
      <c r="E311" s="25">
        <f>+MITRE[[#This Row],[Trenes Corridos]]/MITRE[[#This Row],[Trenes Programados]]</f>
        <v>0.90285892342447616</v>
      </c>
      <c r="F311" s="27">
        <f t="shared" si="154"/>
        <v>12837</v>
      </c>
      <c r="G311" s="27">
        <f t="shared" si="155"/>
        <v>1247</v>
      </c>
      <c r="H311" s="27">
        <f t="shared" si="156"/>
        <v>11590</v>
      </c>
      <c r="I311" s="27">
        <f t="shared" si="157"/>
        <v>8346</v>
      </c>
      <c r="J311" s="27">
        <f t="shared" si="158"/>
        <v>3244</v>
      </c>
      <c r="K311" s="27"/>
      <c r="L311" s="4"/>
      <c r="M311" s="29">
        <v>2018</v>
      </c>
      <c r="N311" s="38" t="s">
        <v>43</v>
      </c>
      <c r="O311" s="35">
        <f>+Tabla4[[#This Row],[Trenes Puntuales]]/Tabla4[[#This Row],[Trenes Programados]]</f>
        <v>0.8565315315315315</v>
      </c>
      <c r="P311" s="35">
        <f>+Tabla4[[#This Row],[Trenes Puntuales]]/Tabla4[[#This Row],[Trenes Corridos]]</f>
        <v>0.94087085601187526</v>
      </c>
      <c r="Q311" s="35">
        <f>+Tabla4[[#This Row],[Trenes Corridos]]/Tabla4[[#This Row],[Trenes Programados]]</f>
        <v>0.91036036036036039</v>
      </c>
      <c r="R311" s="20">
        <v>4440</v>
      </c>
      <c r="S311" s="27">
        <f t="shared" si="189"/>
        <v>398</v>
      </c>
      <c r="T311" s="20">
        <v>4042</v>
      </c>
      <c r="U311" s="20">
        <v>3803</v>
      </c>
      <c r="V311" s="20">
        <f t="shared" si="190"/>
        <v>239</v>
      </c>
      <c r="W311" s="20"/>
      <c r="X311" s="5"/>
      <c r="Y311" s="29">
        <v>2018</v>
      </c>
      <c r="Z311" s="38" t="s">
        <v>43</v>
      </c>
      <c r="AA311" s="35">
        <f>+Tabla5[[#This Row],[Trenes Puntuales]]/Tabla5[[#This Row],[Trenes Programados]]</f>
        <v>0.64793529161345254</v>
      </c>
      <c r="AB311" s="35">
        <f>+Tabla5[[#This Row],[Trenes Puntuales]]/Tabla5[[#This Row],[Trenes Corridos]]</f>
        <v>0.69944852941176472</v>
      </c>
      <c r="AC311" s="35">
        <f>+Tabla5[[#This Row],[Trenes Corridos]]/Tabla5[[#This Row],[Trenes Programados]]</f>
        <v>0.92635163899531714</v>
      </c>
      <c r="AD311" s="20">
        <v>4698</v>
      </c>
      <c r="AE311" s="27">
        <f t="shared" si="191"/>
        <v>346</v>
      </c>
      <c r="AF311" s="20">
        <v>4352</v>
      </c>
      <c r="AG311" s="20">
        <v>3044</v>
      </c>
      <c r="AH311" s="20">
        <f t="shared" si="192"/>
        <v>1308</v>
      </c>
      <c r="AI311" s="20"/>
      <c r="AJ311" s="5"/>
      <c r="AK311" s="29">
        <v>2018</v>
      </c>
      <c r="AL311" s="38" t="s">
        <v>43</v>
      </c>
      <c r="AM311" s="35">
        <f>+Tabla6[[#This Row],[Trenes Puntuales]]/Tabla6[[#This Row],[Trenes Programados]]</f>
        <v>0.41430817610062892</v>
      </c>
      <c r="AN311" s="35">
        <f>+Tabla6[[#This Row],[Trenes Puntuales]]/Tabla6[[#This Row],[Trenes Corridos]]</f>
        <v>0.49623352165725049</v>
      </c>
      <c r="AO311" s="35">
        <f>+Tabla6[[#This Row],[Trenes Corridos]]/Tabla6[[#This Row],[Trenes Programados]]</f>
        <v>0.83490566037735847</v>
      </c>
      <c r="AP311" s="20">
        <v>2544</v>
      </c>
      <c r="AQ311" s="27">
        <f t="shared" si="193"/>
        <v>420</v>
      </c>
      <c r="AR311" s="20">
        <v>2124</v>
      </c>
      <c r="AS311" s="20">
        <v>1054</v>
      </c>
      <c r="AT311" s="20">
        <f t="shared" si="194"/>
        <v>1070</v>
      </c>
      <c r="AU311" s="20"/>
      <c r="AV311" s="5"/>
      <c r="AW311" s="29">
        <v>2018</v>
      </c>
      <c r="AX311" s="38" t="s">
        <v>43</v>
      </c>
      <c r="AY311" s="35">
        <f>+MIT_Vic_Cap[[#This Row],[Trenes Puntuales]]/MIT_Vic_Cap[[#This Row],[Trenes Programados]]</f>
        <v>0.56503496503496509</v>
      </c>
      <c r="AZ311" s="35">
        <f>+MIT_Vic_Cap[[#This Row],[Trenes Puntuales]]/MIT_Vic_Cap[[#This Row],[Trenes Corridos]]</f>
        <v>0.61305007587253413</v>
      </c>
      <c r="BA311" s="35">
        <f>+MIT_Vic_Cap[[#This Row],[Trenes Corridos]]/MIT_Vic_Cap[[#This Row],[Trenes Programados]]</f>
        <v>0.92167832167832164</v>
      </c>
      <c r="BB311" s="20">
        <v>715</v>
      </c>
      <c r="BC311" s="27">
        <f t="shared" si="195"/>
        <v>56</v>
      </c>
      <c r="BD311" s="20">
        <v>659</v>
      </c>
      <c r="BE311" s="20">
        <v>404</v>
      </c>
      <c r="BF311" s="20">
        <f t="shared" si="196"/>
        <v>255</v>
      </c>
      <c r="BG311" s="20"/>
      <c r="BH311" s="5"/>
      <c r="BI311" s="29">
        <v>2018</v>
      </c>
      <c r="BJ311" s="38" t="s">
        <v>43</v>
      </c>
      <c r="BK311" s="35">
        <f>+Tabla8[[#This Row],[Trenes Puntuales]]/Tabla8[[#This Row],[Trenes Programados]]</f>
        <v>9.3181818181818185E-2</v>
      </c>
      <c r="BL311" s="35">
        <f>+Tabla8[[#This Row],[Trenes Puntuales]]/Tabla8[[#This Row],[Trenes Corridos]]</f>
        <v>9.9273607748184015E-2</v>
      </c>
      <c r="BM311" s="35">
        <f>+Tabla8[[#This Row],[Trenes Corridos]]/Tabla8[[#This Row],[Trenes Programados]]</f>
        <v>0.9386363636363636</v>
      </c>
      <c r="BN311" s="20">
        <v>440</v>
      </c>
      <c r="BO311" s="27">
        <f t="shared" si="197"/>
        <v>27</v>
      </c>
      <c r="BP311" s="20">
        <v>413</v>
      </c>
      <c r="BQ311" s="20">
        <v>41</v>
      </c>
      <c r="BR311" s="20">
        <f t="shared" si="198"/>
        <v>372</v>
      </c>
      <c r="BS311" s="29"/>
    </row>
    <row r="312" spans="1:71" s="3" customFormat="1" ht="12.75">
      <c r="A312" s="3">
        <v>2018</v>
      </c>
      <c r="B312" s="38" t="s">
        <v>44</v>
      </c>
      <c r="C312" s="25">
        <f>+MITRE[[#This Row],[Trenes Puntuales]]/MITRE[[#This Row],[Trenes Programados]]</f>
        <v>0.78982231920199497</v>
      </c>
      <c r="D312" s="25">
        <f>+MITRE[[#This Row],[Trenes Puntuales]]/MITRE[[#This Row],[Trenes Corridos]]</f>
        <v>0.86152669160149609</v>
      </c>
      <c r="E312" s="25">
        <f>+MITRE[[#This Row],[Trenes Corridos]]/MITRE[[#This Row],[Trenes Programados]]</f>
        <v>0.91677057356608482</v>
      </c>
      <c r="F312" s="27">
        <f t="shared" si="154"/>
        <v>12832</v>
      </c>
      <c r="G312" s="27">
        <f t="shared" si="155"/>
        <v>1068</v>
      </c>
      <c r="H312" s="27">
        <f t="shared" si="156"/>
        <v>11764</v>
      </c>
      <c r="I312" s="27">
        <f t="shared" si="157"/>
        <v>10135</v>
      </c>
      <c r="J312" s="27">
        <f t="shared" si="158"/>
        <v>1629</v>
      </c>
      <c r="K312" s="27"/>
      <c r="L312" s="4"/>
      <c r="M312" s="29">
        <v>2018</v>
      </c>
      <c r="N312" s="38" t="s">
        <v>44</v>
      </c>
      <c r="O312" s="35">
        <f>+Tabla4[[#This Row],[Trenes Puntuales]]/Tabla4[[#This Row],[Trenes Programados]]</f>
        <v>0.72120817036071272</v>
      </c>
      <c r="P312" s="35">
        <f>+Tabla4[[#This Row],[Trenes Puntuales]]/Tabla4[[#This Row],[Trenes Corridos]]</f>
        <v>0.90509953640578134</v>
      </c>
      <c r="Q312" s="35">
        <f>+Tabla4[[#This Row],[Trenes Corridos]]/Tabla4[[#This Row],[Trenes Programados]]</f>
        <v>0.79682746631899171</v>
      </c>
      <c r="R312" s="20">
        <v>4602</v>
      </c>
      <c r="S312" s="27">
        <f t="shared" si="189"/>
        <v>935</v>
      </c>
      <c r="T312" s="20">
        <v>3667</v>
      </c>
      <c r="U312" s="20">
        <v>3319</v>
      </c>
      <c r="V312" s="20">
        <f t="shared" si="190"/>
        <v>348</v>
      </c>
      <c r="W312" s="20"/>
      <c r="X312" s="5"/>
      <c r="Y312" s="29">
        <v>2018</v>
      </c>
      <c r="Z312" s="38" t="s">
        <v>44</v>
      </c>
      <c r="AA312" s="35">
        <f>+Tabla5[[#This Row],[Trenes Puntuales]]/Tabla5[[#This Row],[Trenes Programados]]</f>
        <v>0.87976603119584051</v>
      </c>
      <c r="AB312" s="35">
        <f>+Tabla5[[#This Row],[Trenes Puntuales]]/Tabla5[[#This Row],[Trenes Corridos]]</f>
        <v>0.8907655187541127</v>
      </c>
      <c r="AC312" s="35">
        <f>+Tabla5[[#This Row],[Trenes Corridos]]/Tabla5[[#This Row],[Trenes Programados]]</f>
        <v>0.98765164644714043</v>
      </c>
      <c r="AD312" s="20">
        <v>4616</v>
      </c>
      <c r="AE312" s="27">
        <f t="shared" si="191"/>
        <v>57</v>
      </c>
      <c r="AF312" s="20">
        <v>4559</v>
      </c>
      <c r="AG312" s="20">
        <v>4061</v>
      </c>
      <c r="AH312" s="20">
        <f t="shared" si="192"/>
        <v>498</v>
      </c>
      <c r="AI312" s="20"/>
      <c r="AJ312" s="5"/>
      <c r="AK312" s="29">
        <v>2018</v>
      </c>
      <c r="AL312" s="38" t="s">
        <v>44</v>
      </c>
      <c r="AM312" s="35">
        <f>+Tabla6[[#This Row],[Trenes Puntuales]]/Tabla6[[#This Row],[Trenes Programados]]</f>
        <v>0.88172043010752688</v>
      </c>
      <c r="AN312" s="35">
        <f>+Tabla6[[#This Row],[Trenes Puntuales]]/Tabla6[[#This Row],[Trenes Corridos]]</f>
        <v>0.90186125211505919</v>
      </c>
      <c r="AO312" s="35">
        <f>+Tabla6[[#This Row],[Trenes Corridos]]/Tabla6[[#This Row],[Trenes Programados]]</f>
        <v>0.97766749379652607</v>
      </c>
      <c r="AP312" s="20">
        <v>2418</v>
      </c>
      <c r="AQ312" s="27">
        <f t="shared" si="193"/>
        <v>54</v>
      </c>
      <c r="AR312" s="20">
        <v>2364</v>
      </c>
      <c r="AS312" s="20">
        <v>2132</v>
      </c>
      <c r="AT312" s="20">
        <f t="shared" si="194"/>
        <v>232</v>
      </c>
      <c r="AU312" s="20"/>
      <c r="AV312" s="5"/>
      <c r="AW312" s="29">
        <v>2018</v>
      </c>
      <c r="AX312" s="38" t="s">
        <v>44</v>
      </c>
      <c r="AY312" s="35">
        <f>+MIT_Vic_Cap[[#This Row],[Trenes Puntuales]]/MIT_Vic_Cap[[#This Row],[Trenes Programados]]</f>
        <v>0.66081081081081083</v>
      </c>
      <c r="AZ312" s="35">
        <f>+MIT_Vic_Cap[[#This Row],[Trenes Puntuales]]/MIT_Vic_Cap[[#This Row],[Trenes Corridos]]</f>
        <v>0.67170329670329665</v>
      </c>
      <c r="BA312" s="35">
        <f>+MIT_Vic_Cap[[#This Row],[Trenes Corridos]]/MIT_Vic_Cap[[#This Row],[Trenes Programados]]</f>
        <v>0.98378378378378384</v>
      </c>
      <c r="BB312" s="20">
        <v>740</v>
      </c>
      <c r="BC312" s="27">
        <f t="shared" si="195"/>
        <v>12</v>
      </c>
      <c r="BD312" s="20">
        <v>728</v>
      </c>
      <c r="BE312" s="20">
        <v>489</v>
      </c>
      <c r="BF312" s="20">
        <f t="shared" si="196"/>
        <v>239</v>
      </c>
      <c r="BG312" s="20"/>
      <c r="BH312" s="5"/>
      <c r="BI312" s="29">
        <v>2018</v>
      </c>
      <c r="BJ312" s="38" t="s">
        <v>44</v>
      </c>
      <c r="BK312" s="35">
        <f>+Tabla8[[#This Row],[Trenes Puntuales]]/Tabla8[[#This Row],[Trenes Programados]]</f>
        <v>0.29385964912280704</v>
      </c>
      <c r="BL312" s="35">
        <f>+Tabla8[[#This Row],[Trenes Puntuales]]/Tabla8[[#This Row],[Trenes Corridos]]</f>
        <v>0.30044843049327352</v>
      </c>
      <c r="BM312" s="35">
        <f>+Tabla8[[#This Row],[Trenes Corridos]]/Tabla8[[#This Row],[Trenes Programados]]</f>
        <v>0.97807017543859653</v>
      </c>
      <c r="BN312" s="20">
        <v>456</v>
      </c>
      <c r="BO312" s="27">
        <f t="shared" si="197"/>
        <v>10</v>
      </c>
      <c r="BP312" s="20">
        <v>446</v>
      </c>
      <c r="BQ312" s="20">
        <v>134</v>
      </c>
      <c r="BR312" s="20">
        <f t="shared" si="198"/>
        <v>312</v>
      </c>
      <c r="BS312" s="29"/>
    </row>
    <row r="313" spans="1:71" s="3" customFormat="1" ht="12.75">
      <c r="A313" s="3">
        <v>2018</v>
      </c>
      <c r="B313" s="38" t="s">
        <v>45</v>
      </c>
      <c r="C313" s="25">
        <f>+MITRE[[#This Row],[Trenes Puntuales]]/MITRE[[#This Row],[Trenes Programados]]</f>
        <v>0.80894088479119852</v>
      </c>
      <c r="D313" s="25">
        <f>+MITRE[[#This Row],[Trenes Puntuales]]/MITRE[[#This Row],[Trenes Corridos]]</f>
        <v>0.87248266065012114</v>
      </c>
      <c r="E313" s="25">
        <f>+MITRE[[#This Row],[Trenes Corridos]]/MITRE[[#This Row],[Trenes Programados]]</f>
        <v>0.92717130239404977</v>
      </c>
      <c r="F313" s="27">
        <f t="shared" si="154"/>
        <v>12907</v>
      </c>
      <c r="G313" s="27">
        <f t="shared" si="155"/>
        <v>940</v>
      </c>
      <c r="H313" s="27">
        <f t="shared" si="156"/>
        <v>11967</v>
      </c>
      <c r="I313" s="27">
        <f t="shared" si="157"/>
        <v>10441</v>
      </c>
      <c r="J313" s="27">
        <f t="shared" si="158"/>
        <v>1526</v>
      </c>
      <c r="K313" s="27"/>
      <c r="L313" s="4"/>
      <c r="M313" s="29">
        <v>2018</v>
      </c>
      <c r="N313" s="38" t="s">
        <v>45</v>
      </c>
      <c r="O313" s="35">
        <f>+Tabla4[[#This Row],[Trenes Puntuales]]/Tabla4[[#This Row],[Trenes Programados]]</f>
        <v>0.70262704565030143</v>
      </c>
      <c r="P313" s="35">
        <f>+Tabla4[[#This Row],[Trenes Puntuales]]/Tabla4[[#This Row],[Trenes Corridos]]</f>
        <v>0.86322751322751323</v>
      </c>
      <c r="Q313" s="35">
        <f>+Tabla4[[#This Row],[Trenes Corridos]]/Tabla4[[#This Row],[Trenes Programados]]</f>
        <v>0.81395348837209303</v>
      </c>
      <c r="R313" s="20">
        <v>4644</v>
      </c>
      <c r="S313" s="27">
        <f t="shared" si="189"/>
        <v>864</v>
      </c>
      <c r="T313" s="20">
        <v>3780</v>
      </c>
      <c r="U313" s="20">
        <v>3263</v>
      </c>
      <c r="V313" s="20">
        <f t="shared" si="190"/>
        <v>517</v>
      </c>
      <c r="W313" s="20"/>
      <c r="X313" s="5"/>
      <c r="Y313" s="29">
        <v>2018</v>
      </c>
      <c r="Z313" s="38" t="s">
        <v>45</v>
      </c>
      <c r="AA313" s="35">
        <f>+Tabla5[[#This Row],[Trenes Puntuales]]/Tabla5[[#This Row],[Trenes Programados]]</f>
        <v>0.90793445450625265</v>
      </c>
      <c r="AB313" s="35">
        <f>+Tabla5[[#This Row],[Trenes Puntuales]]/Tabla5[[#This Row],[Trenes Corridos]]</f>
        <v>0.91206411089452022</v>
      </c>
      <c r="AC313" s="35">
        <f>+Tabla5[[#This Row],[Trenes Corridos]]/Tabla5[[#This Row],[Trenes Programados]]</f>
        <v>0.99547218628719281</v>
      </c>
      <c r="AD313" s="20">
        <v>4638</v>
      </c>
      <c r="AE313" s="27">
        <f t="shared" si="191"/>
        <v>21</v>
      </c>
      <c r="AF313" s="20">
        <v>4617</v>
      </c>
      <c r="AG313" s="20">
        <v>4211</v>
      </c>
      <c r="AH313" s="20">
        <f t="shared" si="192"/>
        <v>406</v>
      </c>
      <c r="AI313" s="20"/>
      <c r="AJ313" s="5"/>
      <c r="AK313" s="29">
        <v>2018</v>
      </c>
      <c r="AL313" s="38" t="s">
        <v>45</v>
      </c>
      <c r="AM313" s="35">
        <f>+Tabla6[[#This Row],[Trenes Puntuales]]/Tabla6[[#This Row],[Trenes Programados]]</f>
        <v>0.93217535153019027</v>
      </c>
      <c r="AN313" s="35">
        <f>+Tabla6[[#This Row],[Trenes Puntuales]]/Tabla6[[#This Row],[Trenes Corridos]]</f>
        <v>0.94152046783625731</v>
      </c>
      <c r="AO313" s="35">
        <f>+Tabla6[[#This Row],[Trenes Corridos]]/Tabla6[[#This Row],[Trenes Programados]]</f>
        <v>0.99007444168734493</v>
      </c>
      <c r="AP313" s="20">
        <v>2418</v>
      </c>
      <c r="AQ313" s="27">
        <f t="shared" si="193"/>
        <v>24</v>
      </c>
      <c r="AR313" s="20">
        <v>2394</v>
      </c>
      <c r="AS313" s="20">
        <v>2254</v>
      </c>
      <c r="AT313" s="20">
        <f t="shared" si="194"/>
        <v>140</v>
      </c>
      <c r="AU313" s="20"/>
      <c r="AV313" s="5"/>
      <c r="AW313" s="29">
        <v>2018</v>
      </c>
      <c r="AX313" s="38" t="s">
        <v>45</v>
      </c>
      <c r="AY313" s="35">
        <f>+MIT_Vic_Cap[[#This Row],[Trenes Puntuales]]/MIT_Vic_Cap[[#This Row],[Trenes Programados]]</f>
        <v>0.65595716198125842</v>
      </c>
      <c r="AZ313" s="35">
        <f>+MIT_Vic_Cap[[#This Row],[Trenes Puntuales]]/MIT_Vic_Cap[[#This Row],[Trenes Corridos]]</f>
        <v>0.68150208623087627</v>
      </c>
      <c r="BA313" s="35">
        <f>+MIT_Vic_Cap[[#This Row],[Trenes Corridos]]/MIT_Vic_Cap[[#This Row],[Trenes Programados]]</f>
        <v>0.96251673360107093</v>
      </c>
      <c r="BB313" s="20">
        <v>747</v>
      </c>
      <c r="BC313" s="27">
        <f t="shared" si="195"/>
        <v>28</v>
      </c>
      <c r="BD313" s="20">
        <v>719</v>
      </c>
      <c r="BE313" s="20">
        <v>490</v>
      </c>
      <c r="BF313" s="20">
        <f t="shared" si="196"/>
        <v>229</v>
      </c>
      <c r="BG313" s="20"/>
      <c r="BH313" s="5"/>
      <c r="BI313" s="29">
        <v>2018</v>
      </c>
      <c r="BJ313" s="38" t="s">
        <v>45</v>
      </c>
      <c r="BK313" s="35">
        <f>+Tabla8[[#This Row],[Trenes Puntuales]]/Tabla8[[#This Row],[Trenes Programados]]</f>
        <v>0.48478260869565215</v>
      </c>
      <c r="BL313" s="35">
        <f>+Tabla8[[#This Row],[Trenes Puntuales]]/Tabla8[[#This Row],[Trenes Corridos]]</f>
        <v>0.48796498905908098</v>
      </c>
      <c r="BM313" s="35">
        <f>+Tabla8[[#This Row],[Trenes Corridos]]/Tabla8[[#This Row],[Trenes Programados]]</f>
        <v>0.99347826086956526</v>
      </c>
      <c r="BN313" s="20">
        <v>460</v>
      </c>
      <c r="BO313" s="27">
        <f t="shared" si="197"/>
        <v>3</v>
      </c>
      <c r="BP313" s="20">
        <v>457</v>
      </c>
      <c r="BQ313" s="20">
        <v>223</v>
      </c>
      <c r="BR313" s="20">
        <f t="shared" si="198"/>
        <v>234</v>
      </c>
      <c r="BS313" s="29"/>
    </row>
    <row r="314" spans="1:71" s="3" customFormat="1" ht="12.75">
      <c r="A314" s="3">
        <v>2018</v>
      </c>
      <c r="B314" s="38" t="s">
        <v>46</v>
      </c>
      <c r="C314" s="25">
        <f>+MITRE[[#This Row],[Trenes Puntuales]]/MITRE[[#This Row],[Trenes Programados]]</f>
        <v>0.8202501008471158</v>
      </c>
      <c r="D314" s="25">
        <f>+MITRE[[#This Row],[Trenes Puntuales]]/MITRE[[#This Row],[Trenes Corridos]]</f>
        <v>0.91110314544314008</v>
      </c>
      <c r="E314" s="25">
        <f>+MITRE[[#This Row],[Trenes Corridos]]/MITRE[[#This Row],[Trenes Programados]]</f>
        <v>0.90028237192416294</v>
      </c>
      <c r="F314" s="27">
        <f t="shared" si="154"/>
        <v>12395</v>
      </c>
      <c r="G314" s="27">
        <f t="shared" si="155"/>
        <v>1236</v>
      </c>
      <c r="H314" s="27">
        <f t="shared" si="156"/>
        <v>11159</v>
      </c>
      <c r="I314" s="27">
        <f t="shared" si="157"/>
        <v>10167</v>
      </c>
      <c r="J314" s="27">
        <f t="shared" si="158"/>
        <v>992</v>
      </c>
      <c r="K314" s="27"/>
      <c r="L314" s="4"/>
      <c r="M314" s="29">
        <v>2018</v>
      </c>
      <c r="N314" s="38" t="s">
        <v>46</v>
      </c>
      <c r="O314" s="35">
        <f>+Tabla4[[#This Row],[Trenes Puntuales]]/Tabla4[[#This Row],[Trenes Programados]]</f>
        <v>0.78896396396396395</v>
      </c>
      <c r="P314" s="35">
        <f>+Tabla4[[#This Row],[Trenes Puntuales]]/Tabla4[[#This Row],[Trenes Corridos]]</f>
        <v>0.94293405114401074</v>
      </c>
      <c r="Q314" s="35">
        <f>+Tabla4[[#This Row],[Trenes Corridos]]/Tabla4[[#This Row],[Trenes Programados]]</f>
        <v>0.83671171171171166</v>
      </c>
      <c r="R314" s="20">
        <v>4440</v>
      </c>
      <c r="S314" s="27">
        <f t="shared" si="189"/>
        <v>725</v>
      </c>
      <c r="T314" s="20">
        <v>3715</v>
      </c>
      <c r="U314" s="20">
        <v>3503</v>
      </c>
      <c r="V314" s="20">
        <f t="shared" si="190"/>
        <v>212</v>
      </c>
      <c r="W314" s="31" t="s">
        <v>51</v>
      </c>
      <c r="X314" s="5"/>
      <c r="Y314" s="29">
        <v>2018</v>
      </c>
      <c r="Z314" s="38" t="s">
        <v>46</v>
      </c>
      <c r="AA314" s="35">
        <f>+Tabla5[[#This Row],[Trenes Puntuales]]/Tabla5[[#This Row],[Trenes Programados]]</f>
        <v>0.86502242152466369</v>
      </c>
      <c r="AB314" s="35">
        <f>+Tabla5[[#This Row],[Trenes Puntuales]]/Tabla5[[#This Row],[Trenes Corridos]]</f>
        <v>0.9084059336001884</v>
      </c>
      <c r="AC314" s="35">
        <f>+Tabla5[[#This Row],[Trenes Corridos]]/Tabla5[[#This Row],[Trenes Programados]]</f>
        <v>0.95224215246636768</v>
      </c>
      <c r="AD314" s="20">
        <v>4460</v>
      </c>
      <c r="AE314" s="27">
        <f t="shared" si="191"/>
        <v>213</v>
      </c>
      <c r="AF314" s="20">
        <v>4247</v>
      </c>
      <c r="AG314" s="20">
        <v>3858</v>
      </c>
      <c r="AH314" s="20">
        <f t="shared" si="192"/>
        <v>389</v>
      </c>
      <c r="AI314" s="20"/>
      <c r="AJ314" s="5"/>
      <c r="AK314" s="29">
        <v>2018</v>
      </c>
      <c r="AL314" s="38" t="s">
        <v>46</v>
      </c>
      <c r="AM314" s="35">
        <f>+Tabla6[[#This Row],[Trenes Puntuales]]/Tabla6[[#This Row],[Trenes Programados]]</f>
        <v>0.91880341880341876</v>
      </c>
      <c r="AN314" s="35">
        <f>+Tabla6[[#This Row],[Trenes Puntuales]]/Tabla6[[#This Row],[Trenes Corridos]]</f>
        <v>0.96499102333931774</v>
      </c>
      <c r="AO314" s="35">
        <f>+Tabla6[[#This Row],[Trenes Corridos]]/Tabla6[[#This Row],[Trenes Programados]]</f>
        <v>0.95213675213675208</v>
      </c>
      <c r="AP314" s="20">
        <v>2340</v>
      </c>
      <c r="AQ314" s="27">
        <f t="shared" si="193"/>
        <v>112</v>
      </c>
      <c r="AR314" s="20">
        <v>2228</v>
      </c>
      <c r="AS314" s="20">
        <v>2150</v>
      </c>
      <c r="AT314" s="20">
        <f t="shared" si="194"/>
        <v>78</v>
      </c>
      <c r="AU314" s="20"/>
      <c r="AV314" s="5"/>
      <c r="AW314" s="29">
        <v>2018</v>
      </c>
      <c r="AX314" s="38" t="s">
        <v>46</v>
      </c>
      <c r="AY314" s="35">
        <f>+MIT_Vic_Cap[[#This Row],[Trenes Puntuales]]/MIT_Vic_Cap[[#This Row],[Trenes Programados]]</f>
        <v>0.59720279720279723</v>
      </c>
      <c r="AZ314" s="35">
        <f>+MIT_Vic_Cap[[#This Row],[Trenes Puntuales]]/MIT_Vic_Cap[[#This Row],[Trenes Corridos]]</f>
        <v>0.76660682226211851</v>
      </c>
      <c r="BA314" s="35">
        <f>+MIT_Vic_Cap[[#This Row],[Trenes Corridos]]/MIT_Vic_Cap[[#This Row],[Trenes Programados]]</f>
        <v>0.779020979020979</v>
      </c>
      <c r="BB314" s="20">
        <v>715</v>
      </c>
      <c r="BC314" s="27">
        <f t="shared" si="195"/>
        <v>158</v>
      </c>
      <c r="BD314" s="20">
        <v>557</v>
      </c>
      <c r="BE314" s="20">
        <v>427</v>
      </c>
      <c r="BF314" s="20">
        <f t="shared" si="196"/>
        <v>130</v>
      </c>
      <c r="BG314" s="31" t="s">
        <v>52</v>
      </c>
      <c r="BH314" s="5"/>
      <c r="BI314" s="29">
        <v>2018</v>
      </c>
      <c r="BJ314" s="38" t="s">
        <v>46</v>
      </c>
      <c r="BK314" s="35">
        <f>+Tabla8[[#This Row],[Trenes Puntuales]]/Tabla8[[#This Row],[Trenes Programados]]</f>
        <v>0.5204545454545455</v>
      </c>
      <c r="BL314" s="35">
        <f>+Tabla8[[#This Row],[Trenes Puntuales]]/Tabla8[[#This Row],[Trenes Corridos]]</f>
        <v>0.55582524271844658</v>
      </c>
      <c r="BM314" s="35">
        <f>+Tabla8[[#This Row],[Trenes Corridos]]/Tabla8[[#This Row],[Trenes Programados]]</f>
        <v>0.9363636363636364</v>
      </c>
      <c r="BN314" s="20">
        <v>440</v>
      </c>
      <c r="BO314" s="27">
        <f t="shared" si="197"/>
        <v>28</v>
      </c>
      <c r="BP314" s="20">
        <v>412</v>
      </c>
      <c r="BQ314" s="20">
        <v>229</v>
      </c>
      <c r="BR314" s="20">
        <f t="shared" si="198"/>
        <v>183</v>
      </c>
      <c r="BS314" s="29"/>
    </row>
    <row r="315" spans="1:71" s="3" customFormat="1" ht="12.75">
      <c r="A315" s="3">
        <v>2018</v>
      </c>
      <c r="B315" s="38" t="s">
        <v>47</v>
      </c>
      <c r="C315" s="25">
        <f>+MITRE[[#This Row],[Trenes Puntuales]]/MITRE[[#This Row],[Trenes Programados]]</f>
        <v>0.84217866274114817</v>
      </c>
      <c r="D315" s="25">
        <f>+MITRE[[#This Row],[Trenes Puntuales]]/MITRE[[#This Row],[Trenes Corridos]]</f>
        <v>0.91061405713328303</v>
      </c>
      <c r="E315" s="25">
        <f>+MITRE[[#This Row],[Trenes Corridos]]/MITRE[[#This Row],[Trenes Programados]]</f>
        <v>0.92484698225768958</v>
      </c>
      <c r="F315" s="27">
        <f t="shared" si="154"/>
        <v>12907</v>
      </c>
      <c r="G315" s="27">
        <f t="shared" si="155"/>
        <v>970</v>
      </c>
      <c r="H315" s="27">
        <f t="shared" si="156"/>
        <v>11937</v>
      </c>
      <c r="I315" s="27">
        <f t="shared" si="157"/>
        <v>10870</v>
      </c>
      <c r="J315" s="27">
        <f t="shared" si="158"/>
        <v>1067</v>
      </c>
      <c r="K315" s="27"/>
      <c r="L315" s="4"/>
      <c r="M315" s="29">
        <v>2018</v>
      </c>
      <c r="N315" s="38" t="s">
        <v>47</v>
      </c>
      <c r="O315" s="35">
        <f>+Tabla4[[#This Row],[Trenes Puntuales]]/Tabla4[[#This Row],[Trenes Programados]]</f>
        <v>0.94099913867355722</v>
      </c>
      <c r="P315" s="35">
        <f>+Tabla4[[#This Row],[Trenes Puntuales]]/Tabla4[[#This Row],[Trenes Corridos]]</f>
        <v>0.95290013083296987</v>
      </c>
      <c r="Q315" s="35">
        <f>+Tabla4[[#This Row],[Trenes Corridos]]/Tabla4[[#This Row],[Trenes Programados]]</f>
        <v>0.98751076658053405</v>
      </c>
      <c r="R315" s="20">
        <v>4644</v>
      </c>
      <c r="S315" s="27">
        <f t="shared" si="189"/>
        <v>58</v>
      </c>
      <c r="T315" s="20">
        <v>4586</v>
      </c>
      <c r="U315" s="20">
        <v>4370</v>
      </c>
      <c r="V315" s="20">
        <f t="shared" si="190"/>
        <v>216</v>
      </c>
      <c r="W315" s="20"/>
      <c r="X315" s="5"/>
      <c r="Y315" s="29">
        <v>2018</v>
      </c>
      <c r="Z315" s="38" t="s">
        <v>47</v>
      </c>
      <c r="AA315" s="35">
        <f>+Tabla5[[#This Row],[Trenes Puntuales]]/Tabla5[[#This Row],[Trenes Programados]]</f>
        <v>0.85899094437257439</v>
      </c>
      <c r="AB315" s="35">
        <f>+Tabla5[[#This Row],[Trenes Puntuales]]/Tabla5[[#This Row],[Trenes Corridos]]</f>
        <v>0.87291849255039444</v>
      </c>
      <c r="AC315" s="35">
        <f>+Tabla5[[#This Row],[Trenes Corridos]]/Tabla5[[#This Row],[Trenes Programados]]</f>
        <v>0.98404484691677452</v>
      </c>
      <c r="AD315" s="20">
        <v>4638</v>
      </c>
      <c r="AE315" s="27">
        <f t="shared" si="191"/>
        <v>74</v>
      </c>
      <c r="AF315" s="20">
        <v>4564</v>
      </c>
      <c r="AG315" s="20">
        <v>3984</v>
      </c>
      <c r="AH315" s="20">
        <f t="shared" si="192"/>
        <v>580</v>
      </c>
      <c r="AI315" s="20"/>
      <c r="AJ315" s="5"/>
      <c r="AK315" s="29">
        <v>2018</v>
      </c>
      <c r="AL315" s="38" t="s">
        <v>47</v>
      </c>
      <c r="AM315" s="35">
        <f>+Tabla6[[#This Row],[Trenes Puntuales]]/Tabla6[[#This Row],[Trenes Programados]]</f>
        <v>0.93258891645988418</v>
      </c>
      <c r="AN315" s="35">
        <f>+Tabla6[[#This Row],[Trenes Puntuales]]/Tabla6[[#This Row],[Trenes Corridos]]</f>
        <v>0.95672464997878659</v>
      </c>
      <c r="AO315" s="35">
        <f>+Tabla6[[#This Row],[Trenes Corridos]]/Tabla6[[#This Row],[Trenes Programados]]</f>
        <v>0.97477253928866836</v>
      </c>
      <c r="AP315" s="20">
        <v>2418</v>
      </c>
      <c r="AQ315" s="27">
        <f t="shared" si="193"/>
        <v>61</v>
      </c>
      <c r="AR315" s="20">
        <v>2357</v>
      </c>
      <c r="AS315" s="20">
        <v>2255</v>
      </c>
      <c r="AT315" s="20">
        <f t="shared" si="194"/>
        <v>102</v>
      </c>
      <c r="AU315" s="20"/>
      <c r="AV315" s="5"/>
      <c r="AW315" s="29">
        <v>2018</v>
      </c>
      <c r="AX315" s="38" t="s">
        <v>47</v>
      </c>
      <c r="AY315" s="35">
        <f>+MIT_Vic_Cap[[#This Row],[Trenes Puntuales]]/MIT_Vic_Cap[[#This Row],[Trenes Programados]]</f>
        <v>0</v>
      </c>
      <c r="AZ315" s="35" t="e">
        <f>+MIT_Vic_Cap[[#This Row],[Trenes Puntuales]]/MIT_Vic_Cap[[#This Row],[Trenes Corridos]]</f>
        <v>#DIV/0!</v>
      </c>
      <c r="BA315" s="35">
        <f>+MIT_Vic_Cap[[#This Row],[Trenes Corridos]]/MIT_Vic_Cap[[#This Row],[Trenes Programados]]</f>
        <v>0</v>
      </c>
      <c r="BB315" s="20">
        <v>747</v>
      </c>
      <c r="BC315" s="27">
        <f t="shared" si="195"/>
        <v>747</v>
      </c>
      <c r="BD315" s="20">
        <v>0</v>
      </c>
      <c r="BE315" s="20">
        <v>0</v>
      </c>
      <c r="BF315" s="20">
        <f t="shared" si="196"/>
        <v>0</v>
      </c>
      <c r="BG315" s="31" t="s">
        <v>52</v>
      </c>
      <c r="BH315" s="5"/>
      <c r="BI315" s="29">
        <v>2018</v>
      </c>
      <c r="BJ315" s="38" t="s">
        <v>47</v>
      </c>
      <c r="BK315" s="35">
        <f>+Tabla8[[#This Row],[Trenes Puntuales]]/Tabla8[[#This Row],[Trenes Programados]]</f>
        <v>0.56739130434782614</v>
      </c>
      <c r="BL315" s="35">
        <f>+Tabla8[[#This Row],[Trenes Puntuales]]/Tabla8[[#This Row],[Trenes Corridos]]</f>
        <v>0.60697674418604652</v>
      </c>
      <c r="BM315" s="35">
        <f>+Tabla8[[#This Row],[Trenes Corridos]]/Tabla8[[#This Row],[Trenes Programados]]</f>
        <v>0.93478260869565222</v>
      </c>
      <c r="BN315" s="20">
        <v>460</v>
      </c>
      <c r="BO315" s="27">
        <f t="shared" si="197"/>
        <v>30</v>
      </c>
      <c r="BP315" s="20">
        <v>430</v>
      </c>
      <c r="BQ315" s="20">
        <v>261</v>
      </c>
      <c r="BR315" s="20">
        <f t="shared" si="198"/>
        <v>169</v>
      </c>
      <c r="BS315" s="29"/>
    </row>
    <row r="316" spans="1:71" s="3" customFormat="1" ht="12.75">
      <c r="A316" s="3">
        <v>2018</v>
      </c>
      <c r="B316" s="38" t="s">
        <v>48</v>
      </c>
      <c r="C316" s="25">
        <f>+MITRE[[#This Row],[Trenes Puntuales]]/MITRE[[#This Row],[Trenes Programados]]</f>
        <v>0.80952762851872639</v>
      </c>
      <c r="D316" s="25">
        <f>+MITRE[[#This Row],[Trenes Puntuales]]/MITRE[[#This Row],[Trenes Corridos]]</f>
        <v>0.87099836051428081</v>
      </c>
      <c r="E316" s="25">
        <f>+MITRE[[#This Row],[Trenes Corridos]]/MITRE[[#This Row],[Trenes Programados]]</f>
        <v>0.92942497393535972</v>
      </c>
      <c r="F316" s="27">
        <f t="shared" si="154"/>
        <v>12469</v>
      </c>
      <c r="G316" s="27">
        <f t="shared" si="155"/>
        <v>880</v>
      </c>
      <c r="H316" s="27">
        <f t="shared" si="156"/>
        <v>11589</v>
      </c>
      <c r="I316" s="27">
        <f t="shared" si="157"/>
        <v>10094</v>
      </c>
      <c r="J316" s="27">
        <f t="shared" si="158"/>
        <v>1495</v>
      </c>
      <c r="K316" s="27"/>
      <c r="L316" s="4"/>
      <c r="M316" s="29">
        <v>2018</v>
      </c>
      <c r="N316" s="38" t="s">
        <v>48</v>
      </c>
      <c r="O316" s="35">
        <f>+Tabla4[[#This Row],[Trenes Puntuales]]/Tabla4[[#This Row],[Trenes Programados]]</f>
        <v>0.9013833110218652</v>
      </c>
      <c r="P316" s="35">
        <f>+Tabla4[[#This Row],[Trenes Puntuales]]/Tabla4[[#This Row],[Trenes Corridos]]</f>
        <v>0.94569288389513106</v>
      </c>
      <c r="Q316" s="35">
        <f>+Tabla4[[#This Row],[Trenes Corridos]]/Tabla4[[#This Row],[Trenes Programados]]</f>
        <v>0.95314591700133866</v>
      </c>
      <c r="R316" s="20">
        <v>4482</v>
      </c>
      <c r="S316" s="27">
        <f t="shared" si="189"/>
        <v>210</v>
      </c>
      <c r="T316" s="20">
        <v>4272</v>
      </c>
      <c r="U316" s="20">
        <v>4040</v>
      </c>
      <c r="V316" s="20">
        <f t="shared" si="190"/>
        <v>232</v>
      </c>
      <c r="W316" s="20"/>
      <c r="X316" s="5"/>
      <c r="Y316" s="29">
        <v>2018</v>
      </c>
      <c r="Z316" s="38" t="s">
        <v>48</v>
      </c>
      <c r="AA316" s="35">
        <f>+Tabla5[[#This Row],[Trenes Puntuales]]/Tabla5[[#This Row],[Trenes Programados]]</f>
        <v>0.79339580544399824</v>
      </c>
      <c r="AB316" s="35">
        <f>+Tabla5[[#This Row],[Trenes Puntuales]]/Tabla5[[#This Row],[Trenes Corridos]]</f>
        <v>0.85357657225156025</v>
      </c>
      <c r="AC316" s="35">
        <f>+Tabla5[[#This Row],[Trenes Corridos]]/Tabla5[[#This Row],[Trenes Programados]]</f>
        <v>0.929495760821062</v>
      </c>
      <c r="AD316" s="20">
        <v>4482</v>
      </c>
      <c r="AE316" s="27">
        <f t="shared" si="191"/>
        <v>316</v>
      </c>
      <c r="AF316" s="20">
        <v>4166</v>
      </c>
      <c r="AG316" s="20">
        <v>3556</v>
      </c>
      <c r="AH316" s="20">
        <f t="shared" si="192"/>
        <v>610</v>
      </c>
      <c r="AI316" s="20"/>
      <c r="AJ316" s="5"/>
      <c r="AK316" s="29">
        <v>2018</v>
      </c>
      <c r="AL316" s="38" t="s">
        <v>48</v>
      </c>
      <c r="AM316" s="35">
        <f>+Tabla6[[#This Row],[Trenes Puntuales]]/Tabla6[[#This Row],[Trenes Programados]]</f>
        <v>0.84615384615384615</v>
      </c>
      <c r="AN316" s="35">
        <f>+Tabla6[[#This Row],[Trenes Puntuales]]/Tabla6[[#This Row],[Trenes Corridos]]</f>
        <v>0.92783505154639179</v>
      </c>
      <c r="AO316" s="35">
        <f>+Tabla6[[#This Row],[Trenes Corridos]]/Tabla6[[#This Row],[Trenes Programados]]</f>
        <v>0.91196581196581195</v>
      </c>
      <c r="AP316" s="20">
        <v>2340</v>
      </c>
      <c r="AQ316" s="27">
        <f t="shared" si="193"/>
        <v>206</v>
      </c>
      <c r="AR316" s="20">
        <v>2134</v>
      </c>
      <c r="AS316" s="20">
        <v>1980</v>
      </c>
      <c r="AT316" s="20">
        <f t="shared" si="194"/>
        <v>154</v>
      </c>
      <c r="AU316" s="20"/>
      <c r="AV316" s="5"/>
      <c r="AW316" s="29">
        <v>2018</v>
      </c>
      <c r="AX316" s="38" t="s">
        <v>48</v>
      </c>
      <c r="AY316" s="35">
        <f>+MIT_Vic_Cap[[#This Row],[Trenes Puntuales]]/MIT_Vic_Cap[[#This Row],[Trenes Programados]]</f>
        <v>0.50208044382801664</v>
      </c>
      <c r="AZ316" s="35">
        <f>+MIT_Vic_Cap[[#This Row],[Trenes Puntuales]]/MIT_Vic_Cap[[#This Row],[Trenes Corridos]]</f>
        <v>0.59735973597359737</v>
      </c>
      <c r="BA316" s="35">
        <f>+MIT_Vic_Cap[[#This Row],[Trenes Corridos]]/MIT_Vic_Cap[[#This Row],[Trenes Programados]]</f>
        <v>0.84049930651872395</v>
      </c>
      <c r="BB316" s="20">
        <v>721</v>
      </c>
      <c r="BC316" s="27">
        <f t="shared" si="195"/>
        <v>115</v>
      </c>
      <c r="BD316" s="20">
        <v>606</v>
      </c>
      <c r="BE316" s="20">
        <v>362</v>
      </c>
      <c r="BF316" s="20">
        <f t="shared" si="196"/>
        <v>244</v>
      </c>
      <c r="BG316" s="20"/>
      <c r="BH316" s="5"/>
      <c r="BI316" s="29">
        <v>2018</v>
      </c>
      <c r="BJ316" s="38" t="s">
        <v>48</v>
      </c>
      <c r="BK316" s="35">
        <f>+Tabla8[[#This Row],[Trenes Puntuales]]/Tabla8[[#This Row],[Trenes Programados]]</f>
        <v>0.35135135135135137</v>
      </c>
      <c r="BL316" s="35">
        <f>+Tabla8[[#This Row],[Trenes Puntuales]]/Tabla8[[#This Row],[Trenes Corridos]]</f>
        <v>0.37956204379562042</v>
      </c>
      <c r="BM316" s="35">
        <f>+Tabla8[[#This Row],[Trenes Corridos]]/Tabla8[[#This Row],[Trenes Programados]]</f>
        <v>0.92567567567567566</v>
      </c>
      <c r="BN316" s="20">
        <v>444</v>
      </c>
      <c r="BO316" s="27">
        <f t="shared" si="197"/>
        <v>33</v>
      </c>
      <c r="BP316" s="20">
        <v>411</v>
      </c>
      <c r="BQ316" s="20">
        <v>156</v>
      </c>
      <c r="BR316" s="20">
        <f t="shared" si="198"/>
        <v>255</v>
      </c>
      <c r="BS316" s="29"/>
    </row>
    <row r="317" spans="1:71" s="3" customFormat="1" ht="12.75">
      <c r="A317" s="3">
        <v>2018</v>
      </c>
      <c r="B317" s="38" t="s">
        <v>49</v>
      </c>
      <c r="C317" s="25">
        <f>+MITRE[[#This Row],[Trenes Puntuales]]/MITRE[[#This Row],[Trenes Programados]]</f>
        <v>0.7633436434292965</v>
      </c>
      <c r="D317" s="25">
        <f>+MITRE[[#This Row],[Trenes Puntuales]]/MITRE[[#This Row],[Trenes Corridos]]</f>
        <v>0.86532410320956576</v>
      </c>
      <c r="E317" s="25">
        <f>+MITRE[[#This Row],[Trenes Corridos]]/MITRE[[#This Row],[Trenes Programados]]</f>
        <v>0.88214767229756519</v>
      </c>
      <c r="F317" s="27">
        <f t="shared" si="154"/>
        <v>12609</v>
      </c>
      <c r="G317" s="27">
        <f t="shared" si="155"/>
        <v>1486</v>
      </c>
      <c r="H317" s="27">
        <f t="shared" si="156"/>
        <v>11123</v>
      </c>
      <c r="I317" s="27">
        <f t="shared" si="157"/>
        <v>9625</v>
      </c>
      <c r="J317" s="27">
        <f t="shared" si="158"/>
        <v>1498</v>
      </c>
      <c r="K317" s="27"/>
      <c r="L317" s="4"/>
      <c r="M317" s="29">
        <v>2018</v>
      </c>
      <c r="N317" s="38" t="s">
        <v>49</v>
      </c>
      <c r="O317" s="35">
        <f>+Tabla4[[#This Row],[Trenes Puntuales]]/Tabla4[[#This Row],[Trenes Programados]]</f>
        <v>0.86081322609472744</v>
      </c>
      <c r="P317" s="35">
        <f>+Tabla4[[#This Row],[Trenes Puntuales]]/Tabla4[[#This Row],[Trenes Corridos]]</f>
        <v>0.95182806324110669</v>
      </c>
      <c r="Q317" s="35">
        <f>+Tabla4[[#This Row],[Trenes Corridos]]/Tabla4[[#This Row],[Trenes Programados]]</f>
        <v>0.90437890974084001</v>
      </c>
      <c r="R317" s="20">
        <v>4476</v>
      </c>
      <c r="S317" s="27">
        <f t="shared" si="189"/>
        <v>428</v>
      </c>
      <c r="T317" s="20">
        <v>4048</v>
      </c>
      <c r="U317" s="20">
        <v>3853</v>
      </c>
      <c r="V317" s="20">
        <f t="shared" si="190"/>
        <v>195</v>
      </c>
      <c r="W317" s="20"/>
      <c r="X317" s="5"/>
      <c r="Y317" s="29">
        <v>2018</v>
      </c>
      <c r="Z317" s="38" t="s">
        <v>49</v>
      </c>
      <c r="AA317" s="35">
        <f>+Tabla5[[#This Row],[Trenes Puntuales]]/Tabla5[[#This Row],[Trenes Programados]]</f>
        <v>0.72175824175824177</v>
      </c>
      <c r="AB317" s="35">
        <f>+Tabla5[[#This Row],[Trenes Puntuales]]/Tabla5[[#This Row],[Trenes Corridos]]</f>
        <v>0.84011256075722696</v>
      </c>
      <c r="AC317" s="35">
        <f>+Tabla5[[#This Row],[Trenes Corridos]]/Tabla5[[#This Row],[Trenes Programados]]</f>
        <v>0.85912087912087909</v>
      </c>
      <c r="AD317" s="20">
        <v>4550</v>
      </c>
      <c r="AE317" s="27">
        <f t="shared" si="191"/>
        <v>641</v>
      </c>
      <c r="AF317" s="20">
        <v>3909</v>
      </c>
      <c r="AG317" s="20">
        <v>3284</v>
      </c>
      <c r="AH317" s="20">
        <f t="shared" si="192"/>
        <v>625</v>
      </c>
      <c r="AI317" s="20"/>
      <c r="AJ317" s="5"/>
      <c r="AK317" s="29">
        <v>2018</v>
      </c>
      <c r="AL317" s="38" t="s">
        <v>49</v>
      </c>
      <c r="AM317" s="35">
        <f>+Tabla6[[#This Row],[Trenes Puntuales]]/Tabla6[[#This Row],[Trenes Programados]]</f>
        <v>0.80479735318445</v>
      </c>
      <c r="AN317" s="35">
        <f>+Tabla6[[#This Row],[Trenes Puntuales]]/Tabla6[[#This Row],[Trenes Corridos]]</f>
        <v>0.91019644527595889</v>
      </c>
      <c r="AO317" s="35">
        <f>+Tabla6[[#This Row],[Trenes Corridos]]/Tabla6[[#This Row],[Trenes Programados]]</f>
        <v>0.88420181968569067</v>
      </c>
      <c r="AP317" s="20">
        <v>2418</v>
      </c>
      <c r="AQ317" s="27">
        <f t="shared" si="193"/>
        <v>280</v>
      </c>
      <c r="AR317" s="20">
        <v>2138</v>
      </c>
      <c r="AS317" s="20">
        <v>1946</v>
      </c>
      <c r="AT317" s="20">
        <f t="shared" si="194"/>
        <v>192</v>
      </c>
      <c r="AU317" s="20"/>
      <c r="AV317" s="5"/>
      <c r="AW317" s="29">
        <v>2018</v>
      </c>
      <c r="AX317" s="38" t="s">
        <v>49</v>
      </c>
      <c r="AY317" s="35">
        <f>+MIT_Vic_Cap[[#This Row],[Trenes Puntuales]]/MIT_Vic_Cap[[#This Row],[Trenes Programados]]</f>
        <v>0.56310679611650483</v>
      </c>
      <c r="AZ317" s="35">
        <f>+MIT_Vic_Cap[[#This Row],[Trenes Puntuales]]/MIT_Vic_Cap[[#This Row],[Trenes Corridos]]</f>
        <v>0.6485623003194888</v>
      </c>
      <c r="BA317" s="35">
        <f>+MIT_Vic_Cap[[#This Row],[Trenes Corridos]]/MIT_Vic_Cap[[#This Row],[Trenes Programados]]</f>
        <v>0.86823855755894586</v>
      </c>
      <c r="BB317" s="20">
        <v>721</v>
      </c>
      <c r="BC317" s="27">
        <f t="shared" si="195"/>
        <v>95</v>
      </c>
      <c r="BD317" s="20">
        <v>626</v>
      </c>
      <c r="BE317" s="20">
        <v>406</v>
      </c>
      <c r="BF317" s="20">
        <f t="shared" si="196"/>
        <v>220</v>
      </c>
      <c r="BG317" s="20"/>
      <c r="BH317" s="5"/>
      <c r="BI317" s="29">
        <v>2018</v>
      </c>
      <c r="BJ317" s="38" t="s">
        <v>49</v>
      </c>
      <c r="BK317" s="35">
        <f>+Tabla8[[#This Row],[Trenes Puntuales]]/Tabla8[[#This Row],[Trenes Programados]]</f>
        <v>0.30630630630630629</v>
      </c>
      <c r="BL317" s="35">
        <f>+Tabla8[[#This Row],[Trenes Puntuales]]/Tabla8[[#This Row],[Trenes Corridos]]</f>
        <v>0.3383084577114428</v>
      </c>
      <c r="BM317" s="35">
        <f>+Tabla8[[#This Row],[Trenes Corridos]]/Tabla8[[#This Row],[Trenes Programados]]</f>
        <v>0.90540540540540537</v>
      </c>
      <c r="BN317" s="20">
        <v>444</v>
      </c>
      <c r="BO317" s="27">
        <f t="shared" si="197"/>
        <v>42</v>
      </c>
      <c r="BP317" s="20">
        <v>402</v>
      </c>
      <c r="BQ317" s="20">
        <v>136</v>
      </c>
      <c r="BR317" s="20">
        <f t="shared" si="198"/>
        <v>266</v>
      </c>
      <c r="BS317" s="29"/>
    </row>
    <row r="318" spans="1:71" s="3" customFormat="1" ht="12.75">
      <c r="A318" s="3">
        <v>2019</v>
      </c>
      <c r="B318" s="38" t="s">
        <v>38</v>
      </c>
      <c r="C318" s="25">
        <f>+MITRE[[#This Row],[Trenes Puntuales]]/MITRE[[#This Row],[Trenes Programados]]</f>
        <v>0.77709769892306502</v>
      </c>
      <c r="D318" s="25">
        <f>+MITRE[[#This Row],[Trenes Puntuales]]/MITRE[[#This Row],[Trenes Corridos]]</f>
        <v>0.88059701492537312</v>
      </c>
      <c r="E318" s="25">
        <f>+MITRE[[#This Row],[Trenes Corridos]]/MITRE[[#This Row],[Trenes Programados]]</f>
        <v>0.88246687843805682</v>
      </c>
      <c r="F318" s="27">
        <f t="shared" si="154"/>
        <v>12907</v>
      </c>
      <c r="G318" s="27">
        <f t="shared" si="155"/>
        <v>1517</v>
      </c>
      <c r="H318" s="27">
        <f t="shared" si="156"/>
        <v>11390</v>
      </c>
      <c r="I318" s="27">
        <f t="shared" si="157"/>
        <v>10030</v>
      </c>
      <c r="J318" s="27">
        <f t="shared" si="158"/>
        <v>1360</v>
      </c>
      <c r="K318" s="27"/>
      <c r="L318" s="4"/>
      <c r="M318" s="29">
        <v>2019</v>
      </c>
      <c r="N318" s="38" t="s">
        <v>38</v>
      </c>
      <c r="O318" s="35">
        <f>+Tabla4[[#This Row],[Trenes Puntuales]]/Tabla4[[#This Row],[Trenes Programados]]</f>
        <v>0.78789836347975883</v>
      </c>
      <c r="P318" s="35">
        <f>+Tabla4[[#This Row],[Trenes Puntuales]]/Tabla4[[#This Row],[Trenes Corridos]]</f>
        <v>0.92143037018383278</v>
      </c>
      <c r="Q318" s="35">
        <f>+Tabla4[[#This Row],[Trenes Corridos]]/Tabla4[[#This Row],[Trenes Programados]]</f>
        <v>0.85508182601205862</v>
      </c>
      <c r="R318" s="20">
        <v>4644</v>
      </c>
      <c r="S318" s="27">
        <f t="shared" ref="S318:S329" si="199">+R318-T318</f>
        <v>673</v>
      </c>
      <c r="T318" s="20">
        <v>3971</v>
      </c>
      <c r="U318" s="20">
        <v>3659</v>
      </c>
      <c r="V318" s="20">
        <f>+T318-U318</f>
        <v>312</v>
      </c>
      <c r="W318" s="20"/>
      <c r="X318" s="5"/>
      <c r="Y318" s="29">
        <v>2019</v>
      </c>
      <c r="Z318" s="38" t="s">
        <v>38</v>
      </c>
      <c r="AA318" s="35">
        <f>+Tabla5[[#This Row],[Trenes Puntuales]]/Tabla5[[#This Row],[Trenes Programados]]</f>
        <v>0.85597240189736956</v>
      </c>
      <c r="AB318" s="35">
        <f>+Tabla5[[#This Row],[Trenes Puntuales]]/Tabla5[[#This Row],[Trenes Corridos]]</f>
        <v>0.88794453142473717</v>
      </c>
      <c r="AC318" s="35">
        <f>+Tabla5[[#This Row],[Trenes Corridos]]/Tabla5[[#This Row],[Trenes Programados]]</f>
        <v>0.96399310047434239</v>
      </c>
      <c r="AD318" s="20">
        <v>4638</v>
      </c>
      <c r="AE318" s="27">
        <f t="shared" ref="AE318:AE329" si="200">+AD318-AF318</f>
        <v>167</v>
      </c>
      <c r="AF318" s="20">
        <v>4471</v>
      </c>
      <c r="AG318" s="20">
        <v>3970</v>
      </c>
      <c r="AH318" s="20">
        <f>+AF318-AG318</f>
        <v>501</v>
      </c>
      <c r="AI318" s="20"/>
      <c r="AJ318" s="5"/>
      <c r="AK318" s="29">
        <v>2019</v>
      </c>
      <c r="AL318" s="38" t="s">
        <v>38</v>
      </c>
      <c r="AM318" s="35">
        <f>+Tabla6[[#This Row],[Trenes Puntuales]]/Tabla6[[#This Row],[Trenes Programados]]</f>
        <v>0.84284532671629442</v>
      </c>
      <c r="AN318" s="35">
        <f>+Tabla6[[#This Row],[Trenes Puntuales]]/Tabla6[[#This Row],[Trenes Corridos]]</f>
        <v>0.91677912730544309</v>
      </c>
      <c r="AO318" s="35">
        <f>+Tabla6[[#This Row],[Trenes Corridos]]/Tabla6[[#This Row],[Trenes Programados]]</f>
        <v>0.91935483870967738</v>
      </c>
      <c r="AP318" s="20">
        <v>2418</v>
      </c>
      <c r="AQ318" s="27">
        <f t="shared" ref="AQ318:AQ329" si="201">+AP318-AR318</f>
        <v>195</v>
      </c>
      <c r="AR318" s="20">
        <v>2223</v>
      </c>
      <c r="AS318" s="20">
        <v>2038</v>
      </c>
      <c r="AT318" s="20">
        <f>+AR318-AS318</f>
        <v>185</v>
      </c>
      <c r="AU318" s="20"/>
      <c r="AV318" s="5"/>
      <c r="AW318" s="29">
        <v>2019</v>
      </c>
      <c r="AX318" s="38" t="s">
        <v>38</v>
      </c>
      <c r="AY318" s="35">
        <f>+MIT_Vic_Cap[[#This Row],[Trenes Puntuales]]/MIT_Vic_Cap[[#This Row],[Trenes Programados]]</f>
        <v>0.26907630522088355</v>
      </c>
      <c r="AZ318" s="35">
        <f>+MIT_Vic_Cap[[#This Row],[Trenes Puntuales]]/MIT_Vic_Cap[[#This Row],[Trenes Corridos]]</f>
        <v>0.73357664233576647</v>
      </c>
      <c r="BA318" s="35">
        <f>+MIT_Vic_Cap[[#This Row],[Trenes Corridos]]/MIT_Vic_Cap[[#This Row],[Trenes Programados]]</f>
        <v>0.36680053547523428</v>
      </c>
      <c r="BB318" s="20">
        <v>747</v>
      </c>
      <c r="BC318" s="27">
        <f t="shared" ref="BC318:BC340" si="202">+BB318-BD318</f>
        <v>473</v>
      </c>
      <c r="BD318" s="20">
        <v>274</v>
      </c>
      <c r="BE318" s="20">
        <v>201</v>
      </c>
      <c r="BF318" s="20">
        <f>+BD318-BE318</f>
        <v>73</v>
      </c>
      <c r="BG318" s="20"/>
      <c r="BH318" s="5"/>
      <c r="BI318" s="29">
        <v>2019</v>
      </c>
      <c r="BJ318" s="38" t="s">
        <v>38</v>
      </c>
      <c r="BK318" s="35">
        <f>+Tabla8[[#This Row],[Trenes Puntuales]]/Tabla8[[#This Row],[Trenes Programados]]</f>
        <v>0.35217391304347828</v>
      </c>
      <c r="BL318" s="35">
        <f>+Tabla8[[#This Row],[Trenes Puntuales]]/Tabla8[[#This Row],[Trenes Corridos]]</f>
        <v>0.35920177383592017</v>
      </c>
      <c r="BM318" s="35">
        <f>+Tabla8[[#This Row],[Trenes Corridos]]/Tabla8[[#This Row],[Trenes Programados]]</f>
        <v>0.98043478260869565</v>
      </c>
      <c r="BN318" s="20">
        <v>460</v>
      </c>
      <c r="BO318" s="27">
        <f t="shared" ref="BO318:BO329" si="203">+BN318-BP318</f>
        <v>9</v>
      </c>
      <c r="BP318" s="20">
        <v>451</v>
      </c>
      <c r="BQ318" s="20">
        <v>162</v>
      </c>
      <c r="BR318" s="20">
        <f>+BP318-BQ318</f>
        <v>289</v>
      </c>
      <c r="BS318" s="29"/>
    </row>
    <row r="319" spans="1:71" s="3" customFormat="1" ht="12.75">
      <c r="A319" s="3">
        <v>2019</v>
      </c>
      <c r="B319" s="38" t="s">
        <v>39</v>
      </c>
      <c r="C319" s="25">
        <f>+MITRE[[#This Row],[Trenes Puntuales]]/MITRE[[#This Row],[Trenes Programados]]</f>
        <v>0.79674727520435973</v>
      </c>
      <c r="D319" s="25">
        <f>+MITRE[[#This Row],[Trenes Puntuales]]/MITRE[[#This Row],[Trenes Corridos]]</f>
        <v>0.86670989255279729</v>
      </c>
      <c r="E319" s="25">
        <f>+MITRE[[#This Row],[Trenes Corridos]]/MITRE[[#This Row],[Trenes Programados]]</f>
        <v>0.91927792915531337</v>
      </c>
      <c r="F319" s="27">
        <f t="shared" si="154"/>
        <v>11744</v>
      </c>
      <c r="G319" s="27">
        <f t="shared" si="155"/>
        <v>948</v>
      </c>
      <c r="H319" s="27">
        <f t="shared" si="156"/>
        <v>10796</v>
      </c>
      <c r="I319" s="27">
        <f t="shared" si="157"/>
        <v>9357</v>
      </c>
      <c r="J319" s="27">
        <f t="shared" si="158"/>
        <v>1439</v>
      </c>
      <c r="K319" s="27"/>
      <c r="L319" s="4"/>
      <c r="M319" s="29">
        <v>2019</v>
      </c>
      <c r="N319" s="38" t="s">
        <v>39</v>
      </c>
      <c r="O319" s="35">
        <f>+Tabla4[[#This Row],[Trenes Puntuales]]/Tabla4[[#This Row],[Trenes Programados]]</f>
        <v>0.86395396629675303</v>
      </c>
      <c r="P319" s="35">
        <f>+Tabla4[[#This Row],[Trenes Puntuales]]/Tabla4[[#This Row],[Trenes Corridos]]</f>
        <v>0.94238959874467609</v>
      </c>
      <c r="Q319" s="35">
        <f>+Tabla4[[#This Row],[Trenes Corridos]]/Tabla4[[#This Row],[Trenes Programados]]</f>
        <v>0.91676942046855736</v>
      </c>
      <c r="R319" s="20">
        <v>4866</v>
      </c>
      <c r="S319" s="27">
        <f t="shared" si="199"/>
        <v>405</v>
      </c>
      <c r="T319" s="20">
        <v>4461</v>
      </c>
      <c r="U319" s="20">
        <v>4204</v>
      </c>
      <c r="V319" s="20">
        <f>+T319-U319</f>
        <v>257</v>
      </c>
      <c r="W319" s="31" t="s">
        <v>50</v>
      </c>
      <c r="X319" s="5"/>
      <c r="Y319" s="29">
        <v>2019</v>
      </c>
      <c r="Z319" s="38" t="s">
        <v>39</v>
      </c>
      <c r="AA319" s="35">
        <f>+Tabla5[[#This Row],[Trenes Puntuales]]/Tabla5[[#This Row],[Trenes Programados]]</f>
        <v>0.83479276123759483</v>
      </c>
      <c r="AB319" s="35">
        <f>+Tabla5[[#This Row],[Trenes Puntuales]]/Tabla5[[#This Row],[Trenes Corridos]]</f>
        <v>0.8501783590963139</v>
      </c>
      <c r="AC319" s="35">
        <f>+Tabla5[[#This Row],[Trenes Corridos]]/Tabla5[[#This Row],[Trenes Programados]]</f>
        <v>0.98190309398715703</v>
      </c>
      <c r="AD319" s="20">
        <v>3426</v>
      </c>
      <c r="AE319" s="27">
        <f t="shared" si="200"/>
        <v>62</v>
      </c>
      <c r="AF319" s="20">
        <v>3364</v>
      </c>
      <c r="AG319" s="20">
        <v>2860</v>
      </c>
      <c r="AH319" s="20">
        <f>+AF319-AG319</f>
        <v>504</v>
      </c>
      <c r="AI319" s="20"/>
      <c r="AJ319" s="5"/>
      <c r="AK319" s="29">
        <v>2019</v>
      </c>
      <c r="AL319" s="38" t="s">
        <v>39</v>
      </c>
      <c r="AM319" s="35">
        <f>+Tabla6[[#This Row],[Trenes Puntuales]]/Tabla6[[#This Row],[Trenes Programados]]</f>
        <v>0.8203389830508474</v>
      </c>
      <c r="AN319" s="35">
        <f>+Tabla6[[#This Row],[Trenes Puntuales]]/Tabla6[[#This Row],[Trenes Corridos]]</f>
        <v>0.84210526315789469</v>
      </c>
      <c r="AO319" s="35">
        <f>+Tabla6[[#This Row],[Trenes Corridos]]/Tabla6[[#This Row],[Trenes Programados]]</f>
        <v>0.9741525423728814</v>
      </c>
      <c r="AP319" s="20">
        <v>2360</v>
      </c>
      <c r="AQ319" s="27">
        <f t="shared" si="201"/>
        <v>61</v>
      </c>
      <c r="AR319" s="20">
        <v>2299</v>
      </c>
      <c r="AS319" s="20">
        <v>1936</v>
      </c>
      <c r="AT319" s="20">
        <f>+AR319-AS319</f>
        <v>363</v>
      </c>
      <c r="AU319" s="20"/>
      <c r="AV319" s="5"/>
      <c r="AW319" s="29">
        <v>2019</v>
      </c>
      <c r="AX319" s="38" t="s">
        <v>39</v>
      </c>
      <c r="AY319" s="35">
        <f>+MIT_Vic_Cap[[#This Row],[Trenes Puntuales]]/MIT_Vic_Cap[[#This Row],[Trenes Programados]]</f>
        <v>0.27662721893491127</v>
      </c>
      <c r="AZ319" s="35">
        <f>+MIT_Vic_Cap[[#This Row],[Trenes Puntuales]]/MIT_Vic_Cap[[#This Row],[Trenes Corridos]]</f>
        <v>0.71647509578544066</v>
      </c>
      <c r="BA319" s="35">
        <f>+MIT_Vic_Cap[[#This Row],[Trenes Corridos]]/MIT_Vic_Cap[[#This Row],[Trenes Programados]]</f>
        <v>0.38609467455621299</v>
      </c>
      <c r="BB319" s="20">
        <v>676</v>
      </c>
      <c r="BC319" s="27">
        <f t="shared" si="202"/>
        <v>415</v>
      </c>
      <c r="BD319" s="20">
        <v>261</v>
      </c>
      <c r="BE319" s="20">
        <v>187</v>
      </c>
      <c r="BF319" s="20">
        <f>+BD319-BE319</f>
        <v>74</v>
      </c>
      <c r="BG319" s="20"/>
      <c r="BH319" s="5"/>
      <c r="BI319" s="29">
        <v>2019</v>
      </c>
      <c r="BJ319" s="38" t="s">
        <v>39</v>
      </c>
      <c r="BK319" s="35">
        <f>+Tabla8[[#This Row],[Trenes Puntuales]]/Tabla8[[#This Row],[Trenes Programados]]</f>
        <v>0.40865384615384615</v>
      </c>
      <c r="BL319" s="35">
        <f>+Tabla8[[#This Row],[Trenes Puntuales]]/Tabla8[[#This Row],[Trenes Corridos]]</f>
        <v>0.41362530413625304</v>
      </c>
      <c r="BM319" s="35">
        <f>+Tabla8[[#This Row],[Trenes Corridos]]/Tabla8[[#This Row],[Trenes Programados]]</f>
        <v>0.98798076923076927</v>
      </c>
      <c r="BN319" s="20">
        <v>416</v>
      </c>
      <c r="BO319" s="27">
        <f t="shared" si="203"/>
        <v>5</v>
      </c>
      <c r="BP319" s="20">
        <v>411</v>
      </c>
      <c r="BQ319" s="20">
        <v>170</v>
      </c>
      <c r="BR319" s="20">
        <f>+BP319-BQ319</f>
        <v>241</v>
      </c>
      <c r="BS319" s="29"/>
    </row>
    <row r="320" spans="1:71" s="3" customFormat="1" ht="12.75">
      <c r="A320" s="3">
        <v>2019</v>
      </c>
      <c r="B320" s="38" t="s">
        <v>40</v>
      </c>
      <c r="C320" s="25">
        <f>+MITRE[[#This Row],[Trenes Puntuales]]/MITRE[[#This Row],[Trenes Programados]]</f>
        <v>0.7020926404890665</v>
      </c>
      <c r="D320" s="25">
        <f>+MITRE[[#This Row],[Trenes Puntuales]]/MITRE[[#This Row],[Trenes Corridos]]</f>
        <v>0.80695432843887938</v>
      </c>
      <c r="E320" s="25">
        <f>+MITRE[[#This Row],[Trenes Corridos]]/MITRE[[#This Row],[Trenes Programados]]</f>
        <v>0.87005251195234734</v>
      </c>
      <c r="F320" s="27">
        <f t="shared" si="154"/>
        <v>12759</v>
      </c>
      <c r="G320" s="27">
        <f t="shared" si="155"/>
        <v>1658</v>
      </c>
      <c r="H320" s="27">
        <f t="shared" si="156"/>
        <v>11101</v>
      </c>
      <c r="I320" s="27">
        <f t="shared" si="157"/>
        <v>8958</v>
      </c>
      <c r="J320" s="27">
        <f t="shared" si="158"/>
        <v>2143</v>
      </c>
      <c r="K320" s="27"/>
      <c r="L320" s="4"/>
      <c r="M320" s="29">
        <v>2019</v>
      </c>
      <c r="N320" s="38" t="s">
        <v>40</v>
      </c>
      <c r="O320" s="35">
        <f>+Tabla4[[#This Row],[Trenes Puntuales]]/Tabla4[[#This Row],[Trenes Programados]]</f>
        <v>0.7295454545454545</v>
      </c>
      <c r="P320" s="35">
        <f>+Tabla4[[#This Row],[Trenes Puntuales]]/Tabla4[[#This Row],[Trenes Corridos]]</f>
        <v>0.88633225954901063</v>
      </c>
      <c r="Q320" s="35">
        <f>+Tabla4[[#This Row],[Trenes Corridos]]/Tabla4[[#This Row],[Trenes Programados]]</f>
        <v>0.82310606060606062</v>
      </c>
      <c r="R320" s="20">
        <v>5280</v>
      </c>
      <c r="S320" s="27">
        <f t="shared" si="199"/>
        <v>934</v>
      </c>
      <c r="T320" s="20">
        <v>4346</v>
      </c>
      <c r="U320" s="20">
        <v>3852</v>
      </c>
      <c r="V320" s="20">
        <f t="shared" ref="V320:V329" si="204">+T320-U320</f>
        <v>494</v>
      </c>
      <c r="W320" s="31" t="s">
        <v>50</v>
      </c>
      <c r="X320" s="5"/>
      <c r="Y320" s="29">
        <v>2019</v>
      </c>
      <c r="Z320" s="38" t="s">
        <v>40</v>
      </c>
      <c r="AA320" s="35">
        <f>+Tabla5[[#This Row],[Trenes Puntuales]]/Tabla5[[#This Row],[Trenes Programados]]</f>
        <v>0.70374389582202934</v>
      </c>
      <c r="AB320" s="35">
        <f>+Tabla5[[#This Row],[Trenes Puntuales]]/Tabla5[[#This Row],[Trenes Corridos]]</f>
        <v>0.79327217125382266</v>
      </c>
      <c r="AC320" s="35">
        <f>+Tabla5[[#This Row],[Trenes Corridos]]/Tabla5[[#This Row],[Trenes Programados]]</f>
        <v>0.88714053174172547</v>
      </c>
      <c r="AD320" s="20">
        <v>3686</v>
      </c>
      <c r="AE320" s="27">
        <f t="shared" si="200"/>
        <v>416</v>
      </c>
      <c r="AF320" s="20">
        <v>3270</v>
      </c>
      <c r="AG320" s="20">
        <v>2594</v>
      </c>
      <c r="AH320" s="20">
        <f t="shared" ref="AH320:AH329" si="205">+AF320-AG320</f>
        <v>676</v>
      </c>
      <c r="AI320" s="20"/>
      <c r="AJ320" s="5"/>
      <c r="AK320" s="29">
        <v>2019</v>
      </c>
      <c r="AL320" s="38" t="s">
        <v>40</v>
      </c>
      <c r="AM320" s="35">
        <f>+Tabla6[[#This Row],[Trenes Puntuales]]/Tabla6[[#This Row],[Trenes Programados]]</f>
        <v>0.79564553093964863</v>
      </c>
      <c r="AN320" s="35">
        <f>+Tabla6[[#This Row],[Trenes Puntuales]]/Tabla6[[#This Row],[Trenes Corridos]]</f>
        <v>0.82137223974763407</v>
      </c>
      <c r="AO320" s="35">
        <f>+Tabla6[[#This Row],[Trenes Corridos]]/Tabla6[[#This Row],[Trenes Programados]]</f>
        <v>0.9686783804430863</v>
      </c>
      <c r="AP320" s="20">
        <v>2618</v>
      </c>
      <c r="AQ320" s="27">
        <f t="shared" si="201"/>
        <v>82</v>
      </c>
      <c r="AR320" s="20">
        <v>2536</v>
      </c>
      <c r="AS320" s="20">
        <v>2083</v>
      </c>
      <c r="AT320" s="20">
        <f t="shared" ref="AT320:AT329" si="206">+AR320-AS320</f>
        <v>453</v>
      </c>
      <c r="AU320" s="20"/>
      <c r="AV320" s="5"/>
      <c r="AW320" s="29">
        <v>2019</v>
      </c>
      <c r="AX320" s="38" t="s">
        <v>40</v>
      </c>
      <c r="AY320" s="35">
        <f>+MIT_Vic_Cap[[#This Row],[Trenes Puntuales]]/MIT_Vic_Cap[[#This Row],[Trenes Programados]]</f>
        <v>0.34525447042640989</v>
      </c>
      <c r="AZ320" s="35">
        <f>+MIT_Vic_Cap[[#This Row],[Trenes Puntuales]]/MIT_Vic_Cap[[#This Row],[Trenes Corridos]]</f>
        <v>0.48176583493282149</v>
      </c>
      <c r="BA320" s="35">
        <f>+MIT_Vic_Cap[[#This Row],[Trenes Corridos]]/MIT_Vic_Cap[[#This Row],[Trenes Programados]]</f>
        <v>0.71664374140302611</v>
      </c>
      <c r="BB320" s="20">
        <v>727</v>
      </c>
      <c r="BC320" s="27">
        <f t="shared" si="202"/>
        <v>206</v>
      </c>
      <c r="BD320" s="20">
        <v>521</v>
      </c>
      <c r="BE320" s="20">
        <v>251</v>
      </c>
      <c r="BF320" s="20">
        <f t="shared" ref="BF320:BF340" si="207">+BD320-BE320</f>
        <v>270</v>
      </c>
      <c r="BG320" s="20"/>
      <c r="BH320" s="5"/>
      <c r="BI320" s="29">
        <v>2019</v>
      </c>
      <c r="BJ320" s="38" t="s">
        <v>40</v>
      </c>
      <c r="BK320" s="35">
        <f>+Tabla8[[#This Row],[Trenes Puntuales]]/Tabla8[[#This Row],[Trenes Programados]]</f>
        <v>0.39732142857142855</v>
      </c>
      <c r="BL320" s="35">
        <f>+Tabla8[[#This Row],[Trenes Puntuales]]/Tabla8[[#This Row],[Trenes Corridos]]</f>
        <v>0.41588785046728971</v>
      </c>
      <c r="BM320" s="35">
        <f>+Tabla8[[#This Row],[Trenes Corridos]]/Tabla8[[#This Row],[Trenes Programados]]</f>
        <v>0.9553571428571429</v>
      </c>
      <c r="BN320" s="20">
        <v>448</v>
      </c>
      <c r="BO320" s="27">
        <f t="shared" si="203"/>
        <v>20</v>
      </c>
      <c r="BP320" s="20">
        <v>428</v>
      </c>
      <c r="BQ320" s="20">
        <v>178</v>
      </c>
      <c r="BR320" s="20">
        <f>+BP320-BQ320</f>
        <v>250</v>
      </c>
      <c r="BS320" s="29"/>
    </row>
    <row r="321" spans="1:71" s="3" customFormat="1" ht="12.75">
      <c r="A321" s="3">
        <v>2019</v>
      </c>
      <c r="B321" s="38" t="s">
        <v>41</v>
      </c>
      <c r="C321" s="25">
        <f>+MITRE[[#This Row],[Trenes Puntuales]]/MITRE[[#This Row],[Trenes Programados]]</f>
        <v>0.70726804952564726</v>
      </c>
      <c r="D321" s="25">
        <f>+MITRE[[#This Row],[Trenes Puntuales]]/MITRE[[#This Row],[Trenes Corridos]]</f>
        <v>0.82881100433389865</v>
      </c>
      <c r="E321" s="25">
        <f>+MITRE[[#This Row],[Trenes Corridos]]/MITRE[[#This Row],[Trenes Programados]]</f>
        <v>0.85335262904003861</v>
      </c>
      <c r="F321" s="27">
        <f t="shared" si="154"/>
        <v>12438</v>
      </c>
      <c r="G321" s="27">
        <f t="shared" si="155"/>
        <v>1824</v>
      </c>
      <c r="H321" s="27">
        <f t="shared" si="156"/>
        <v>10614</v>
      </c>
      <c r="I321" s="27">
        <f t="shared" si="157"/>
        <v>8797</v>
      </c>
      <c r="J321" s="27">
        <f t="shared" si="158"/>
        <v>1817</v>
      </c>
      <c r="K321" s="27"/>
      <c r="L321" s="4"/>
      <c r="M321" s="29">
        <v>2019</v>
      </c>
      <c r="N321" s="29" t="s">
        <v>41</v>
      </c>
      <c r="O321" s="35">
        <f>+Tabla4[[#This Row],[Trenes Puntuales]]/Tabla4[[#This Row],[Trenes Programados]]</f>
        <v>0.89307931570762056</v>
      </c>
      <c r="P321" s="35">
        <f>+Tabla4[[#This Row],[Trenes Puntuales]]/Tabla4[[#This Row],[Trenes Corridos]]</f>
        <v>0.92304601165360656</v>
      </c>
      <c r="Q321" s="35">
        <f>+Tabla4[[#This Row],[Trenes Corridos]]/Tabla4[[#This Row],[Trenes Programados]]</f>
        <v>0.96753499222395023</v>
      </c>
      <c r="R321" s="20">
        <v>5144</v>
      </c>
      <c r="S321" s="27">
        <f t="shared" si="199"/>
        <v>167</v>
      </c>
      <c r="T321" s="20">
        <v>4977</v>
      </c>
      <c r="U321" s="20">
        <v>4594</v>
      </c>
      <c r="V321" s="20">
        <f t="shared" si="204"/>
        <v>383</v>
      </c>
      <c r="W321" s="31" t="s">
        <v>50</v>
      </c>
      <c r="X321" s="5"/>
      <c r="Y321" s="29">
        <v>2019</v>
      </c>
      <c r="Z321" s="38" t="s">
        <v>41</v>
      </c>
      <c r="AA321" s="35">
        <f>+Tabla5[[#This Row],[Trenes Puntuales]]/Tabla5[[#This Row],[Trenes Programados]]</f>
        <v>0.59406494960806266</v>
      </c>
      <c r="AB321" s="35">
        <f>+Tabla5[[#This Row],[Trenes Puntuales]]/Tabla5[[#This Row],[Trenes Corridos]]</f>
        <v>0.76303487953973392</v>
      </c>
      <c r="AC321" s="35">
        <f>+Tabla5[[#This Row],[Trenes Corridos]]/Tabla5[[#This Row],[Trenes Programados]]</f>
        <v>0.77855543113101899</v>
      </c>
      <c r="AD321" s="20">
        <v>3572</v>
      </c>
      <c r="AE321" s="27">
        <f t="shared" si="200"/>
        <v>791</v>
      </c>
      <c r="AF321" s="20">
        <v>2781</v>
      </c>
      <c r="AG321" s="20">
        <v>2122</v>
      </c>
      <c r="AH321" s="20">
        <f t="shared" si="205"/>
        <v>659</v>
      </c>
      <c r="AI321" s="20"/>
      <c r="AJ321" s="5"/>
      <c r="AK321" s="29">
        <v>2019</v>
      </c>
      <c r="AL321" s="38" t="s">
        <v>41</v>
      </c>
      <c r="AM321" s="35">
        <f>+Tabla6[[#This Row],[Trenes Puntuales]]/Tabla6[[#This Row],[Trenes Programados]]</f>
        <v>0.63840694006309151</v>
      </c>
      <c r="AN321" s="35">
        <f>+Tabla6[[#This Row],[Trenes Puntuales]]/Tabla6[[#This Row],[Trenes Corridos]]</f>
        <v>0.82224479431183339</v>
      </c>
      <c r="AO321" s="35">
        <f>+Tabla6[[#This Row],[Trenes Corridos]]/Tabla6[[#This Row],[Trenes Programados]]</f>
        <v>0.7764195583596214</v>
      </c>
      <c r="AP321" s="20">
        <v>2536</v>
      </c>
      <c r="AQ321" s="27">
        <f t="shared" si="201"/>
        <v>567</v>
      </c>
      <c r="AR321" s="20">
        <v>1969</v>
      </c>
      <c r="AS321" s="20">
        <v>1619</v>
      </c>
      <c r="AT321" s="20">
        <f t="shared" si="206"/>
        <v>350</v>
      </c>
      <c r="AU321" s="20"/>
      <c r="AV321" s="5"/>
      <c r="AW321" s="29">
        <v>2019</v>
      </c>
      <c r="AX321" s="38" t="s">
        <v>41</v>
      </c>
      <c r="AY321" s="35">
        <f>+MIT_Vic_Cap[[#This Row],[Trenes Puntuales]]/MIT_Vic_Cap[[#This Row],[Trenes Programados]]</f>
        <v>0.43188010899182561</v>
      </c>
      <c r="AZ321" s="35">
        <f>+MIT_Vic_Cap[[#This Row],[Trenes Puntuales]]/MIT_Vic_Cap[[#This Row],[Trenes Corridos]]</f>
        <v>0.619140625</v>
      </c>
      <c r="BA321" s="35">
        <f>+MIT_Vic_Cap[[#This Row],[Trenes Corridos]]/MIT_Vic_Cap[[#This Row],[Trenes Programados]]</f>
        <v>0.6975476839237057</v>
      </c>
      <c r="BB321" s="20">
        <v>734</v>
      </c>
      <c r="BC321" s="27">
        <f t="shared" si="202"/>
        <v>222</v>
      </c>
      <c r="BD321" s="20">
        <v>512</v>
      </c>
      <c r="BE321" s="20">
        <v>317</v>
      </c>
      <c r="BF321" s="20">
        <f t="shared" si="207"/>
        <v>195</v>
      </c>
      <c r="BG321" s="20"/>
      <c r="BH321" s="5"/>
      <c r="BI321" s="29">
        <v>2019</v>
      </c>
      <c r="BJ321" s="38" t="s">
        <v>41</v>
      </c>
      <c r="BK321" s="35">
        <f>+Tabla8[[#This Row],[Trenes Puntuales]]/Tabla8[[#This Row],[Trenes Programados]]</f>
        <v>0.32079646017699115</v>
      </c>
      <c r="BL321" s="35">
        <f>+Tabla8[[#This Row],[Trenes Puntuales]]/Tabla8[[#This Row],[Trenes Corridos]]</f>
        <v>0.38666666666666666</v>
      </c>
      <c r="BM321" s="35">
        <f>+Tabla8[[#This Row],[Trenes Corridos]]/Tabla8[[#This Row],[Trenes Programados]]</f>
        <v>0.82964601769911506</v>
      </c>
      <c r="BN321" s="20">
        <v>452</v>
      </c>
      <c r="BO321" s="27">
        <f t="shared" si="203"/>
        <v>77</v>
      </c>
      <c r="BP321" s="20">
        <v>375</v>
      </c>
      <c r="BQ321" s="20">
        <v>145</v>
      </c>
      <c r="BR321" s="20">
        <f>+BP321-BQ321</f>
        <v>230</v>
      </c>
      <c r="BS321" s="29"/>
    </row>
    <row r="322" spans="1:71" s="3" customFormat="1" ht="12.75">
      <c r="A322" s="3">
        <v>2019</v>
      </c>
      <c r="B322" s="38" t="s">
        <v>42</v>
      </c>
      <c r="C322" s="25">
        <f>+MITRE[[#This Row],[Trenes Puntuales]]/MITRE[[#This Row],[Trenes Programados]]</f>
        <v>0.66606080634500986</v>
      </c>
      <c r="D322" s="25">
        <f>+MITRE[[#This Row],[Trenes Puntuales]]/MITRE[[#This Row],[Trenes Corridos]]</f>
        <v>0.75191195672449174</v>
      </c>
      <c r="E322" s="25">
        <f>+MITRE[[#This Row],[Trenes Corridos]]/MITRE[[#This Row],[Trenes Programados]]</f>
        <v>0.88582286847323199</v>
      </c>
      <c r="F322" s="27">
        <f t="shared" si="154"/>
        <v>12104</v>
      </c>
      <c r="G322" s="27">
        <f t="shared" si="155"/>
        <v>1382</v>
      </c>
      <c r="H322" s="27">
        <f t="shared" si="156"/>
        <v>10722</v>
      </c>
      <c r="I322" s="27">
        <f t="shared" si="157"/>
        <v>8062</v>
      </c>
      <c r="J322" s="27">
        <f t="shared" si="158"/>
        <v>2660</v>
      </c>
      <c r="K322" s="27"/>
      <c r="L322" s="4"/>
      <c r="M322" s="29">
        <v>2019</v>
      </c>
      <c r="N322" s="29" t="s">
        <v>42</v>
      </c>
      <c r="O322" s="35">
        <f>+Tabla4[[#This Row],[Trenes Puntuales]]/Tabla4[[#This Row],[Trenes Programados]]</f>
        <v>0.75044563279857401</v>
      </c>
      <c r="P322" s="35">
        <f>+Tabla4[[#This Row],[Trenes Puntuales]]/Tabla4[[#This Row],[Trenes Corridos]]</f>
        <v>0.83222139856683963</v>
      </c>
      <c r="Q322" s="35">
        <f>+Tabla4[[#This Row],[Trenes Corridos]]/Tabla4[[#This Row],[Trenes Programados]]</f>
        <v>0.9017379679144385</v>
      </c>
      <c r="R322" s="20">
        <v>4488</v>
      </c>
      <c r="S322" s="27">
        <f t="shared" si="199"/>
        <v>441</v>
      </c>
      <c r="T322" s="20">
        <v>4047</v>
      </c>
      <c r="U322" s="20">
        <v>3368</v>
      </c>
      <c r="V322" s="20">
        <f t="shared" si="204"/>
        <v>679</v>
      </c>
      <c r="W322" s="31" t="s">
        <v>50</v>
      </c>
      <c r="X322" s="5"/>
      <c r="Y322" s="29">
        <v>2019</v>
      </c>
      <c r="Z322" s="38" t="s">
        <v>42</v>
      </c>
      <c r="AA322" s="35">
        <f>+Tabla5[[#This Row],[Trenes Puntuales]]/Tabla5[[#This Row],[Trenes Programados]]</f>
        <v>0.62853470437018</v>
      </c>
      <c r="AB322" s="35">
        <f>+Tabla5[[#This Row],[Trenes Puntuales]]/Tabla5[[#This Row],[Trenes Corridos]]</f>
        <v>0.70037238613577768</v>
      </c>
      <c r="AC322" s="35">
        <f>+Tabla5[[#This Row],[Trenes Corridos]]/Tabla5[[#This Row],[Trenes Programados]]</f>
        <v>0.8974293059125964</v>
      </c>
      <c r="AD322" s="20">
        <v>3890</v>
      </c>
      <c r="AE322" s="27">
        <f t="shared" si="200"/>
        <v>399</v>
      </c>
      <c r="AF322" s="20">
        <v>3491</v>
      </c>
      <c r="AG322" s="20">
        <v>2445</v>
      </c>
      <c r="AH322" s="20">
        <f t="shared" si="205"/>
        <v>1046</v>
      </c>
      <c r="AI322" s="20"/>
      <c r="AJ322" s="5"/>
      <c r="AK322" s="29">
        <v>2019</v>
      </c>
      <c r="AL322" s="38" t="s">
        <v>42</v>
      </c>
      <c r="AM322" s="35">
        <f>+Tabla6[[#This Row],[Trenes Puntuales]]/Tabla6[[#This Row],[Trenes Programados]]</f>
        <v>0.71825396825396826</v>
      </c>
      <c r="AN322" s="35">
        <f>+Tabla6[[#This Row],[Trenes Puntuales]]/Tabla6[[#This Row],[Trenes Corridos]]</f>
        <v>0.78764142732811138</v>
      </c>
      <c r="AO322" s="35">
        <f>+Tabla6[[#This Row],[Trenes Corridos]]/Tabla6[[#This Row],[Trenes Programados]]</f>
        <v>0.91190476190476188</v>
      </c>
      <c r="AP322" s="20">
        <v>2520</v>
      </c>
      <c r="AQ322" s="27">
        <f t="shared" si="201"/>
        <v>222</v>
      </c>
      <c r="AR322" s="20">
        <v>2298</v>
      </c>
      <c r="AS322" s="20">
        <v>1810</v>
      </c>
      <c r="AT322" s="20">
        <f t="shared" si="206"/>
        <v>488</v>
      </c>
      <c r="AU322" s="20"/>
      <c r="AV322" s="5"/>
      <c r="AW322" s="29">
        <v>2019</v>
      </c>
      <c r="AX322" s="38" t="s">
        <v>42</v>
      </c>
      <c r="AY322" s="35">
        <f>+MIT_Vic_Cap[[#This Row],[Trenes Puntuales]]/MIT_Vic_Cap[[#This Row],[Trenes Programados]]</f>
        <v>0.41689008042895442</v>
      </c>
      <c r="AZ322" s="35">
        <f>+MIT_Vic_Cap[[#This Row],[Trenes Puntuales]]/MIT_Vic_Cap[[#This Row],[Trenes Corridos]]</f>
        <v>0.63991769547325106</v>
      </c>
      <c r="BA322" s="35">
        <f>+MIT_Vic_Cap[[#This Row],[Trenes Corridos]]/MIT_Vic_Cap[[#This Row],[Trenes Programados]]</f>
        <v>0.65147453083109919</v>
      </c>
      <c r="BB322" s="20">
        <v>746</v>
      </c>
      <c r="BC322" s="27">
        <f t="shared" si="202"/>
        <v>260</v>
      </c>
      <c r="BD322" s="20">
        <v>486</v>
      </c>
      <c r="BE322" s="20">
        <v>311</v>
      </c>
      <c r="BF322" s="20">
        <f t="shared" si="207"/>
        <v>175</v>
      </c>
      <c r="BG322" s="20"/>
      <c r="BH322" s="5"/>
      <c r="BI322" s="29">
        <v>2019</v>
      </c>
      <c r="BJ322" s="38" t="s">
        <v>42</v>
      </c>
      <c r="BK322" s="35">
        <f>+Tabla8[[#This Row],[Trenes Puntuales]]/Tabla8[[#This Row],[Trenes Programados]]</f>
        <v>0.27826086956521739</v>
      </c>
      <c r="BL322" s="35">
        <f>+Tabla8[[#This Row],[Trenes Puntuales]]/Tabla8[[#This Row],[Trenes Corridos]]</f>
        <v>0.32</v>
      </c>
      <c r="BM322" s="35">
        <f>+Tabla8[[#This Row],[Trenes Corridos]]/Tabla8[[#This Row],[Trenes Programados]]</f>
        <v>0.86956521739130432</v>
      </c>
      <c r="BN322" s="20">
        <v>460</v>
      </c>
      <c r="BO322" s="27">
        <f t="shared" si="203"/>
        <v>60</v>
      </c>
      <c r="BP322" s="20">
        <v>400</v>
      </c>
      <c r="BQ322" s="20">
        <v>128</v>
      </c>
      <c r="BR322" s="20">
        <f t="shared" ref="BR322:BR329" si="208">+BP322-BQ322</f>
        <v>272</v>
      </c>
      <c r="BS322" s="29"/>
    </row>
    <row r="323" spans="1:71" s="3" customFormat="1" ht="12.75">
      <c r="A323" s="3">
        <v>2019</v>
      </c>
      <c r="B323" s="38" t="s">
        <v>43</v>
      </c>
      <c r="C323" s="25">
        <f>+MITRE[[#This Row],[Trenes Puntuales]]/MITRE[[#This Row],[Trenes Programados]]</f>
        <v>0.61413287782073178</v>
      </c>
      <c r="D323" s="25">
        <f>+MITRE[[#This Row],[Trenes Puntuales]]/MITRE[[#This Row],[Trenes Corridos]]</f>
        <v>0.67234251968503933</v>
      </c>
      <c r="E323" s="25">
        <f>+MITRE[[#This Row],[Trenes Corridos]]/MITRE[[#This Row],[Trenes Programados]]</f>
        <v>0.91342263777757804</v>
      </c>
      <c r="F323" s="27">
        <f t="shared" si="154"/>
        <v>11123</v>
      </c>
      <c r="G323" s="27">
        <f t="shared" si="155"/>
        <v>963</v>
      </c>
      <c r="H323" s="27">
        <f t="shared" si="156"/>
        <v>10160</v>
      </c>
      <c r="I323" s="27">
        <f t="shared" si="157"/>
        <v>6831</v>
      </c>
      <c r="J323" s="27">
        <f t="shared" si="158"/>
        <v>3329</v>
      </c>
      <c r="K323" s="27"/>
      <c r="L323" s="4"/>
      <c r="M323" s="29">
        <v>2019</v>
      </c>
      <c r="N323" s="29" t="s">
        <v>43</v>
      </c>
      <c r="O323" s="35">
        <f>+Tabla4[[#This Row],[Trenes Puntuales]]/Tabla4[[#This Row],[Trenes Programados]]</f>
        <v>0.87682291666666667</v>
      </c>
      <c r="P323" s="35">
        <f>+Tabla4[[#This Row],[Trenes Puntuales]]/Tabla4[[#This Row],[Trenes Corridos]]</f>
        <v>0.90926275992438566</v>
      </c>
      <c r="Q323" s="35">
        <f>+Tabla4[[#This Row],[Trenes Corridos]]/Tabla4[[#This Row],[Trenes Programados]]</f>
        <v>0.9643229166666667</v>
      </c>
      <c r="R323" s="20">
        <v>3840</v>
      </c>
      <c r="S323" s="27">
        <f t="shared" si="199"/>
        <v>137</v>
      </c>
      <c r="T323" s="20">
        <v>3703</v>
      </c>
      <c r="U323" s="20">
        <v>3367</v>
      </c>
      <c r="V323" s="20">
        <f t="shared" si="204"/>
        <v>336</v>
      </c>
      <c r="W323" s="20"/>
      <c r="X323" s="5"/>
      <c r="Y323" s="29">
        <v>2019</v>
      </c>
      <c r="Z323" s="38" t="s">
        <v>43</v>
      </c>
      <c r="AA323" s="35">
        <f>+Tabla5[[#This Row],[Trenes Puntuales]]/Tabla5[[#This Row],[Trenes Programados]]</f>
        <v>0.50498575498575493</v>
      </c>
      <c r="AB323" s="35">
        <f>+Tabla5[[#This Row],[Trenes Puntuales]]/Tabla5[[#This Row],[Trenes Corridos]]</f>
        <v>0.53335005015045134</v>
      </c>
      <c r="AC323" s="35">
        <f>+Tabla5[[#This Row],[Trenes Corridos]]/Tabla5[[#This Row],[Trenes Programados]]</f>
        <v>0.94681861348528018</v>
      </c>
      <c r="AD323" s="20">
        <v>4212</v>
      </c>
      <c r="AE323" s="27">
        <f t="shared" si="200"/>
        <v>224</v>
      </c>
      <c r="AF323" s="20">
        <v>3988</v>
      </c>
      <c r="AG323" s="20">
        <v>2127</v>
      </c>
      <c r="AH323" s="20">
        <f t="shared" si="205"/>
        <v>1861</v>
      </c>
      <c r="AI323" s="20"/>
      <c r="AJ323" s="5"/>
      <c r="AK323" s="29">
        <v>2019</v>
      </c>
      <c r="AL323" s="38" t="s">
        <v>43</v>
      </c>
      <c r="AM323" s="35">
        <f>+Tabla6[[#This Row],[Trenes Puntuales]]/Tabla6[[#This Row],[Trenes Programados]]</f>
        <v>0.57753164556962022</v>
      </c>
      <c r="AN323" s="35">
        <f>+Tabla6[[#This Row],[Trenes Puntuales]]/Tabla6[[#This Row],[Trenes Corridos]]</f>
        <v>0.59575625680087052</v>
      </c>
      <c r="AO323" s="35">
        <f>+Tabla6[[#This Row],[Trenes Corridos]]/Tabla6[[#This Row],[Trenes Programados]]</f>
        <v>0.96940928270042193</v>
      </c>
      <c r="AP323" s="20">
        <v>1896</v>
      </c>
      <c r="AQ323" s="27">
        <f t="shared" si="201"/>
        <v>58</v>
      </c>
      <c r="AR323" s="20">
        <v>1838</v>
      </c>
      <c r="AS323" s="20">
        <v>1095</v>
      </c>
      <c r="AT323" s="20">
        <f t="shared" si="206"/>
        <v>743</v>
      </c>
      <c r="AU323" s="20"/>
      <c r="AV323" s="5"/>
      <c r="AW323" s="29">
        <v>2019</v>
      </c>
      <c r="AX323" s="38" t="s">
        <v>43</v>
      </c>
      <c r="AY323" s="35">
        <f>+MIT_Vic_Cap[[#This Row],[Trenes Puntuales]]/MIT_Vic_Cap[[#This Row],[Trenes Programados]]</f>
        <v>0.20357634112792297</v>
      </c>
      <c r="AZ323" s="35">
        <f>+MIT_Vic_Cap[[#This Row],[Trenes Puntuales]]/MIT_Vic_Cap[[#This Row],[Trenes Corridos]]</f>
        <v>0.56488549618320616</v>
      </c>
      <c r="BA323" s="35">
        <f>+MIT_Vic_Cap[[#This Row],[Trenes Corridos]]/MIT_Vic_Cap[[#This Row],[Trenes Programados]]</f>
        <v>0.36038514442916092</v>
      </c>
      <c r="BB323" s="20">
        <v>727</v>
      </c>
      <c r="BC323" s="27">
        <f t="shared" si="202"/>
        <v>465</v>
      </c>
      <c r="BD323" s="20">
        <v>262</v>
      </c>
      <c r="BE323" s="20">
        <v>148</v>
      </c>
      <c r="BF323" s="20">
        <f t="shared" si="207"/>
        <v>114</v>
      </c>
      <c r="BG323" s="31" t="s">
        <v>35</v>
      </c>
      <c r="BH323" s="5"/>
      <c r="BI323" s="29">
        <v>2019</v>
      </c>
      <c r="BJ323" s="29" t="s">
        <v>43</v>
      </c>
      <c r="BK323" s="35">
        <f>+Tabla8[[#This Row],[Trenes Puntuales]]/Tabla8[[#This Row],[Trenes Programados]]</f>
        <v>0.20982142857142858</v>
      </c>
      <c r="BL323" s="35">
        <f>+Tabla8[[#This Row],[Trenes Puntuales]]/Tabla8[[#This Row],[Trenes Corridos]]</f>
        <v>0.25474254742547425</v>
      </c>
      <c r="BM323" s="35">
        <f>+Tabla8[[#This Row],[Trenes Corridos]]/Tabla8[[#This Row],[Trenes Programados]]</f>
        <v>0.8236607142857143</v>
      </c>
      <c r="BN323" s="20">
        <v>448</v>
      </c>
      <c r="BO323" s="27">
        <f t="shared" si="203"/>
        <v>79</v>
      </c>
      <c r="BP323" s="20">
        <v>369</v>
      </c>
      <c r="BQ323" s="20">
        <v>94</v>
      </c>
      <c r="BR323" s="20">
        <f t="shared" si="208"/>
        <v>275</v>
      </c>
      <c r="BS323" s="29"/>
    </row>
    <row r="324" spans="1:71" s="3" customFormat="1" ht="12.75">
      <c r="A324" s="3">
        <v>2019</v>
      </c>
      <c r="B324" s="38" t="s">
        <v>44</v>
      </c>
      <c r="C324" s="25">
        <f>+MITRE[[#This Row],[Trenes Puntuales]]/MITRE[[#This Row],[Trenes Programados]]</f>
        <v>0.66262678356541171</v>
      </c>
      <c r="D324" s="25">
        <f>+MITRE[[#This Row],[Trenes Puntuales]]/MITRE[[#This Row],[Trenes Corridos]]</f>
        <v>0.72364592133671268</v>
      </c>
      <c r="E324" s="25">
        <f>+MITRE[[#This Row],[Trenes Corridos]]/MITRE[[#This Row],[Trenes Programados]]</f>
        <v>0.91567818463125328</v>
      </c>
      <c r="F324" s="27">
        <f t="shared" si="154"/>
        <v>11634</v>
      </c>
      <c r="G324" s="27">
        <f t="shared" si="155"/>
        <v>981</v>
      </c>
      <c r="H324" s="27">
        <f t="shared" si="156"/>
        <v>10653</v>
      </c>
      <c r="I324" s="27">
        <f t="shared" si="157"/>
        <v>7709</v>
      </c>
      <c r="J324" s="27">
        <f t="shared" si="158"/>
        <v>2944</v>
      </c>
      <c r="K324" s="27"/>
      <c r="L324" s="4"/>
      <c r="M324" s="29">
        <v>2019</v>
      </c>
      <c r="N324" s="38" t="s">
        <v>44</v>
      </c>
      <c r="O324" s="35">
        <f>+Tabla4[[#This Row],[Trenes Puntuales]]/Tabla4[[#This Row],[Trenes Programados]]</f>
        <v>0.8989043824701195</v>
      </c>
      <c r="P324" s="35">
        <f>+Tabla4[[#This Row],[Trenes Puntuales]]/Tabla4[[#This Row],[Trenes Corridos]]</f>
        <v>0.90771938647221528</v>
      </c>
      <c r="Q324" s="35">
        <f>+Tabla4[[#This Row],[Trenes Corridos]]/Tabla4[[#This Row],[Trenes Programados]]</f>
        <v>0.9902888446215139</v>
      </c>
      <c r="R324" s="20">
        <v>4016</v>
      </c>
      <c r="S324" s="27">
        <f t="shared" si="199"/>
        <v>39</v>
      </c>
      <c r="T324" s="20">
        <v>3977</v>
      </c>
      <c r="U324" s="20">
        <v>3610</v>
      </c>
      <c r="V324" s="20">
        <f t="shared" si="204"/>
        <v>367</v>
      </c>
      <c r="W324" s="20"/>
      <c r="X324" s="5"/>
      <c r="Y324" s="29">
        <v>2019</v>
      </c>
      <c r="Z324" s="29" t="s">
        <v>44</v>
      </c>
      <c r="AA324" s="35">
        <f>+Tabla5[[#This Row],[Trenes Puntuales]]/Tabla5[[#This Row],[Trenes Programados]]</f>
        <v>0.61103633916554512</v>
      </c>
      <c r="AB324" s="35">
        <f>+Tabla5[[#This Row],[Trenes Puntuales]]/Tabla5[[#This Row],[Trenes Corridos]]</f>
        <v>0.62982658959537574</v>
      </c>
      <c r="AC324" s="35">
        <f>+Tabla5[[#This Row],[Trenes Corridos]]/Tabla5[[#This Row],[Trenes Programados]]</f>
        <v>0.97016599371915657</v>
      </c>
      <c r="AD324" s="20">
        <v>4458</v>
      </c>
      <c r="AE324" s="27">
        <f t="shared" si="200"/>
        <v>133</v>
      </c>
      <c r="AF324" s="20">
        <v>4325</v>
      </c>
      <c r="AG324" s="20">
        <v>2724</v>
      </c>
      <c r="AH324" s="20">
        <f t="shared" si="205"/>
        <v>1601</v>
      </c>
      <c r="AI324" s="20"/>
      <c r="AJ324" s="5"/>
      <c r="AK324" s="29">
        <v>2019</v>
      </c>
      <c r="AL324" s="38" t="s">
        <v>44</v>
      </c>
      <c r="AM324" s="35">
        <f>+Tabla6[[#This Row],[Trenes Puntuales]]/Tabla6[[#This Row],[Trenes Programados]]</f>
        <v>0.6792260692464358</v>
      </c>
      <c r="AN324" s="35">
        <f>+Tabla6[[#This Row],[Trenes Puntuales]]/Tabla6[[#This Row],[Trenes Corridos]]</f>
        <v>0.69262720664589827</v>
      </c>
      <c r="AO324" s="35">
        <f>+Tabla6[[#This Row],[Trenes Corridos]]/Tabla6[[#This Row],[Trenes Programados]]</f>
        <v>0.9806517311608961</v>
      </c>
      <c r="AP324" s="20">
        <v>1964</v>
      </c>
      <c r="AQ324" s="27">
        <f t="shared" si="201"/>
        <v>38</v>
      </c>
      <c r="AR324" s="20">
        <v>1926</v>
      </c>
      <c r="AS324" s="20">
        <v>1334</v>
      </c>
      <c r="AT324" s="20">
        <f t="shared" si="206"/>
        <v>592</v>
      </c>
      <c r="AU324" s="20"/>
      <c r="AV324" s="5"/>
      <c r="AW324" s="29">
        <v>2019</v>
      </c>
      <c r="AX324" s="38" t="s">
        <v>44</v>
      </c>
      <c r="AY324" s="35">
        <f>+MIT_Vic_Cap[[#This Row],[Trenes Puntuales]]/MIT_Vic_Cap[[#This Row],[Trenes Programados]]</f>
        <v>0</v>
      </c>
      <c r="AZ324" s="35" t="e">
        <f>+MIT_Vic_Cap[[#This Row],[Trenes Puntuales]]/MIT_Vic_Cap[[#This Row],[Trenes Corridos]]</f>
        <v>#DIV/0!</v>
      </c>
      <c r="BA324" s="35">
        <f>+MIT_Vic_Cap[[#This Row],[Trenes Corridos]]/MIT_Vic_Cap[[#This Row],[Trenes Programados]]</f>
        <v>0</v>
      </c>
      <c r="BB324" s="20">
        <v>740</v>
      </c>
      <c r="BC324" s="27">
        <f t="shared" si="202"/>
        <v>740</v>
      </c>
      <c r="BD324" s="20">
        <v>0</v>
      </c>
      <c r="BE324" s="20">
        <v>0</v>
      </c>
      <c r="BF324" s="20">
        <f t="shared" si="207"/>
        <v>0</v>
      </c>
      <c r="BG324" s="31" t="s">
        <v>35</v>
      </c>
      <c r="BH324" s="5"/>
      <c r="BI324" s="29">
        <v>2019</v>
      </c>
      <c r="BJ324" s="29" t="s">
        <v>44</v>
      </c>
      <c r="BK324" s="35">
        <f>+Tabla8[[#This Row],[Trenes Puntuales]]/Tabla8[[#This Row],[Trenes Programados]]</f>
        <v>8.9912280701754388E-2</v>
      </c>
      <c r="BL324" s="35">
        <f>+Tabla8[[#This Row],[Trenes Puntuales]]/Tabla8[[#This Row],[Trenes Corridos]]</f>
        <v>9.6470588235294114E-2</v>
      </c>
      <c r="BM324" s="35">
        <f>+Tabla8[[#This Row],[Trenes Corridos]]/Tabla8[[#This Row],[Trenes Programados]]</f>
        <v>0.93201754385964908</v>
      </c>
      <c r="BN324" s="20">
        <v>456</v>
      </c>
      <c r="BO324" s="27">
        <f t="shared" si="203"/>
        <v>31</v>
      </c>
      <c r="BP324" s="20">
        <v>425</v>
      </c>
      <c r="BQ324" s="20">
        <v>41</v>
      </c>
      <c r="BR324" s="20">
        <f t="shared" si="208"/>
        <v>384</v>
      </c>
      <c r="BS324" s="29"/>
    </row>
    <row r="325" spans="1:71" s="3" customFormat="1" ht="12.75">
      <c r="A325" s="3">
        <v>2019</v>
      </c>
      <c r="B325" s="38" t="s">
        <v>45</v>
      </c>
      <c r="C325" s="25">
        <f>+MITRE[[#This Row],[Trenes Puntuales]]/MITRE[[#This Row],[Trenes Programados]]</f>
        <v>0.72481551398661404</v>
      </c>
      <c r="D325" s="25">
        <f>+MITRE[[#This Row],[Trenes Puntuales]]/MITRE[[#This Row],[Trenes Corridos]]</f>
        <v>0.76588992655725818</v>
      </c>
      <c r="E325" s="25">
        <f>+MITRE[[#This Row],[Trenes Corridos]]/MITRE[[#This Row],[Trenes Programados]]</f>
        <v>0.9463703449459413</v>
      </c>
      <c r="F325" s="27">
        <f t="shared" si="154"/>
        <v>11654</v>
      </c>
      <c r="G325" s="27">
        <f t="shared" si="155"/>
        <v>625</v>
      </c>
      <c r="H325" s="27">
        <f t="shared" si="156"/>
        <v>11029</v>
      </c>
      <c r="I325" s="27">
        <f t="shared" si="157"/>
        <v>8447</v>
      </c>
      <c r="J325" s="27">
        <f t="shared" si="158"/>
        <v>2582</v>
      </c>
      <c r="K325" s="27"/>
      <c r="L325" s="4"/>
      <c r="M325" s="29">
        <v>2019</v>
      </c>
      <c r="N325" s="38" t="s">
        <v>45</v>
      </c>
      <c r="O325" s="35">
        <f>+Tabla4[[#This Row],[Trenes Puntuales]]/Tabla4[[#This Row],[Trenes Programados]]</f>
        <v>0.89143426294820716</v>
      </c>
      <c r="P325" s="35">
        <f>+Tabla4[[#This Row],[Trenes Puntuales]]/Tabla4[[#This Row],[Trenes Corridos]]</f>
        <v>0.90978398983481579</v>
      </c>
      <c r="Q325" s="35">
        <f>+Tabla4[[#This Row],[Trenes Corridos]]/Tabla4[[#This Row],[Trenes Programados]]</f>
        <v>0.97983067729083662</v>
      </c>
      <c r="R325" s="20">
        <v>4016</v>
      </c>
      <c r="S325" s="27">
        <f t="shared" si="199"/>
        <v>81</v>
      </c>
      <c r="T325" s="20">
        <v>3935</v>
      </c>
      <c r="U325" s="20">
        <v>3580</v>
      </c>
      <c r="V325" s="20">
        <f t="shared" si="204"/>
        <v>355</v>
      </c>
      <c r="W325" s="20"/>
      <c r="X325" s="5"/>
      <c r="Y325" s="29">
        <v>2019</v>
      </c>
      <c r="Z325" s="29" t="s">
        <v>45</v>
      </c>
      <c r="AA325" s="35">
        <f>+Tabla5[[#This Row],[Trenes Puntuales]]/Tabla5[[#This Row],[Trenes Programados]]</f>
        <v>0.66375056078959171</v>
      </c>
      <c r="AB325" s="35">
        <f>+Tabla5[[#This Row],[Trenes Puntuales]]/Tabla5[[#This Row],[Trenes Corridos]]</f>
        <v>0.70908219506350345</v>
      </c>
      <c r="AC325" s="35">
        <f>+Tabla5[[#This Row],[Trenes Corridos]]/Tabla5[[#This Row],[Trenes Programados]]</f>
        <v>0.93606998654104978</v>
      </c>
      <c r="AD325" s="20">
        <v>4458</v>
      </c>
      <c r="AE325" s="27">
        <f t="shared" si="200"/>
        <v>285</v>
      </c>
      <c r="AF325" s="20">
        <v>4173</v>
      </c>
      <c r="AG325" s="20">
        <v>2959</v>
      </c>
      <c r="AH325" s="20">
        <f t="shared" si="205"/>
        <v>1214</v>
      </c>
      <c r="AI325" s="20"/>
      <c r="AJ325" s="5"/>
      <c r="AK325" s="29">
        <v>2019</v>
      </c>
      <c r="AL325" s="38" t="s">
        <v>45</v>
      </c>
      <c r="AM325" s="35">
        <f>+Tabla6[[#This Row],[Trenes Puntuales]]/Tabla6[[#This Row],[Trenes Programados]]</f>
        <v>0.7372708757637475</v>
      </c>
      <c r="AN325" s="35">
        <f>+Tabla6[[#This Row],[Trenes Puntuales]]/Tabla6[[#This Row],[Trenes Corridos]]</f>
        <v>0.78143550998381006</v>
      </c>
      <c r="AO325" s="35">
        <f>+Tabla6[[#This Row],[Trenes Corridos]]/Tabla6[[#This Row],[Trenes Programados]]</f>
        <v>0.94348268839103866</v>
      </c>
      <c r="AP325" s="20">
        <v>1964</v>
      </c>
      <c r="AQ325" s="27">
        <f t="shared" si="201"/>
        <v>111</v>
      </c>
      <c r="AR325" s="20">
        <v>1853</v>
      </c>
      <c r="AS325" s="20">
        <v>1448</v>
      </c>
      <c r="AT325" s="20">
        <f t="shared" si="206"/>
        <v>405</v>
      </c>
      <c r="AU325" s="20"/>
      <c r="AV325" s="5"/>
      <c r="AW325" s="29">
        <v>2019</v>
      </c>
      <c r="AX325" s="38" t="s">
        <v>45</v>
      </c>
      <c r="AY325" s="35">
        <f>+MIT_Vic_Cap[[#This Row],[Trenes Puntuales]]/MIT_Vic_Cap[[#This Row],[Trenes Programados]]</f>
        <v>0.53026315789473688</v>
      </c>
      <c r="AZ325" s="35">
        <f>+MIT_Vic_Cap[[#This Row],[Trenes Puntuales]]/MIT_Vic_Cap[[#This Row],[Trenes Corridos]]</f>
        <v>0.58575581395348841</v>
      </c>
      <c r="BA325" s="35">
        <f>+MIT_Vic_Cap[[#This Row],[Trenes Corridos]]/MIT_Vic_Cap[[#This Row],[Trenes Programados]]</f>
        <v>0.90526315789473688</v>
      </c>
      <c r="BB325" s="20">
        <v>760</v>
      </c>
      <c r="BC325" s="27">
        <f t="shared" si="202"/>
        <v>72</v>
      </c>
      <c r="BD325" s="20">
        <v>688</v>
      </c>
      <c r="BE325" s="20">
        <v>403</v>
      </c>
      <c r="BF325" s="20">
        <f t="shared" si="207"/>
        <v>285</v>
      </c>
      <c r="BG325" s="20"/>
      <c r="BH325" s="5"/>
      <c r="BI325" s="29">
        <v>2019</v>
      </c>
      <c r="BJ325" s="29" t="s">
        <v>45</v>
      </c>
      <c r="BK325" s="35">
        <f>+Tabla8[[#This Row],[Trenes Puntuales]]/Tabla8[[#This Row],[Trenes Programados]]</f>
        <v>0.125</v>
      </c>
      <c r="BL325" s="35">
        <f>+Tabla8[[#This Row],[Trenes Puntuales]]/Tabla8[[#This Row],[Trenes Corridos]]</f>
        <v>0.15</v>
      </c>
      <c r="BM325" s="35">
        <f>+Tabla8[[#This Row],[Trenes Corridos]]/Tabla8[[#This Row],[Trenes Programados]]</f>
        <v>0.83333333333333337</v>
      </c>
      <c r="BN325" s="20">
        <v>456</v>
      </c>
      <c r="BO325" s="27">
        <f t="shared" si="203"/>
        <v>76</v>
      </c>
      <c r="BP325" s="20">
        <v>380</v>
      </c>
      <c r="BQ325" s="20">
        <v>57</v>
      </c>
      <c r="BR325" s="20">
        <f t="shared" si="208"/>
        <v>323</v>
      </c>
      <c r="BS325" s="29"/>
    </row>
    <row r="326" spans="1:71" s="3" customFormat="1" ht="12.75">
      <c r="A326" s="3">
        <v>2019</v>
      </c>
      <c r="B326" s="38" t="s">
        <v>46</v>
      </c>
      <c r="C326" s="25">
        <f>+MITRE[[#This Row],[Trenes Puntuales]]/MITRE[[#This Row],[Trenes Programados]]</f>
        <v>0.76962563058677758</v>
      </c>
      <c r="D326" s="25">
        <f>+MITRE[[#This Row],[Trenes Puntuales]]/MITRE[[#This Row],[Trenes Corridos]]</f>
        <v>0.82130714015867023</v>
      </c>
      <c r="E326" s="25">
        <f>+MITRE[[#This Row],[Trenes Corridos]]/MITRE[[#This Row],[Trenes Programados]]</f>
        <v>0.93707407735197801</v>
      </c>
      <c r="F326" s="27">
        <f t="shared" si="154"/>
        <v>11299</v>
      </c>
      <c r="G326" s="27">
        <f t="shared" si="155"/>
        <v>711</v>
      </c>
      <c r="H326" s="27">
        <f t="shared" si="156"/>
        <v>10588</v>
      </c>
      <c r="I326" s="27">
        <f t="shared" si="157"/>
        <v>8696</v>
      </c>
      <c r="J326" s="27">
        <f t="shared" si="158"/>
        <v>1892</v>
      </c>
      <c r="K326" s="27"/>
      <c r="L326" s="4"/>
      <c r="M326" s="29">
        <v>2019</v>
      </c>
      <c r="N326" s="38" t="s">
        <v>46</v>
      </c>
      <c r="O326" s="35">
        <f>+Tabla4[[#This Row],[Trenes Puntuales]]/Tabla4[[#This Row],[Trenes Programados]]</f>
        <v>0.92666666666666664</v>
      </c>
      <c r="P326" s="35">
        <f>+Tabla4[[#This Row],[Trenes Puntuales]]/Tabla4[[#This Row],[Trenes Corridos]]</f>
        <v>0.93967758710348415</v>
      </c>
      <c r="Q326" s="35">
        <f>+Tabla4[[#This Row],[Trenes Corridos]]/Tabla4[[#This Row],[Trenes Programados]]</f>
        <v>0.98615384615384616</v>
      </c>
      <c r="R326" s="20">
        <v>3900</v>
      </c>
      <c r="S326" s="27">
        <f t="shared" si="199"/>
        <v>54</v>
      </c>
      <c r="T326" s="20">
        <v>3846</v>
      </c>
      <c r="U326" s="20">
        <v>3614</v>
      </c>
      <c r="V326" s="20">
        <f t="shared" si="204"/>
        <v>232</v>
      </c>
      <c r="W326" s="20"/>
      <c r="X326" s="5"/>
      <c r="Y326" s="29">
        <v>2019</v>
      </c>
      <c r="Z326" s="29" t="s">
        <v>46</v>
      </c>
      <c r="AA326" s="35">
        <f>+Tabla5[[#This Row],[Trenes Puntuales]]/Tabla5[[#This Row],[Trenes Programados]]</f>
        <v>0.68991712707182318</v>
      </c>
      <c r="AB326" s="35">
        <f>+Tabla5[[#This Row],[Trenes Puntuales]]/Tabla5[[#This Row],[Trenes Corridos]]</f>
        <v>0.76376146788990829</v>
      </c>
      <c r="AC326" s="35">
        <f>+Tabla5[[#This Row],[Trenes Corridos]]/Tabla5[[#This Row],[Trenes Programados]]</f>
        <v>0.90331491712707179</v>
      </c>
      <c r="AD326" s="20">
        <v>4344</v>
      </c>
      <c r="AE326" s="27">
        <f t="shared" si="200"/>
        <v>420</v>
      </c>
      <c r="AF326" s="20">
        <v>3924</v>
      </c>
      <c r="AG326" s="20">
        <v>2997</v>
      </c>
      <c r="AH326" s="20">
        <f t="shared" si="205"/>
        <v>927</v>
      </c>
      <c r="AI326" s="20"/>
      <c r="AJ326" s="5"/>
      <c r="AK326" s="29">
        <v>2019</v>
      </c>
      <c r="AL326" s="38" t="s">
        <v>46</v>
      </c>
      <c r="AM326" s="35">
        <f>+Tabla6[[#This Row],[Trenes Puntuales]]/Tabla6[[#This Row],[Trenes Programados]]</f>
        <v>0.79810725552050477</v>
      </c>
      <c r="AN326" s="35">
        <f>+Tabla6[[#This Row],[Trenes Puntuales]]/Tabla6[[#This Row],[Trenes Corridos]]</f>
        <v>0.86054421768707479</v>
      </c>
      <c r="AO326" s="35">
        <f>+Tabla6[[#This Row],[Trenes Corridos]]/Tabla6[[#This Row],[Trenes Programados]]</f>
        <v>0.9274447949526814</v>
      </c>
      <c r="AP326" s="20">
        <v>1902</v>
      </c>
      <c r="AQ326" s="27">
        <f t="shared" si="201"/>
        <v>138</v>
      </c>
      <c r="AR326" s="20">
        <v>1764</v>
      </c>
      <c r="AS326" s="20">
        <v>1518</v>
      </c>
      <c r="AT326" s="20">
        <f t="shared" si="206"/>
        <v>246</v>
      </c>
      <c r="AU326" s="20"/>
      <c r="AV326" s="5"/>
      <c r="AW326" s="29">
        <v>2019</v>
      </c>
      <c r="AX326" s="38" t="s">
        <v>46</v>
      </c>
      <c r="AY326" s="35">
        <f>+MIT_Vic_Cap[[#This Row],[Trenes Puntuales]]/MIT_Vic_Cap[[#This Row],[Trenes Programados]]</f>
        <v>0.62623413258110017</v>
      </c>
      <c r="AZ326" s="35">
        <f>+MIT_Vic_Cap[[#This Row],[Trenes Puntuales]]/MIT_Vic_Cap[[#This Row],[Trenes Corridos]]</f>
        <v>0.67272727272727273</v>
      </c>
      <c r="BA326" s="35">
        <f>+MIT_Vic_Cap[[#This Row],[Trenes Corridos]]/MIT_Vic_Cap[[#This Row],[Trenes Programados]]</f>
        <v>0.9308885754583921</v>
      </c>
      <c r="BB326" s="20">
        <v>709</v>
      </c>
      <c r="BC326" s="27">
        <f t="shared" si="202"/>
        <v>49</v>
      </c>
      <c r="BD326" s="20">
        <v>660</v>
      </c>
      <c r="BE326" s="20">
        <v>444</v>
      </c>
      <c r="BF326" s="20">
        <f t="shared" si="207"/>
        <v>216</v>
      </c>
      <c r="BG326" s="20"/>
      <c r="BH326" s="5"/>
      <c r="BI326" s="29">
        <v>2019</v>
      </c>
      <c r="BJ326" s="29" t="s">
        <v>46</v>
      </c>
      <c r="BK326" s="35">
        <f>+Tabla8[[#This Row],[Trenes Puntuales]]/Tabla8[[#This Row],[Trenes Programados]]</f>
        <v>0.27702702702702703</v>
      </c>
      <c r="BL326" s="35">
        <f>+Tabla8[[#This Row],[Trenes Puntuales]]/Tabla8[[#This Row],[Trenes Corridos]]</f>
        <v>0.31218274111675126</v>
      </c>
      <c r="BM326" s="35">
        <f>+Tabla8[[#This Row],[Trenes Corridos]]/Tabla8[[#This Row],[Trenes Programados]]</f>
        <v>0.88738738738738743</v>
      </c>
      <c r="BN326" s="20">
        <v>444</v>
      </c>
      <c r="BO326" s="27">
        <f t="shared" si="203"/>
        <v>50</v>
      </c>
      <c r="BP326" s="20">
        <v>394</v>
      </c>
      <c r="BQ326" s="20">
        <v>123</v>
      </c>
      <c r="BR326" s="20">
        <f t="shared" si="208"/>
        <v>271</v>
      </c>
      <c r="BS326" s="29"/>
    </row>
    <row r="327" spans="1:71" s="3" customFormat="1" ht="12.75">
      <c r="A327" s="3">
        <v>2019</v>
      </c>
      <c r="B327" s="38" t="s">
        <v>47</v>
      </c>
      <c r="C327" s="25">
        <f>+MITRE[[#This Row],[Trenes Puntuales]]/MITRE[[#This Row],[Trenes Programados]]</f>
        <v>0.7048213369806805</v>
      </c>
      <c r="D327" s="25">
        <f>+MITRE[[#This Row],[Trenes Puntuales]]/MITRE[[#This Row],[Trenes Corridos]]</f>
        <v>0.75441485954799159</v>
      </c>
      <c r="E327" s="25">
        <f>+MITRE[[#This Row],[Trenes Corridos]]/MITRE[[#This Row],[Trenes Programados]]</f>
        <v>0.93426226705419735</v>
      </c>
      <c r="F327" s="27">
        <f t="shared" si="154"/>
        <v>11698</v>
      </c>
      <c r="G327" s="27">
        <f t="shared" si="155"/>
        <v>769</v>
      </c>
      <c r="H327" s="27">
        <f t="shared" si="156"/>
        <v>10929</v>
      </c>
      <c r="I327" s="27">
        <f t="shared" si="157"/>
        <v>8245</v>
      </c>
      <c r="J327" s="27">
        <f t="shared" si="158"/>
        <v>2684</v>
      </c>
      <c r="K327" s="27"/>
      <c r="L327" s="4"/>
      <c r="M327" s="29">
        <v>2019</v>
      </c>
      <c r="N327" s="38" t="s">
        <v>47</v>
      </c>
      <c r="O327" s="35">
        <f>+Tabla4[[#This Row],[Trenes Puntuales]]/Tabla4[[#This Row],[Trenes Programados]]</f>
        <v>0.86397423191278488</v>
      </c>
      <c r="P327" s="35">
        <f>+Tabla4[[#This Row],[Trenes Puntuales]]/Tabla4[[#This Row],[Trenes Corridos]]</f>
        <v>0.9097312809809549</v>
      </c>
      <c r="Q327" s="35">
        <f>+Tabla4[[#This Row],[Trenes Corridos]]/Tabla4[[#This Row],[Trenes Programados]]</f>
        <v>0.94970267591674928</v>
      </c>
      <c r="R327" s="20">
        <v>4036</v>
      </c>
      <c r="S327" s="27">
        <f t="shared" si="199"/>
        <v>203</v>
      </c>
      <c r="T327" s="20">
        <v>3833</v>
      </c>
      <c r="U327" s="20">
        <v>3487</v>
      </c>
      <c r="V327" s="20">
        <f t="shared" si="204"/>
        <v>346</v>
      </c>
      <c r="W327" s="20"/>
      <c r="X327" s="5"/>
      <c r="Y327" s="29">
        <v>2019</v>
      </c>
      <c r="Z327" s="29" t="s">
        <v>47</v>
      </c>
      <c r="AA327" s="35">
        <f>+Tabla5[[#This Row],[Trenes Puntuales]]/Tabla5[[#This Row],[Trenes Programados]]</f>
        <v>0.60684140382052421</v>
      </c>
      <c r="AB327" s="35">
        <f>+Tabla5[[#This Row],[Trenes Puntuales]]/Tabla5[[#This Row],[Trenes Corridos]]</f>
        <v>0.65202863961813839</v>
      </c>
      <c r="AC327" s="35">
        <f>+Tabla5[[#This Row],[Trenes Corridos]]/Tabla5[[#This Row],[Trenes Programados]]</f>
        <v>0.93069746779209239</v>
      </c>
      <c r="AD327" s="20">
        <v>4502</v>
      </c>
      <c r="AE327" s="27">
        <f t="shared" si="200"/>
        <v>312</v>
      </c>
      <c r="AF327" s="20">
        <v>4190</v>
      </c>
      <c r="AG327" s="20">
        <v>2732</v>
      </c>
      <c r="AH327" s="20">
        <f t="shared" si="205"/>
        <v>1458</v>
      </c>
      <c r="AI327" s="20"/>
      <c r="AJ327" s="5"/>
      <c r="AK327" s="29">
        <v>2019</v>
      </c>
      <c r="AL327" s="29" t="s">
        <v>47</v>
      </c>
      <c r="AM327" s="35">
        <f>+Tabla6[[#This Row],[Trenes Puntuales]]/Tabla6[[#This Row],[Trenes Programados]]</f>
        <v>0.68667344862665314</v>
      </c>
      <c r="AN327" s="35">
        <f>+Tabla6[[#This Row],[Trenes Puntuales]]/Tabla6[[#This Row],[Trenes Corridos]]</f>
        <v>0.73851203501094087</v>
      </c>
      <c r="AO327" s="35">
        <f>+Tabla6[[#This Row],[Trenes Corridos]]/Tabla6[[#This Row],[Trenes Programados]]</f>
        <v>0.92980671414038663</v>
      </c>
      <c r="AP327" s="20">
        <v>1966</v>
      </c>
      <c r="AQ327" s="27">
        <f t="shared" si="201"/>
        <v>138</v>
      </c>
      <c r="AR327" s="20">
        <v>1828</v>
      </c>
      <c r="AS327" s="20">
        <v>1350</v>
      </c>
      <c r="AT327" s="20">
        <f t="shared" si="206"/>
        <v>478</v>
      </c>
      <c r="AU327" s="20"/>
      <c r="AV327" s="5"/>
      <c r="AW327" s="29">
        <v>2019</v>
      </c>
      <c r="AX327" s="38" t="s">
        <v>47</v>
      </c>
      <c r="AY327" s="35">
        <f>+MIT_Vic_Cap[[#This Row],[Trenes Puntuales]]/MIT_Vic_Cap[[#This Row],[Trenes Programados]]</f>
        <v>0.70027247956403271</v>
      </c>
      <c r="AZ327" s="35">
        <f>+MIT_Vic_Cap[[#This Row],[Trenes Puntuales]]/MIT_Vic_Cap[[#This Row],[Trenes Corridos]]</f>
        <v>0.71488178025034765</v>
      </c>
      <c r="BA327" s="35">
        <f>+MIT_Vic_Cap[[#This Row],[Trenes Corridos]]/MIT_Vic_Cap[[#This Row],[Trenes Programados]]</f>
        <v>0.97956403269754766</v>
      </c>
      <c r="BB327" s="20">
        <v>734</v>
      </c>
      <c r="BC327" s="27">
        <f t="shared" si="202"/>
        <v>15</v>
      </c>
      <c r="BD327" s="20">
        <v>719</v>
      </c>
      <c r="BE327" s="20">
        <v>514</v>
      </c>
      <c r="BF327" s="20">
        <f t="shared" si="207"/>
        <v>205</v>
      </c>
      <c r="BG327" s="20"/>
      <c r="BH327" s="5"/>
      <c r="BI327" s="29">
        <v>2019</v>
      </c>
      <c r="BJ327" s="29" t="s">
        <v>47</v>
      </c>
      <c r="BK327" s="35">
        <f>+Tabla8[[#This Row],[Trenes Puntuales]]/Tabla8[[#This Row],[Trenes Programados]]</f>
        <v>0.35217391304347828</v>
      </c>
      <c r="BL327" s="35">
        <f>+Tabla8[[#This Row],[Trenes Puntuales]]/Tabla8[[#This Row],[Trenes Corridos]]</f>
        <v>0.45125348189415043</v>
      </c>
      <c r="BM327" s="35">
        <f>+Tabla8[[#This Row],[Trenes Corridos]]/Tabla8[[#This Row],[Trenes Programados]]</f>
        <v>0.7804347826086957</v>
      </c>
      <c r="BN327" s="20">
        <v>460</v>
      </c>
      <c r="BO327" s="27">
        <f t="shared" si="203"/>
        <v>101</v>
      </c>
      <c r="BP327" s="20">
        <v>359</v>
      </c>
      <c r="BQ327" s="20">
        <v>162</v>
      </c>
      <c r="BR327" s="20">
        <f t="shared" si="208"/>
        <v>197</v>
      </c>
      <c r="BS327" s="29"/>
    </row>
    <row r="328" spans="1:71" s="3" customFormat="1" ht="13.7" customHeight="1">
      <c r="A328" s="3">
        <v>2019</v>
      </c>
      <c r="B328" s="38" t="s">
        <v>48</v>
      </c>
      <c r="C328" s="25">
        <f>+MITRE[[#This Row],[Trenes Puntuales]]/MITRE[[#This Row],[Trenes Programados]]</f>
        <v>0.75661469933184855</v>
      </c>
      <c r="D328" s="25">
        <f>+MITRE[[#This Row],[Trenes Puntuales]]/MITRE[[#This Row],[Trenes Corridos]]</f>
        <v>0.82464316923973202</v>
      </c>
      <c r="E328" s="25">
        <f>+MITRE[[#This Row],[Trenes Corridos]]/MITRE[[#This Row],[Trenes Programados]]</f>
        <v>0.9175055679287305</v>
      </c>
      <c r="F328" s="27">
        <f t="shared" si="154"/>
        <v>11225</v>
      </c>
      <c r="G328" s="27">
        <f t="shared" si="155"/>
        <v>926</v>
      </c>
      <c r="H328" s="27">
        <f t="shared" si="156"/>
        <v>10299</v>
      </c>
      <c r="I328" s="27">
        <f t="shared" si="157"/>
        <v>8493</v>
      </c>
      <c r="J328" s="27">
        <f t="shared" si="158"/>
        <v>1806</v>
      </c>
      <c r="K328" s="27"/>
      <c r="L328" s="4"/>
      <c r="M328" s="29">
        <v>2019</v>
      </c>
      <c r="N328" s="38" t="s">
        <v>48</v>
      </c>
      <c r="O328" s="35">
        <f>+Tabla4[[#This Row],[Trenes Puntuales]]/Tabla4[[#This Row],[Trenes Programados]]</f>
        <v>0.82551546391752573</v>
      </c>
      <c r="P328" s="35">
        <f>+Tabla4[[#This Row],[Trenes Puntuales]]/Tabla4[[#This Row],[Trenes Corridos]]</f>
        <v>0.91227570492737109</v>
      </c>
      <c r="Q328" s="35">
        <f>+Tabla4[[#This Row],[Trenes Corridos]]/Tabla4[[#This Row],[Trenes Programados]]</f>
        <v>0.90489690721649485</v>
      </c>
      <c r="R328" s="20">
        <v>3880</v>
      </c>
      <c r="S328" s="27">
        <f t="shared" si="199"/>
        <v>369</v>
      </c>
      <c r="T328" s="20">
        <v>3511</v>
      </c>
      <c r="U328" s="20">
        <v>3203</v>
      </c>
      <c r="V328" s="20">
        <f t="shared" si="204"/>
        <v>308</v>
      </c>
      <c r="W328" s="20"/>
      <c r="X328" s="5"/>
      <c r="Y328" s="29">
        <v>2019</v>
      </c>
      <c r="Z328" s="29" t="s">
        <v>48</v>
      </c>
      <c r="AA328" s="35">
        <f>+Tabla5[[#This Row],[Trenes Puntuales]]/Tabla5[[#This Row],[Trenes Programados]]</f>
        <v>0.71581395348837207</v>
      </c>
      <c r="AB328" s="35">
        <f>+Tabla5[[#This Row],[Trenes Puntuales]]/Tabla5[[#This Row],[Trenes Corridos]]</f>
        <v>0.78801843317972353</v>
      </c>
      <c r="AC328" s="35">
        <f>+Tabla5[[#This Row],[Trenes Corridos]]/Tabla5[[#This Row],[Trenes Programados]]</f>
        <v>0.90837209302325583</v>
      </c>
      <c r="AD328" s="20">
        <v>4300</v>
      </c>
      <c r="AE328" s="27">
        <f t="shared" si="200"/>
        <v>394</v>
      </c>
      <c r="AF328" s="20">
        <v>3906</v>
      </c>
      <c r="AG328" s="20">
        <v>3078</v>
      </c>
      <c r="AH328" s="20">
        <f t="shared" si="205"/>
        <v>828</v>
      </c>
      <c r="AI328" s="20"/>
      <c r="AJ328" s="5"/>
      <c r="AK328" s="29">
        <v>2019</v>
      </c>
      <c r="AL328" s="29" t="s">
        <v>48</v>
      </c>
      <c r="AM328" s="35">
        <f>+Tabla6[[#This Row],[Trenes Puntuales]]/Tabla6[[#This Row],[Trenes Programados]]</f>
        <v>0.76578947368421058</v>
      </c>
      <c r="AN328" s="35">
        <f>+Tabla6[[#This Row],[Trenes Puntuales]]/Tabla6[[#This Row],[Trenes Corridos]]</f>
        <v>0.81330352152040242</v>
      </c>
      <c r="AO328" s="35">
        <f>+Tabla6[[#This Row],[Trenes Corridos]]/Tabla6[[#This Row],[Trenes Programados]]</f>
        <v>0.94157894736842107</v>
      </c>
      <c r="AP328" s="20">
        <v>1900</v>
      </c>
      <c r="AQ328" s="27">
        <f t="shared" si="201"/>
        <v>111</v>
      </c>
      <c r="AR328" s="20">
        <v>1789</v>
      </c>
      <c r="AS328" s="20">
        <v>1455</v>
      </c>
      <c r="AT328" s="20">
        <f t="shared" si="206"/>
        <v>334</v>
      </c>
      <c r="AU328" s="20"/>
      <c r="AV328" s="5"/>
      <c r="AW328" s="29">
        <v>2019</v>
      </c>
      <c r="AX328" s="38" t="s">
        <v>48</v>
      </c>
      <c r="AY328" s="35">
        <f>+MIT_Vic_Cap[[#This Row],[Trenes Puntuales]]/MIT_Vic_Cap[[#This Row],[Trenes Programados]]</f>
        <v>0.75035460992907799</v>
      </c>
      <c r="AZ328" s="35">
        <f>+MIT_Vic_Cap[[#This Row],[Trenes Puntuales]]/MIT_Vic_Cap[[#This Row],[Trenes Corridos]]</f>
        <v>0.76555716353111436</v>
      </c>
      <c r="BA328" s="35">
        <f>+MIT_Vic_Cap[[#This Row],[Trenes Corridos]]/MIT_Vic_Cap[[#This Row],[Trenes Programados]]</f>
        <v>0.98014184397163118</v>
      </c>
      <c r="BB328" s="20">
        <v>705</v>
      </c>
      <c r="BC328" s="27">
        <f t="shared" si="202"/>
        <v>14</v>
      </c>
      <c r="BD328" s="20">
        <v>691</v>
      </c>
      <c r="BE328" s="20">
        <v>529</v>
      </c>
      <c r="BF328" s="20">
        <f t="shared" si="207"/>
        <v>162</v>
      </c>
      <c r="BG328" s="20"/>
      <c r="BH328" s="5"/>
      <c r="BI328" s="29">
        <v>2019</v>
      </c>
      <c r="BJ328" s="29" t="s">
        <v>48</v>
      </c>
      <c r="BK328" s="35">
        <f>+Tabla8[[#This Row],[Trenes Puntuales]]/Tabla8[[#This Row],[Trenes Programados]]</f>
        <v>0.51818181818181819</v>
      </c>
      <c r="BL328" s="35">
        <f>+Tabla8[[#This Row],[Trenes Puntuales]]/Tabla8[[#This Row],[Trenes Corridos]]</f>
        <v>0.56716417910447758</v>
      </c>
      <c r="BM328" s="35">
        <f>+Tabla8[[#This Row],[Trenes Corridos]]/Tabla8[[#This Row],[Trenes Programados]]</f>
        <v>0.91363636363636369</v>
      </c>
      <c r="BN328" s="20">
        <v>440</v>
      </c>
      <c r="BO328" s="27">
        <f t="shared" si="203"/>
        <v>38</v>
      </c>
      <c r="BP328" s="20">
        <v>402</v>
      </c>
      <c r="BQ328" s="20">
        <v>228</v>
      </c>
      <c r="BR328" s="20">
        <f t="shared" si="208"/>
        <v>174</v>
      </c>
      <c r="BS328" s="29"/>
    </row>
    <row r="329" spans="1:71" s="3" customFormat="1" ht="13.7" customHeight="1">
      <c r="A329" s="3">
        <v>2019</v>
      </c>
      <c r="B329" s="38" t="s">
        <v>49</v>
      </c>
      <c r="C329" s="25">
        <f>+MITRE[[#This Row],[Trenes Puntuales]]/MITRE[[#This Row],[Trenes Programados]]</f>
        <v>0.78603104212860309</v>
      </c>
      <c r="D329" s="25">
        <f>+MITRE[[#This Row],[Trenes Puntuales]]/MITRE[[#This Row],[Trenes Corridos]]</f>
        <v>0.82574807382189575</v>
      </c>
      <c r="E329" s="25">
        <f>+MITRE[[#This Row],[Trenes Corridos]]/MITRE[[#This Row],[Trenes Programados]]</f>
        <v>0.9519017567798056</v>
      </c>
      <c r="F329" s="27">
        <f t="shared" si="154"/>
        <v>11726</v>
      </c>
      <c r="G329" s="27">
        <f t="shared" si="155"/>
        <v>564</v>
      </c>
      <c r="H329" s="27">
        <f t="shared" si="156"/>
        <v>11162</v>
      </c>
      <c r="I329" s="27">
        <f t="shared" si="157"/>
        <v>9217</v>
      </c>
      <c r="J329" s="27">
        <f t="shared" si="158"/>
        <v>1945</v>
      </c>
      <c r="K329" s="27"/>
      <c r="L329" s="4"/>
      <c r="M329" s="29">
        <v>2019</v>
      </c>
      <c r="N329" s="38" t="s">
        <v>49</v>
      </c>
      <c r="O329" s="35">
        <f>+Tabla4[[#This Row],[Trenes Puntuales]]/Tabla4[[#This Row],[Trenes Programados]]</f>
        <v>0.8449261553120534</v>
      </c>
      <c r="P329" s="35">
        <f>+Tabla4[[#This Row],[Trenes Puntuales]]/Tabla4[[#This Row],[Trenes Corridos]]</f>
        <v>0.87000245278390975</v>
      </c>
      <c r="Q329" s="35">
        <f>+Tabla4[[#This Row],[Trenes Corridos]]/Tabla4[[#This Row],[Trenes Programados]]</f>
        <v>0.97117675083373034</v>
      </c>
      <c r="R329" s="20">
        <v>4198</v>
      </c>
      <c r="S329" s="27">
        <f t="shared" si="199"/>
        <v>121</v>
      </c>
      <c r="T329" s="20">
        <v>4077</v>
      </c>
      <c r="U329" s="20">
        <v>3547</v>
      </c>
      <c r="V329" s="20">
        <f t="shared" si="204"/>
        <v>530</v>
      </c>
      <c r="W329" s="20"/>
      <c r="X329" s="5"/>
      <c r="Y329" s="29">
        <v>2019</v>
      </c>
      <c r="Z329" s="29" t="s">
        <v>49</v>
      </c>
      <c r="AA329" s="35">
        <f>+Tabla5[[#This Row],[Trenes Puntuales]]/Tabla5[[#This Row],[Trenes Programados]]</f>
        <v>0.77848970251716243</v>
      </c>
      <c r="AB329" s="35">
        <f>+Tabla5[[#This Row],[Trenes Puntuales]]/Tabla5[[#This Row],[Trenes Corridos]]</f>
        <v>0.8332108743570904</v>
      </c>
      <c r="AC329" s="35">
        <f>+Tabla5[[#This Row],[Trenes Corridos]]/Tabla5[[#This Row],[Trenes Programados]]</f>
        <v>0.93432494279176204</v>
      </c>
      <c r="AD329" s="20">
        <v>4370</v>
      </c>
      <c r="AE329" s="27">
        <f t="shared" si="200"/>
        <v>287</v>
      </c>
      <c r="AF329" s="20">
        <v>4083</v>
      </c>
      <c r="AG329" s="20">
        <v>3402</v>
      </c>
      <c r="AH329" s="20">
        <f t="shared" si="205"/>
        <v>681</v>
      </c>
      <c r="AI329" s="20"/>
      <c r="AJ329" s="5"/>
      <c r="AK329" s="29">
        <v>2019</v>
      </c>
      <c r="AL329" s="29" t="s">
        <v>49</v>
      </c>
      <c r="AM329" s="35">
        <f>+Tabla6[[#This Row],[Trenes Puntuales]]/Tabla6[[#This Row],[Trenes Programados]]</f>
        <v>0.81377551020408168</v>
      </c>
      <c r="AN329" s="35">
        <f>+Tabla6[[#This Row],[Trenes Puntuales]]/Tabla6[[#This Row],[Trenes Corridos]]</f>
        <v>0.84035827186512113</v>
      </c>
      <c r="AO329" s="35">
        <f>+Tabla6[[#This Row],[Trenes Corridos]]/Tabla6[[#This Row],[Trenes Programados]]</f>
        <v>0.96836734693877546</v>
      </c>
      <c r="AP329" s="20">
        <v>1960</v>
      </c>
      <c r="AQ329" s="27">
        <f t="shared" si="201"/>
        <v>62</v>
      </c>
      <c r="AR329" s="20">
        <v>1898</v>
      </c>
      <c r="AS329" s="20">
        <v>1595</v>
      </c>
      <c r="AT329" s="20">
        <f t="shared" si="206"/>
        <v>303</v>
      </c>
      <c r="AU329" s="20"/>
      <c r="AV329" s="5"/>
      <c r="AW329" s="29">
        <v>2019</v>
      </c>
      <c r="AX329" s="38" t="s">
        <v>49</v>
      </c>
      <c r="AY329" s="35">
        <f>+MIT_Vic_Cap[[#This Row],[Trenes Puntuales]]/MIT_Vic_Cap[[#This Row],[Trenes Programados]]</f>
        <v>0.59859154929577463</v>
      </c>
      <c r="AZ329" s="35">
        <f>+MIT_Vic_Cap[[#This Row],[Trenes Puntuales]]/MIT_Vic_Cap[[#This Row],[Trenes Corridos]]</f>
        <v>0.64589665653495443</v>
      </c>
      <c r="BA329" s="35">
        <f>+MIT_Vic_Cap[[#This Row],[Trenes Corridos]]/MIT_Vic_Cap[[#This Row],[Trenes Programados]]</f>
        <v>0.92676056338028168</v>
      </c>
      <c r="BB329" s="20">
        <v>710</v>
      </c>
      <c r="BC329" s="27">
        <f t="shared" si="202"/>
        <v>52</v>
      </c>
      <c r="BD329" s="20">
        <v>658</v>
      </c>
      <c r="BE329" s="20">
        <v>425</v>
      </c>
      <c r="BF329" s="20">
        <f t="shared" si="207"/>
        <v>233</v>
      </c>
      <c r="BG329" s="20"/>
      <c r="BH329" s="5"/>
      <c r="BI329" s="29">
        <v>2019</v>
      </c>
      <c r="BJ329" s="29" t="s">
        <v>49</v>
      </c>
      <c r="BK329" s="35">
        <f>+Tabla8[[#This Row],[Trenes Puntuales]]/Tabla8[[#This Row],[Trenes Programados]]</f>
        <v>0.50819672131147542</v>
      </c>
      <c r="BL329" s="35">
        <f>+Tabla8[[#This Row],[Trenes Puntuales]]/Tabla8[[#This Row],[Trenes Corridos]]</f>
        <v>0.55605381165919288</v>
      </c>
      <c r="BM329" s="35">
        <f>+Tabla8[[#This Row],[Trenes Corridos]]/Tabla8[[#This Row],[Trenes Programados]]</f>
        <v>0.91393442622950816</v>
      </c>
      <c r="BN329" s="20">
        <v>488</v>
      </c>
      <c r="BO329" s="27">
        <f t="shared" si="203"/>
        <v>42</v>
      </c>
      <c r="BP329" s="20">
        <v>446</v>
      </c>
      <c r="BQ329" s="20">
        <v>248</v>
      </c>
      <c r="BR329" s="20">
        <f t="shared" si="208"/>
        <v>198</v>
      </c>
      <c r="BS329" s="29"/>
    </row>
    <row r="330" spans="1:71" ht="13.7" customHeight="1">
      <c r="A330" s="49">
        <v>2020</v>
      </c>
      <c r="B330" s="52" t="s">
        <v>38</v>
      </c>
      <c r="C330" s="55">
        <f>+MITRE[[#This Row],[Trenes Puntuales]]/MITRE[[#This Row],[Trenes Programados]]</f>
        <v>0.7729939739930225</v>
      </c>
      <c r="D330" s="55">
        <f>+MITRE[[#This Row],[Trenes Puntuales]]/MITRE[[#This Row],[Trenes Corridos]]</f>
        <v>0.80550276790878295</v>
      </c>
      <c r="E330" s="55">
        <f>+MITRE[[#This Row],[Trenes Corridos]]/MITRE[[#This Row],[Trenes Programados]]</f>
        <v>0.95964161116397084</v>
      </c>
      <c r="F330" s="27">
        <f t="shared" ref="F330:F334" si="209">+R330+AD330+AP330+BB330+BN330</f>
        <v>12612</v>
      </c>
      <c r="G330" s="27">
        <f t="shared" ref="G330:G334" si="210">F330-H330</f>
        <v>509</v>
      </c>
      <c r="H330" s="27">
        <f t="shared" ref="H330:H334" si="211">+T330+AF330+AR330+BD330+BP330</f>
        <v>12103</v>
      </c>
      <c r="I330" s="27">
        <f t="shared" ref="I330:I334" si="212">+U330+AG330+AS330+BE330+BQ330</f>
        <v>9749</v>
      </c>
      <c r="J330" s="27">
        <f t="shared" ref="J330:J334" si="213">H330-I330</f>
        <v>2354</v>
      </c>
      <c r="K330" s="56"/>
      <c r="M330" s="57">
        <v>2020</v>
      </c>
      <c r="N330" s="52" t="s">
        <v>38</v>
      </c>
      <c r="O330" s="58">
        <f>+Tabla4[[#This Row],[Trenes Puntuales]]/Tabla4[[#This Row],[Trenes Programados]]</f>
        <v>0.79995871180842282</v>
      </c>
      <c r="P330" s="58">
        <f>+Tabla4[[#This Row],[Trenes Puntuales]]/Tabla4[[#This Row],[Trenes Corridos]]</f>
        <v>0.82481907194550874</v>
      </c>
      <c r="Q330" s="58">
        <f>+Tabla4[[#This Row],[Trenes Corridos]]/Tabla4[[#This Row],[Trenes Programados]]</f>
        <v>0.96985962014863747</v>
      </c>
      <c r="R330" s="59">
        <v>4844</v>
      </c>
      <c r="S330" s="56">
        <f t="shared" ref="S330:S334" si="214">+R330-T330</f>
        <v>146</v>
      </c>
      <c r="T330" s="59">
        <v>4698</v>
      </c>
      <c r="U330" s="59">
        <v>3875</v>
      </c>
      <c r="V330" s="59">
        <f t="shared" ref="V330:V334" si="215">+T330-U330</f>
        <v>823</v>
      </c>
      <c r="W330" s="59"/>
      <c r="Y330" s="57">
        <v>2020</v>
      </c>
      <c r="Z330" s="57" t="s">
        <v>38</v>
      </c>
      <c r="AA330" s="58">
        <f>+Tabla5[[#This Row],[Trenes Puntuales]]/Tabla5[[#This Row],[Trenes Programados]]</f>
        <v>0.76965792980897374</v>
      </c>
      <c r="AB330" s="58">
        <f>+Tabla5[[#This Row],[Trenes Puntuales]]/Tabla5[[#This Row],[Trenes Corridos]]</f>
        <v>0.81299859221022996</v>
      </c>
      <c r="AC330" s="58">
        <f>+Tabla5[[#This Row],[Trenes Corridos]]/Tabla5[[#This Row],[Trenes Programados]]</f>
        <v>0.94669035984007111</v>
      </c>
      <c r="AD330" s="59">
        <v>4502</v>
      </c>
      <c r="AE330" s="56">
        <f t="shared" ref="AE330:AE334" si="216">+AD330-AF330</f>
        <v>240</v>
      </c>
      <c r="AF330" s="59">
        <v>4262</v>
      </c>
      <c r="AG330" s="59">
        <v>3465</v>
      </c>
      <c r="AH330" s="59">
        <f t="shared" ref="AH330:AH334" si="217">+AF330-AG330</f>
        <v>797</v>
      </c>
      <c r="AI330" s="59"/>
      <c r="AK330" s="57">
        <v>2020</v>
      </c>
      <c r="AL330" s="57" t="s">
        <v>38</v>
      </c>
      <c r="AM330" s="58">
        <f>+Tabla6[[#This Row],[Trenes Puntuales]]/Tabla6[[#This Row],[Trenes Programados]]</f>
        <v>0.79247202441505593</v>
      </c>
      <c r="AN330" s="58">
        <f>+Tabla6[[#This Row],[Trenes Puntuales]]/Tabla6[[#This Row],[Trenes Corridos]]</f>
        <v>0.80641821946169767</v>
      </c>
      <c r="AO330" s="58">
        <f>+Tabla6[[#This Row],[Trenes Corridos]]/Tabla6[[#This Row],[Trenes Programados]]</f>
        <v>0.98270600203458802</v>
      </c>
      <c r="AP330" s="59">
        <v>1966</v>
      </c>
      <c r="AQ330" s="56">
        <f t="shared" ref="AQ330:AQ334" si="218">+AP330-AR330</f>
        <v>34</v>
      </c>
      <c r="AR330" s="59">
        <v>1932</v>
      </c>
      <c r="AS330" s="59">
        <v>1558</v>
      </c>
      <c r="AT330" s="59">
        <f t="shared" ref="AT330:AT334" si="219">+AR330-AS330</f>
        <v>374</v>
      </c>
      <c r="AU330" s="59"/>
      <c r="AW330" s="29">
        <v>2020</v>
      </c>
      <c r="AX330" s="38" t="s">
        <v>38</v>
      </c>
      <c r="AY330" s="35">
        <f>+MIT_Vic_Cap[[#This Row],[Trenes Puntuales]]/MIT_Vic_Cap[[#This Row],[Trenes Programados]]</f>
        <v>0.72067039106145248</v>
      </c>
      <c r="AZ330" s="35">
        <f>+MIT_Vic_Cap[[#This Row],[Trenes Puntuales]]/MIT_Vic_Cap[[#This Row],[Trenes Corridos]]</f>
        <v>0.77014925373134324</v>
      </c>
      <c r="BA330" s="35">
        <f>+MIT_Vic_Cap[[#This Row],[Trenes Corridos]]/MIT_Vic_Cap[[#This Row],[Trenes Programados]]</f>
        <v>0.93575418994413406</v>
      </c>
      <c r="BB330" s="20">
        <v>716</v>
      </c>
      <c r="BC330" s="27">
        <f t="shared" si="202"/>
        <v>46</v>
      </c>
      <c r="BD330" s="20">
        <v>670</v>
      </c>
      <c r="BE330" s="20">
        <v>516</v>
      </c>
      <c r="BF330" s="20">
        <f t="shared" si="207"/>
        <v>154</v>
      </c>
      <c r="BG330" s="33"/>
      <c r="BH330" s="12"/>
      <c r="BI330" s="57">
        <v>2020</v>
      </c>
      <c r="BJ330" s="57" t="s">
        <v>38</v>
      </c>
      <c r="BK330" s="58">
        <f>+Tabla8[[#This Row],[Trenes Puntuales]]/Tabla8[[#This Row],[Trenes Programados]]</f>
        <v>0.57363013698630139</v>
      </c>
      <c r="BL330" s="58">
        <f>+Tabla8[[#This Row],[Trenes Puntuales]]/Tabla8[[#This Row],[Trenes Corridos]]</f>
        <v>0.61922365988909422</v>
      </c>
      <c r="BM330" s="58">
        <f>+Tabla8[[#This Row],[Trenes Corridos]]/Tabla8[[#This Row],[Trenes Programados]]</f>
        <v>0.92636986301369861</v>
      </c>
      <c r="BN330" s="59">
        <v>584</v>
      </c>
      <c r="BO330" s="56">
        <f t="shared" ref="BO330:BO334" si="220">+BN330-BP330</f>
        <v>43</v>
      </c>
      <c r="BP330" s="59">
        <v>541</v>
      </c>
      <c r="BQ330" s="59">
        <v>335</v>
      </c>
      <c r="BR330" s="59">
        <f t="shared" ref="BR330:BR334" si="221">+BP330-BQ330</f>
        <v>206</v>
      </c>
      <c r="BS330" s="57"/>
    </row>
    <row r="331" spans="1:71" ht="13.7" customHeight="1">
      <c r="A331" s="49">
        <v>2020</v>
      </c>
      <c r="B331" s="52" t="s">
        <v>39</v>
      </c>
      <c r="C331" s="55">
        <f>+MITRE[[#This Row],[Trenes Puntuales]]/MITRE[[#This Row],[Trenes Programados]]</f>
        <v>0.79446845289541923</v>
      </c>
      <c r="D331" s="55">
        <f>+MITRE[[#This Row],[Trenes Puntuales]]/MITRE[[#This Row],[Trenes Corridos]]</f>
        <v>0.82454251883745966</v>
      </c>
      <c r="E331" s="55">
        <f>+MITRE[[#This Row],[Trenes Corridos]]/MITRE[[#This Row],[Trenes Programados]]</f>
        <v>0.96352636127917024</v>
      </c>
      <c r="F331" s="27">
        <f t="shared" si="209"/>
        <v>11570</v>
      </c>
      <c r="G331" s="27">
        <f t="shared" si="210"/>
        <v>422</v>
      </c>
      <c r="H331" s="27">
        <f t="shared" si="211"/>
        <v>11148</v>
      </c>
      <c r="I331" s="27">
        <f t="shared" si="212"/>
        <v>9192</v>
      </c>
      <c r="J331" s="27">
        <f t="shared" si="213"/>
        <v>1956</v>
      </c>
      <c r="K331" s="56"/>
      <c r="M331" s="57">
        <v>2020</v>
      </c>
      <c r="N331" s="52" t="s">
        <v>39</v>
      </c>
      <c r="O331" s="58">
        <f>+Tabla4[[#This Row],[Trenes Puntuales]]/Tabla4[[#This Row],[Trenes Programados]]</f>
        <v>0.78969860548807913</v>
      </c>
      <c r="P331" s="58">
        <f>+Tabla4[[#This Row],[Trenes Puntuales]]/Tabla4[[#This Row],[Trenes Corridos]]</f>
        <v>0.8367492850333651</v>
      </c>
      <c r="Q331" s="58">
        <f>+Tabla4[[#This Row],[Trenes Corridos]]/Tabla4[[#This Row],[Trenes Programados]]</f>
        <v>0.9437696806117859</v>
      </c>
      <c r="R331" s="59">
        <v>4446</v>
      </c>
      <c r="S331" s="56">
        <f t="shared" si="214"/>
        <v>250</v>
      </c>
      <c r="T331" s="59">
        <v>4196</v>
      </c>
      <c r="U331" s="59">
        <v>3511</v>
      </c>
      <c r="V331" s="59">
        <f t="shared" si="215"/>
        <v>685</v>
      </c>
      <c r="W331" s="59"/>
      <c r="Y331" s="57">
        <v>2020</v>
      </c>
      <c r="Z331" s="57" t="s">
        <v>39</v>
      </c>
      <c r="AA331" s="58">
        <f>+Tabla5[[#This Row],[Trenes Puntuales]]/Tabla5[[#This Row],[Trenes Programados]]</f>
        <v>0.81600780868716449</v>
      </c>
      <c r="AB331" s="58">
        <f>+Tabla5[[#This Row],[Trenes Puntuales]]/Tabla5[[#This Row],[Trenes Corridos]]</f>
        <v>0.83453955577738959</v>
      </c>
      <c r="AC331" s="58">
        <f>+Tabla5[[#This Row],[Trenes Corridos]]/Tabla5[[#This Row],[Trenes Programados]]</f>
        <v>0.97779404587603713</v>
      </c>
      <c r="AD331" s="59">
        <v>4098</v>
      </c>
      <c r="AE331" s="56">
        <f t="shared" si="216"/>
        <v>91</v>
      </c>
      <c r="AF331" s="59">
        <v>4007</v>
      </c>
      <c r="AG331" s="59">
        <v>3344</v>
      </c>
      <c r="AH331" s="59">
        <f t="shared" si="217"/>
        <v>663</v>
      </c>
      <c r="AI331" s="59"/>
      <c r="AK331" s="57">
        <v>2020</v>
      </c>
      <c r="AL331" s="57" t="s">
        <v>39</v>
      </c>
      <c r="AM331" s="58">
        <f>+Tabla6[[#This Row],[Trenes Puntuales]]/Tabla6[[#This Row],[Trenes Programados]]</f>
        <v>0.84078516902944389</v>
      </c>
      <c r="AN331" s="58">
        <f>+Tabla6[[#This Row],[Trenes Puntuales]]/Tabla6[[#This Row],[Trenes Corridos]]</f>
        <v>0.85476718403547669</v>
      </c>
      <c r="AO331" s="58">
        <f>+Tabla6[[#This Row],[Trenes Corridos]]/Tabla6[[#This Row],[Trenes Programados]]</f>
        <v>0.98364231188658668</v>
      </c>
      <c r="AP331" s="59">
        <v>1834</v>
      </c>
      <c r="AQ331" s="56">
        <f t="shared" si="218"/>
        <v>30</v>
      </c>
      <c r="AR331" s="59">
        <v>1804</v>
      </c>
      <c r="AS331" s="59">
        <v>1542</v>
      </c>
      <c r="AT331" s="59">
        <f t="shared" si="219"/>
        <v>262</v>
      </c>
      <c r="AU331" s="59"/>
      <c r="AW331" s="49">
        <v>2020</v>
      </c>
      <c r="AX331" s="57" t="s">
        <v>39</v>
      </c>
      <c r="AY331" s="58">
        <f>+MIT_Vic_Cap[[#This Row],[Trenes Puntuales]]/MIT_Vic_Cap[[#This Row],[Trenes Programados]]</f>
        <v>0.74085365853658536</v>
      </c>
      <c r="AZ331" s="58">
        <f>+MIT_Vic_Cap[[#This Row],[Trenes Puntuales]]/MIT_Vic_Cap[[#This Row],[Trenes Corridos]]</f>
        <v>0.78387096774193543</v>
      </c>
      <c r="BA331" s="58">
        <f>+MIT_Vic_Cap[[#This Row],[Trenes Corridos]]/MIT_Vic_Cap[[#This Row],[Trenes Programados]]</f>
        <v>0.94512195121951215</v>
      </c>
      <c r="BB331" s="59">
        <v>656</v>
      </c>
      <c r="BC331" s="27">
        <f t="shared" si="202"/>
        <v>36</v>
      </c>
      <c r="BD331" s="59">
        <v>620</v>
      </c>
      <c r="BE331" s="59">
        <v>486</v>
      </c>
      <c r="BF331" s="20">
        <f t="shared" si="207"/>
        <v>134</v>
      </c>
      <c r="BG331" s="59"/>
      <c r="BI331" s="57">
        <v>2020</v>
      </c>
      <c r="BJ331" s="57" t="s">
        <v>39</v>
      </c>
      <c r="BK331" s="58">
        <f>+Tabla8[[#This Row],[Trenes Puntuales]]/Tabla8[[#This Row],[Trenes Programados]]</f>
        <v>0.57649253731343286</v>
      </c>
      <c r="BL331" s="58">
        <f>+Tabla8[[#This Row],[Trenes Puntuales]]/Tabla8[[#This Row],[Trenes Corridos]]</f>
        <v>0.59309021113243765</v>
      </c>
      <c r="BM331" s="58">
        <f>+Tabla8[[#This Row],[Trenes Corridos]]/Tabla8[[#This Row],[Trenes Programados]]</f>
        <v>0.97201492537313428</v>
      </c>
      <c r="BN331" s="59">
        <v>536</v>
      </c>
      <c r="BO331" s="56">
        <f t="shared" si="220"/>
        <v>15</v>
      </c>
      <c r="BP331" s="59">
        <v>521</v>
      </c>
      <c r="BQ331" s="59">
        <v>309</v>
      </c>
      <c r="BR331" s="59">
        <f t="shared" si="221"/>
        <v>212</v>
      </c>
      <c r="BS331" s="57"/>
    </row>
    <row r="332" spans="1:71" ht="13.7" customHeight="1">
      <c r="A332" s="49">
        <v>2020</v>
      </c>
      <c r="B332" s="52" t="s">
        <v>40</v>
      </c>
      <c r="C332" s="55">
        <f>+MITRE[[#This Row],[Trenes Puntuales]]/MITRE[[#This Row],[Trenes Programados]]</f>
        <v>0.64361847499316749</v>
      </c>
      <c r="D332" s="55">
        <f>+MITRE[[#This Row],[Trenes Puntuales]]/MITRE[[#This Row],[Trenes Corridos]]</f>
        <v>0.80816746739876455</v>
      </c>
      <c r="E332" s="55">
        <f>+MITRE[[#This Row],[Trenes Corridos]]/MITRE[[#This Row],[Trenes Programados]]</f>
        <v>0.79639245695545235</v>
      </c>
      <c r="F332" s="27">
        <f t="shared" si="209"/>
        <v>10977</v>
      </c>
      <c r="G332" s="27">
        <f t="shared" si="210"/>
        <v>2235</v>
      </c>
      <c r="H332" s="27">
        <f t="shared" si="211"/>
        <v>8742</v>
      </c>
      <c r="I332" s="27">
        <f t="shared" si="212"/>
        <v>7065</v>
      </c>
      <c r="J332" s="27">
        <f t="shared" si="213"/>
        <v>1677</v>
      </c>
      <c r="K332" s="56"/>
      <c r="M332" s="57">
        <v>2020</v>
      </c>
      <c r="N332" s="52" t="s">
        <v>40</v>
      </c>
      <c r="O332" s="58">
        <f>+Tabla4[[#This Row],[Trenes Puntuales]]/Tabla4[[#This Row],[Trenes Programados]]</f>
        <v>0.6922521655437921</v>
      </c>
      <c r="P332" s="58">
        <f>+Tabla4[[#This Row],[Trenes Puntuales]]/Tabla4[[#This Row],[Trenes Corridos]]</f>
        <v>0.86396396396396391</v>
      </c>
      <c r="Q332" s="58">
        <f>+Tabla4[[#This Row],[Trenes Corridos]]/Tabla4[[#This Row],[Trenes Programados]]</f>
        <v>0.80125120307988451</v>
      </c>
      <c r="R332" s="59">
        <v>4156</v>
      </c>
      <c r="S332" s="56">
        <f t="shared" si="214"/>
        <v>826</v>
      </c>
      <c r="T332" s="59">
        <v>3330</v>
      </c>
      <c r="U332" s="59">
        <v>2877</v>
      </c>
      <c r="V332" s="59">
        <f t="shared" si="215"/>
        <v>453</v>
      </c>
      <c r="W332" s="59"/>
      <c r="Y332" s="57">
        <v>2020</v>
      </c>
      <c r="Z332" s="57" t="s">
        <v>40</v>
      </c>
      <c r="AA332" s="58">
        <f>+Tabla5[[#This Row],[Trenes Puntuales]]/Tabla5[[#This Row],[Trenes Programados]]</f>
        <v>0.64457202505219202</v>
      </c>
      <c r="AB332" s="58">
        <f>+Tabla5[[#This Row],[Trenes Puntuales]]/Tabla5[[#This Row],[Trenes Corridos]]</f>
        <v>0.81063340991138821</v>
      </c>
      <c r="AC332" s="58">
        <f>+Tabla5[[#This Row],[Trenes Corridos]]/Tabla5[[#This Row],[Trenes Programados]]</f>
        <v>0.79514613778705634</v>
      </c>
      <c r="AD332" s="59">
        <v>3832</v>
      </c>
      <c r="AE332" s="56">
        <f t="shared" si="216"/>
        <v>785</v>
      </c>
      <c r="AF332" s="59">
        <v>3047</v>
      </c>
      <c r="AG332" s="59">
        <v>2470</v>
      </c>
      <c r="AH332" s="59">
        <f t="shared" si="217"/>
        <v>577</v>
      </c>
      <c r="AI332" s="59"/>
      <c r="AK332" s="57">
        <v>2020</v>
      </c>
      <c r="AL332" s="57" t="s">
        <v>40</v>
      </c>
      <c r="AM332" s="58">
        <f>+Tabla6[[#This Row],[Trenes Puntuales]]/Tabla6[[#This Row],[Trenes Programados]]</f>
        <v>0.6023755656108597</v>
      </c>
      <c r="AN332" s="58">
        <f>+Tabla6[[#This Row],[Trenes Puntuales]]/Tabla6[[#This Row],[Trenes Corridos]]</f>
        <v>0.78713968957871394</v>
      </c>
      <c r="AO332" s="58">
        <f>+Tabla6[[#This Row],[Trenes Corridos]]/Tabla6[[#This Row],[Trenes Programados]]</f>
        <v>0.76527149321266963</v>
      </c>
      <c r="AP332" s="59">
        <v>1768</v>
      </c>
      <c r="AQ332" s="56">
        <f t="shared" si="218"/>
        <v>415</v>
      </c>
      <c r="AR332" s="59">
        <v>1353</v>
      </c>
      <c r="AS332" s="59">
        <v>1065</v>
      </c>
      <c r="AT332" s="59">
        <f t="shared" si="219"/>
        <v>288</v>
      </c>
      <c r="AU332" s="59"/>
      <c r="AW332" s="49">
        <v>2020</v>
      </c>
      <c r="AX332" s="57" t="s">
        <v>40</v>
      </c>
      <c r="AY332" s="58">
        <f>+MIT_Vic_Cap[[#This Row],[Trenes Puntuales]]/MIT_Vic_Cap[[#This Row],[Trenes Programados]]</f>
        <v>0.61285500747384158</v>
      </c>
      <c r="AZ332" s="58">
        <f>+MIT_Vic_Cap[[#This Row],[Trenes Puntuales]]/MIT_Vic_Cap[[#This Row],[Trenes Corridos]]</f>
        <v>0.73476702508960579</v>
      </c>
      <c r="BA332" s="58">
        <f>+MIT_Vic_Cap[[#This Row],[Trenes Corridos]]/MIT_Vic_Cap[[#This Row],[Trenes Programados]]</f>
        <v>0.8340807174887892</v>
      </c>
      <c r="BB332" s="59">
        <v>669</v>
      </c>
      <c r="BC332" s="27">
        <f t="shared" si="202"/>
        <v>111</v>
      </c>
      <c r="BD332" s="59">
        <v>558</v>
      </c>
      <c r="BE332" s="59">
        <v>410</v>
      </c>
      <c r="BF332" s="20">
        <f t="shared" si="207"/>
        <v>148</v>
      </c>
      <c r="BG332" s="59"/>
      <c r="BI332" s="57">
        <v>2020</v>
      </c>
      <c r="BJ332" s="57" t="s">
        <v>40</v>
      </c>
      <c r="BK332" s="58">
        <f>+Tabla8[[#This Row],[Trenes Puntuales]]/Tabla8[[#This Row],[Trenes Programados]]</f>
        <v>0.44021739130434784</v>
      </c>
      <c r="BL332" s="58">
        <f>+Tabla8[[#This Row],[Trenes Puntuales]]/Tabla8[[#This Row],[Trenes Corridos]]</f>
        <v>0.53524229074889873</v>
      </c>
      <c r="BM332" s="58">
        <f>+Tabla8[[#This Row],[Trenes Corridos]]/Tabla8[[#This Row],[Trenes Programados]]</f>
        <v>0.82246376811594202</v>
      </c>
      <c r="BN332" s="59">
        <v>552</v>
      </c>
      <c r="BO332" s="56">
        <f t="shared" si="220"/>
        <v>98</v>
      </c>
      <c r="BP332" s="59">
        <v>454</v>
      </c>
      <c r="BQ332" s="59">
        <v>243</v>
      </c>
      <c r="BR332" s="59">
        <f t="shared" si="221"/>
        <v>211</v>
      </c>
      <c r="BS332" s="57"/>
    </row>
    <row r="333" spans="1:71" ht="13.7" customHeight="1">
      <c r="A333" s="49">
        <v>2020</v>
      </c>
      <c r="B333" s="52" t="s">
        <v>41</v>
      </c>
      <c r="C333" s="55">
        <f>+MITRE[[#This Row],[Trenes Puntuales]]/MITRE[[#This Row],[Trenes Programados]]</f>
        <v>0.83191817830953296</v>
      </c>
      <c r="D333" s="55">
        <f>+MITRE[[#This Row],[Trenes Puntuales]]/MITRE[[#This Row],[Trenes Corridos]]</f>
        <v>0.9032055311125079</v>
      </c>
      <c r="E333" s="55">
        <f>+MITRE[[#This Row],[Trenes Corridos]]/MITRE[[#This Row],[Trenes Programados]]</f>
        <v>0.92107294480895407</v>
      </c>
      <c r="F333" s="27">
        <f t="shared" si="209"/>
        <v>5182</v>
      </c>
      <c r="G333" s="27">
        <f t="shared" si="210"/>
        <v>409</v>
      </c>
      <c r="H333" s="27">
        <f t="shared" si="211"/>
        <v>4773</v>
      </c>
      <c r="I333" s="27">
        <f t="shared" si="212"/>
        <v>4311</v>
      </c>
      <c r="J333" s="27">
        <f t="shared" si="213"/>
        <v>462</v>
      </c>
      <c r="K333" s="109" t="s">
        <v>83</v>
      </c>
      <c r="M333" s="57">
        <v>2020</v>
      </c>
      <c r="N333" s="52" t="s">
        <v>41</v>
      </c>
      <c r="O333" s="58">
        <f>+Tabla4[[#This Row],[Trenes Puntuales]]/Tabla4[[#This Row],[Trenes Programados]]</f>
        <v>0.9128329297820823</v>
      </c>
      <c r="P333" s="58">
        <f>+Tabla4[[#This Row],[Trenes Puntuales]]/Tabla4[[#This Row],[Trenes Corridos]]</f>
        <v>0.93839452395768508</v>
      </c>
      <c r="Q333" s="58">
        <f>+Tabla4[[#This Row],[Trenes Corridos]]/Tabla4[[#This Row],[Trenes Programados]]</f>
        <v>0.97276029055690072</v>
      </c>
      <c r="R333" s="59">
        <v>1652</v>
      </c>
      <c r="S333" s="56">
        <f t="shared" si="214"/>
        <v>45</v>
      </c>
      <c r="T333" s="59">
        <v>1607</v>
      </c>
      <c r="U333" s="59">
        <v>1508</v>
      </c>
      <c r="V333" s="59">
        <f t="shared" si="215"/>
        <v>99</v>
      </c>
      <c r="W333" s="109" t="s">
        <v>83</v>
      </c>
      <c r="Y333" s="57">
        <v>2020</v>
      </c>
      <c r="Z333" s="57" t="s">
        <v>41</v>
      </c>
      <c r="AA333" s="58">
        <f>+Tabla5[[#This Row],[Trenes Puntuales]]/Tabla5[[#This Row],[Trenes Programados]]</f>
        <v>0.93905191873589167</v>
      </c>
      <c r="AB333" s="58">
        <f>+Tabla5[[#This Row],[Trenes Puntuales]]/Tabla5[[#This Row],[Trenes Corridos]]</f>
        <v>0.94438138479001132</v>
      </c>
      <c r="AC333" s="58">
        <f>+Tabla5[[#This Row],[Trenes Corridos]]/Tabla5[[#This Row],[Trenes Programados]]</f>
        <v>0.99435665914221216</v>
      </c>
      <c r="AD333" s="59">
        <v>1772</v>
      </c>
      <c r="AE333" s="56">
        <f t="shared" si="216"/>
        <v>10</v>
      </c>
      <c r="AF333" s="59">
        <v>1762</v>
      </c>
      <c r="AG333" s="59">
        <v>1664</v>
      </c>
      <c r="AH333" s="59">
        <f t="shared" si="217"/>
        <v>98</v>
      </c>
      <c r="AI333" s="109" t="s">
        <v>83</v>
      </c>
      <c r="AK333" s="57">
        <v>2020</v>
      </c>
      <c r="AL333" s="57" t="s">
        <v>41</v>
      </c>
      <c r="AM333" s="58">
        <f>+Tabla6[[#This Row],[Trenes Puntuales]]/Tabla6[[#This Row],[Trenes Programados]]</f>
        <v>0.85593220338983056</v>
      </c>
      <c r="AN333" s="58">
        <f>+Tabla6[[#This Row],[Trenes Puntuales]]/Tabla6[[#This Row],[Trenes Corridos]]</f>
        <v>0.89117647058823535</v>
      </c>
      <c r="AO333" s="58">
        <f>+Tabla6[[#This Row],[Trenes Corridos]]/Tabla6[[#This Row],[Trenes Programados]]</f>
        <v>0.96045197740112997</v>
      </c>
      <c r="AP333" s="59">
        <v>708</v>
      </c>
      <c r="AQ333" s="56">
        <f t="shared" si="218"/>
        <v>28</v>
      </c>
      <c r="AR333" s="59">
        <v>680</v>
      </c>
      <c r="AS333" s="59">
        <v>606</v>
      </c>
      <c r="AT333" s="59">
        <f t="shared" si="219"/>
        <v>74</v>
      </c>
      <c r="AU333" s="109" t="s">
        <v>83</v>
      </c>
      <c r="AW333" s="49">
        <v>2020</v>
      </c>
      <c r="AX333" s="57" t="s">
        <v>41</v>
      </c>
      <c r="AY333" s="58">
        <f>+MIT_Vic_Cap[[#This Row],[Trenes Puntuales]]/MIT_Vic_Cap[[#This Row],[Trenes Programados]]</f>
        <v>0.57543859649122808</v>
      </c>
      <c r="AZ333" s="58">
        <f>+MIT_Vic_Cap[[#This Row],[Trenes Puntuales]]/MIT_Vic_Cap[[#This Row],[Trenes Corridos]]</f>
        <v>0.81188118811881194</v>
      </c>
      <c r="BA333" s="58">
        <f>+MIT_Vic_Cap[[#This Row],[Trenes Corridos]]/MIT_Vic_Cap[[#This Row],[Trenes Programados]]</f>
        <v>0.70877192982456139</v>
      </c>
      <c r="BB333" s="59">
        <v>570</v>
      </c>
      <c r="BC333" s="27">
        <f t="shared" si="202"/>
        <v>166</v>
      </c>
      <c r="BD333" s="59">
        <v>404</v>
      </c>
      <c r="BE333" s="59">
        <v>328</v>
      </c>
      <c r="BF333" s="20">
        <f t="shared" si="207"/>
        <v>76</v>
      </c>
      <c r="BG333" s="109" t="s">
        <v>84</v>
      </c>
      <c r="BI333" s="57">
        <v>2020</v>
      </c>
      <c r="BJ333" s="57" t="s">
        <v>41</v>
      </c>
      <c r="BK333" s="58">
        <f>+Tabla8[[#This Row],[Trenes Puntuales]]/Tabla8[[#This Row],[Trenes Programados]]</f>
        <v>0.42708333333333331</v>
      </c>
      <c r="BL333" s="58">
        <f>+Tabla8[[#This Row],[Trenes Puntuales]]/Tabla8[[#This Row],[Trenes Corridos]]</f>
        <v>0.640625</v>
      </c>
      <c r="BM333" s="58">
        <f>+Tabla8[[#This Row],[Trenes Corridos]]/Tabla8[[#This Row],[Trenes Programados]]</f>
        <v>0.66666666666666663</v>
      </c>
      <c r="BN333" s="59">
        <v>480</v>
      </c>
      <c r="BO333" s="56">
        <f t="shared" si="220"/>
        <v>160</v>
      </c>
      <c r="BP333" s="59">
        <v>320</v>
      </c>
      <c r="BQ333" s="59">
        <v>205</v>
      </c>
      <c r="BR333" s="59">
        <f t="shared" si="221"/>
        <v>115</v>
      </c>
      <c r="BS333" s="109" t="s">
        <v>83</v>
      </c>
    </row>
    <row r="334" spans="1:71" ht="13.7" customHeight="1">
      <c r="A334" s="49">
        <v>2020</v>
      </c>
      <c r="B334" s="52" t="s">
        <v>42</v>
      </c>
      <c r="C334" s="55">
        <f>+MITRE[[#This Row],[Trenes Puntuales]]/MITRE[[#This Row],[Trenes Programados]]</f>
        <v>0.84953077779545094</v>
      </c>
      <c r="D334" s="55">
        <f>+MITRE[[#This Row],[Trenes Puntuales]]/MITRE[[#This Row],[Trenes Corridos]]</f>
        <v>0.9066372432524189</v>
      </c>
      <c r="E334" s="55">
        <f>+MITRE[[#This Row],[Trenes Corridos]]/MITRE[[#This Row],[Trenes Programados]]</f>
        <v>0.93701288372832825</v>
      </c>
      <c r="F334" s="27">
        <f t="shared" si="209"/>
        <v>6287</v>
      </c>
      <c r="G334" s="27">
        <f t="shared" si="210"/>
        <v>396</v>
      </c>
      <c r="H334" s="27">
        <f t="shared" si="211"/>
        <v>5891</v>
      </c>
      <c r="I334" s="27">
        <f t="shared" si="212"/>
        <v>5341</v>
      </c>
      <c r="J334" s="27">
        <f t="shared" si="213"/>
        <v>550</v>
      </c>
      <c r="K334" s="109" t="s">
        <v>83</v>
      </c>
      <c r="M334" s="57">
        <v>2020</v>
      </c>
      <c r="N334" s="52" t="s">
        <v>42</v>
      </c>
      <c r="O334" s="58">
        <f>+Tabla4[[#This Row],[Trenes Puntuales]]/Tabla4[[#This Row],[Trenes Programados]]</f>
        <v>0.9452054794520548</v>
      </c>
      <c r="P334" s="58">
        <f>+Tabla4[[#This Row],[Trenes Puntuales]]/Tabla4[[#This Row],[Trenes Corridos]]</f>
        <v>0.96458527493010249</v>
      </c>
      <c r="Q334" s="58">
        <f>+Tabla4[[#This Row],[Trenes Corridos]]/Tabla4[[#This Row],[Trenes Programados]]</f>
        <v>0.9799086757990868</v>
      </c>
      <c r="R334" s="59">
        <v>2190</v>
      </c>
      <c r="S334" s="56">
        <f t="shared" si="214"/>
        <v>44</v>
      </c>
      <c r="T334" s="59">
        <v>2146</v>
      </c>
      <c r="U334" s="59">
        <v>2070</v>
      </c>
      <c r="V334" s="59">
        <f t="shared" si="215"/>
        <v>76</v>
      </c>
      <c r="W334" s="109" t="s">
        <v>83</v>
      </c>
      <c r="Y334" s="57">
        <v>2020</v>
      </c>
      <c r="Z334" s="52" t="s">
        <v>42</v>
      </c>
      <c r="AA334" s="58">
        <f>+Tabla5[[#This Row],[Trenes Puntuales]]/Tabla5[[#This Row],[Trenes Programados]]</f>
        <v>0.91119005328596803</v>
      </c>
      <c r="AB334" s="58">
        <f>+Tabla5[[#This Row],[Trenes Puntuales]]/Tabla5[[#This Row],[Trenes Corridos]]</f>
        <v>0.9152542372881356</v>
      </c>
      <c r="AC334" s="58">
        <f>+Tabla5[[#This Row],[Trenes Corridos]]/Tabla5[[#This Row],[Trenes Programados]]</f>
        <v>0.99555950266429838</v>
      </c>
      <c r="AD334" s="59">
        <v>2252</v>
      </c>
      <c r="AE334" s="56">
        <f t="shared" si="216"/>
        <v>10</v>
      </c>
      <c r="AF334" s="59">
        <v>2242</v>
      </c>
      <c r="AG334" s="59">
        <v>2052</v>
      </c>
      <c r="AH334" s="59">
        <f t="shared" si="217"/>
        <v>190</v>
      </c>
      <c r="AI334" s="109" t="s">
        <v>83</v>
      </c>
      <c r="AK334" s="57">
        <v>2020</v>
      </c>
      <c r="AL334" s="57" t="s">
        <v>42</v>
      </c>
      <c r="AM334" s="58">
        <f>+Tabla6[[#This Row],[Trenes Puntuales]]/Tabla6[[#This Row],[Trenes Programados]]</f>
        <v>0.90207373271889402</v>
      </c>
      <c r="AN334" s="58">
        <f>+Tabla6[[#This Row],[Trenes Puntuales]]/Tabla6[[#This Row],[Trenes Corridos]]</f>
        <v>0.90207373271889402</v>
      </c>
      <c r="AO334" s="58">
        <f>+Tabla6[[#This Row],[Trenes Corridos]]/Tabla6[[#This Row],[Trenes Programados]]</f>
        <v>1</v>
      </c>
      <c r="AP334" s="59">
        <v>868</v>
      </c>
      <c r="AQ334" s="56">
        <f t="shared" si="218"/>
        <v>0</v>
      </c>
      <c r="AR334" s="59">
        <v>868</v>
      </c>
      <c r="AS334" s="59">
        <v>783</v>
      </c>
      <c r="AT334" s="59">
        <f t="shared" si="219"/>
        <v>85</v>
      </c>
      <c r="AU334" s="109" t="s">
        <v>83</v>
      </c>
      <c r="AW334" s="49">
        <v>2020</v>
      </c>
      <c r="AX334" s="57" t="s">
        <v>42</v>
      </c>
      <c r="AY334" s="58">
        <f>+MIT_Vic_Cap[[#This Row],[Trenes Puntuales]]/MIT_Vic_Cap[[#This Row],[Trenes Programados]]</f>
        <v>0.47637051039697542</v>
      </c>
      <c r="AZ334" s="58">
        <f>+MIT_Vic_Cap[[#This Row],[Trenes Puntuales]]/MIT_Vic_Cap[[#This Row],[Trenes Corridos]]</f>
        <v>0.86301369863013699</v>
      </c>
      <c r="BA334" s="58">
        <f>+MIT_Vic_Cap[[#This Row],[Trenes Corridos]]/MIT_Vic_Cap[[#This Row],[Trenes Programados]]</f>
        <v>0.55198487712665412</v>
      </c>
      <c r="BB334" s="59">
        <v>529</v>
      </c>
      <c r="BC334" s="27">
        <f t="shared" si="202"/>
        <v>237</v>
      </c>
      <c r="BD334" s="59">
        <v>292</v>
      </c>
      <c r="BE334" s="59">
        <v>252</v>
      </c>
      <c r="BF334" s="20">
        <f t="shared" si="207"/>
        <v>40</v>
      </c>
      <c r="BG334" s="109" t="s">
        <v>83</v>
      </c>
      <c r="BI334" s="57">
        <v>2020</v>
      </c>
      <c r="BJ334" s="52" t="s">
        <v>42</v>
      </c>
      <c r="BK334" s="58">
        <f>+Tabla8[[#This Row],[Trenes Puntuales]]/Tabla8[[#This Row],[Trenes Programados]]</f>
        <v>0.4107142857142857</v>
      </c>
      <c r="BL334" s="58">
        <f>+Tabla8[[#This Row],[Trenes Puntuales]]/Tabla8[[#This Row],[Trenes Corridos]]</f>
        <v>0.53644314868804666</v>
      </c>
      <c r="BM334" s="58">
        <f>+Tabla8[[#This Row],[Trenes Corridos]]/Tabla8[[#This Row],[Trenes Programados]]</f>
        <v>0.765625</v>
      </c>
      <c r="BN334" s="59">
        <v>448</v>
      </c>
      <c r="BO334" s="56">
        <f t="shared" si="220"/>
        <v>105</v>
      </c>
      <c r="BP334" s="59">
        <v>343</v>
      </c>
      <c r="BQ334" s="59">
        <v>184</v>
      </c>
      <c r="BR334" s="59">
        <f t="shared" si="221"/>
        <v>159</v>
      </c>
      <c r="BS334" s="109" t="s">
        <v>83</v>
      </c>
    </row>
    <row r="335" spans="1:71" ht="13.7" customHeight="1">
      <c r="A335" s="49">
        <v>2020</v>
      </c>
      <c r="B335" s="52" t="s">
        <v>43</v>
      </c>
      <c r="C335" s="55">
        <f>+MITRE[[#This Row],[Trenes Puntuales]]/MITRE[[#This Row],[Trenes Programados]]</f>
        <v>0.8842592592592593</v>
      </c>
      <c r="D335" s="55">
        <f>+MITRE[[#This Row],[Trenes Puntuales]]/MITRE[[#This Row],[Trenes Corridos]]</f>
        <v>0.90053231939163503</v>
      </c>
      <c r="E335" s="55">
        <f>+MITRE[[#This Row],[Trenes Corridos]]/MITRE[[#This Row],[Trenes Programados]]</f>
        <v>0.9819295101553166</v>
      </c>
      <c r="F335" s="27">
        <f t="shared" ref="F335" si="222">+R335+AD335+AP335+BB335+BN335</f>
        <v>6696</v>
      </c>
      <c r="G335" s="27">
        <f t="shared" ref="G335" si="223">F335-H335</f>
        <v>121</v>
      </c>
      <c r="H335" s="27">
        <f t="shared" ref="H335" si="224">+T335+AF335+AR335+BD335+BP335</f>
        <v>6575</v>
      </c>
      <c r="I335" s="27">
        <f t="shared" ref="I335" si="225">+U335+AG335+AS335+BE335+BQ335</f>
        <v>5921</v>
      </c>
      <c r="J335" s="27">
        <f t="shared" ref="J335" si="226">H335-I335</f>
        <v>654</v>
      </c>
      <c r="K335" s="109" t="s">
        <v>83</v>
      </c>
      <c r="M335" s="57">
        <v>2020</v>
      </c>
      <c r="N335" s="52" t="s">
        <v>43</v>
      </c>
      <c r="O335" s="58">
        <f>+Tabla4[[#This Row],[Trenes Puntuales]]/Tabla4[[#This Row],[Trenes Programados]]</f>
        <v>0.97072599531615922</v>
      </c>
      <c r="P335" s="58">
        <f>+Tabla4[[#This Row],[Trenes Puntuales]]/Tabla4[[#This Row],[Trenes Corridos]]</f>
        <v>0.98222748815165872</v>
      </c>
      <c r="Q335" s="58">
        <f>+Tabla4[[#This Row],[Trenes Corridos]]/Tabla4[[#This Row],[Trenes Programados]]</f>
        <v>0.98829039812646369</v>
      </c>
      <c r="R335" s="59">
        <v>2562</v>
      </c>
      <c r="S335" s="56">
        <f t="shared" ref="S335:S341" si="227">+R335-T335</f>
        <v>30</v>
      </c>
      <c r="T335" s="59">
        <v>2532</v>
      </c>
      <c r="U335" s="59">
        <v>2487</v>
      </c>
      <c r="V335" s="59">
        <f t="shared" ref="V335:V341" si="228">+T335-U335</f>
        <v>45</v>
      </c>
      <c r="W335" s="109" t="s">
        <v>83</v>
      </c>
      <c r="Y335" s="57">
        <v>2020</v>
      </c>
      <c r="Z335" s="52" t="s">
        <v>43</v>
      </c>
      <c r="AA335" s="58">
        <f>+Tabla5[[#This Row],[Trenes Puntuales]]/Tabla5[[#This Row],[Trenes Programados]]</f>
        <v>0.87311058074781223</v>
      </c>
      <c r="AB335" s="58">
        <f>+Tabla5[[#This Row],[Trenes Puntuales]]/Tabla5[[#This Row],[Trenes Corridos]]</f>
        <v>0.8904665314401623</v>
      </c>
      <c r="AC335" s="58">
        <f>+Tabla5[[#This Row],[Trenes Corridos]]/Tabla5[[#This Row],[Trenes Programados]]</f>
        <v>0.98050914876690531</v>
      </c>
      <c r="AD335" s="59">
        <v>2514</v>
      </c>
      <c r="AE335" s="56">
        <f t="shared" ref="AE335:AE341" si="229">+AD335-AF335</f>
        <v>49</v>
      </c>
      <c r="AF335" s="59">
        <v>2465</v>
      </c>
      <c r="AG335" s="59">
        <v>2195</v>
      </c>
      <c r="AH335" s="59">
        <f t="shared" ref="AH335:AH341" si="230">+AF335-AG335</f>
        <v>270</v>
      </c>
      <c r="AI335" s="109" t="s">
        <v>83</v>
      </c>
      <c r="AK335" s="57">
        <v>2020</v>
      </c>
      <c r="AL335" s="107" t="s">
        <v>43</v>
      </c>
      <c r="AM335" s="58">
        <f>+Tabla6[[#This Row],[Trenes Puntuales]]/Tabla6[[#This Row],[Trenes Programados]]</f>
        <v>0.89642857142857146</v>
      </c>
      <c r="AN335" s="58">
        <f>+Tabla6[[#This Row],[Trenes Puntuales]]/Tabla6[[#This Row],[Trenes Corridos]]</f>
        <v>0.90504807692307687</v>
      </c>
      <c r="AO335" s="58">
        <f>+Tabla6[[#This Row],[Trenes Corridos]]/Tabla6[[#This Row],[Trenes Programados]]</f>
        <v>0.99047619047619051</v>
      </c>
      <c r="AP335" s="59">
        <v>840</v>
      </c>
      <c r="AQ335" s="56">
        <f t="shared" ref="AQ335:AQ341" si="231">+AP335-AR335</f>
        <v>8</v>
      </c>
      <c r="AR335" s="59">
        <v>832</v>
      </c>
      <c r="AS335" s="59">
        <v>753</v>
      </c>
      <c r="AT335" s="59">
        <f t="shared" ref="AT335:AT341" si="232">+AR335-AS335</f>
        <v>79</v>
      </c>
      <c r="AU335" s="109" t="s">
        <v>83</v>
      </c>
      <c r="AW335" s="49">
        <v>2020</v>
      </c>
      <c r="AX335" s="57" t="s">
        <v>43</v>
      </c>
      <c r="AY335" s="58">
        <f>+MIT_Vic_Cap[[#This Row],[Trenes Puntuales]]/MIT_Vic_Cap[[#This Row],[Trenes Programados]]</f>
        <v>0.8</v>
      </c>
      <c r="AZ335" s="58">
        <f>+MIT_Vic_Cap[[#This Row],[Trenes Puntuales]]/MIT_Vic_Cap[[#This Row],[Trenes Corridos]]</f>
        <v>0.85279187817258884</v>
      </c>
      <c r="BA335" s="58">
        <f>+MIT_Vic_Cap[[#This Row],[Trenes Corridos]]/MIT_Vic_Cap[[#This Row],[Trenes Programados]]</f>
        <v>0.93809523809523809</v>
      </c>
      <c r="BB335" s="59">
        <v>420</v>
      </c>
      <c r="BC335" s="27">
        <f t="shared" si="202"/>
        <v>26</v>
      </c>
      <c r="BD335" s="59">
        <v>394</v>
      </c>
      <c r="BE335" s="59">
        <v>336</v>
      </c>
      <c r="BF335" s="20">
        <f t="shared" si="207"/>
        <v>58</v>
      </c>
      <c r="BG335" s="109" t="s">
        <v>83</v>
      </c>
      <c r="BI335" s="57">
        <v>2020</v>
      </c>
      <c r="BJ335" s="52" t="s">
        <v>43</v>
      </c>
      <c r="BK335" s="58">
        <f>+Tabla8[[#This Row],[Trenes Puntuales]]/Tabla8[[#This Row],[Trenes Programados]]</f>
        <v>0.41666666666666669</v>
      </c>
      <c r="BL335" s="58">
        <f>+Tabla8[[#This Row],[Trenes Puntuales]]/Tabla8[[#This Row],[Trenes Corridos]]</f>
        <v>0.42613636363636365</v>
      </c>
      <c r="BM335" s="58">
        <f>+Tabla8[[#This Row],[Trenes Corridos]]/Tabla8[[#This Row],[Trenes Programados]]</f>
        <v>0.97777777777777775</v>
      </c>
      <c r="BN335" s="59">
        <v>360</v>
      </c>
      <c r="BO335" s="56">
        <f t="shared" ref="BO335:BO341" si="233">+BN335-BP335</f>
        <v>8</v>
      </c>
      <c r="BP335" s="59">
        <v>352</v>
      </c>
      <c r="BQ335" s="59">
        <v>150</v>
      </c>
      <c r="BR335" s="59">
        <f t="shared" ref="BR335:BR341" si="234">+BP335-BQ335</f>
        <v>202</v>
      </c>
      <c r="BS335" s="109" t="s">
        <v>83</v>
      </c>
    </row>
    <row r="336" spans="1:71" ht="13.7" customHeight="1">
      <c r="A336" s="49">
        <v>2020</v>
      </c>
      <c r="B336" s="52" t="s">
        <v>44</v>
      </c>
      <c r="C336" s="55">
        <f>+MITRE[[#This Row],[Trenes Puntuales]]/MITRE[[#This Row],[Trenes Programados]]</f>
        <v>0.89141856392294216</v>
      </c>
      <c r="D336" s="55">
        <f>+MITRE[[#This Row],[Trenes Puntuales]]/MITRE[[#This Row],[Trenes Corridos]]</f>
        <v>0.91587944219523165</v>
      </c>
      <c r="E336" s="55">
        <f>+MITRE[[#This Row],[Trenes Corridos]]/MITRE[[#This Row],[Trenes Programados]]</f>
        <v>0.97329246935201397</v>
      </c>
      <c r="F336" s="56">
        <f>+R336+AD336+AP336+BB336+BN336</f>
        <v>6852</v>
      </c>
      <c r="G336" s="56">
        <f>F336-H336</f>
        <v>183</v>
      </c>
      <c r="H336" s="56">
        <f>+T336+AF336+AR336+BD336+BP336</f>
        <v>6669</v>
      </c>
      <c r="I336" s="56">
        <f>+U336+AG336+AS336+BE336+BQ336</f>
        <v>6108</v>
      </c>
      <c r="J336" s="56">
        <f>H336-I336</f>
        <v>561</v>
      </c>
      <c r="K336" s="109" t="s">
        <v>83</v>
      </c>
      <c r="M336" s="57">
        <v>2020</v>
      </c>
      <c r="N336" s="52" t="s">
        <v>44</v>
      </c>
      <c r="O336" s="58">
        <f>+Tabla4[[#This Row],[Trenes Puntuales]]/Tabla4[[#This Row],[Trenes Programados]]</f>
        <v>0.96180290297937354</v>
      </c>
      <c r="P336" s="58">
        <f>+Tabla4[[#This Row],[Trenes Puntuales]]/Tabla4[[#This Row],[Trenes Corridos]]</f>
        <v>0.98014791747761776</v>
      </c>
      <c r="Q336" s="58">
        <f>+Tabla4[[#This Row],[Trenes Corridos]]/Tabla4[[#This Row],[Trenes Programados]]</f>
        <v>0.98128342245989308</v>
      </c>
      <c r="R336" s="59">
        <v>2618</v>
      </c>
      <c r="S336" s="56">
        <f t="shared" si="227"/>
        <v>49</v>
      </c>
      <c r="T336" s="59">
        <v>2569</v>
      </c>
      <c r="U336" s="59">
        <v>2518</v>
      </c>
      <c r="V336" s="59">
        <f t="shared" si="228"/>
        <v>51</v>
      </c>
      <c r="W336" s="109" t="s">
        <v>83</v>
      </c>
      <c r="Y336" s="57">
        <v>2020</v>
      </c>
      <c r="Z336" s="52" t="s">
        <v>44</v>
      </c>
      <c r="AA336" s="58">
        <f>+Tabla5[[#This Row],[Trenes Puntuales]]/Tabla5[[#This Row],[Trenes Programados]]</f>
        <v>0.89882812499999998</v>
      </c>
      <c r="AB336" s="58">
        <f>+Tabla5[[#This Row],[Trenes Puntuales]]/Tabla5[[#This Row],[Trenes Corridos]]</f>
        <v>0.91237113402061853</v>
      </c>
      <c r="AC336" s="58">
        <f>+Tabla5[[#This Row],[Trenes Corridos]]/Tabla5[[#This Row],[Trenes Programados]]</f>
        <v>0.98515624999999996</v>
      </c>
      <c r="AD336" s="59">
        <v>2560</v>
      </c>
      <c r="AE336" s="56">
        <f t="shared" si="229"/>
        <v>38</v>
      </c>
      <c r="AF336" s="59">
        <v>2522</v>
      </c>
      <c r="AG336" s="59">
        <v>2301</v>
      </c>
      <c r="AH336" s="59">
        <f t="shared" si="230"/>
        <v>221</v>
      </c>
      <c r="AI336" s="109" t="s">
        <v>83</v>
      </c>
      <c r="AK336" s="57">
        <v>2020</v>
      </c>
      <c r="AL336" s="107" t="s">
        <v>44</v>
      </c>
      <c r="AM336" s="58">
        <f>+Tabla6[[#This Row],[Trenes Puntuales]]/Tabla6[[#This Row],[Trenes Programados]]</f>
        <v>0.88594470046082952</v>
      </c>
      <c r="AN336" s="58">
        <f>+Tabla6[[#This Row],[Trenes Puntuales]]/Tabla6[[#This Row],[Trenes Corridos]]</f>
        <v>0.89522700814901046</v>
      </c>
      <c r="AO336" s="58">
        <f>+Tabla6[[#This Row],[Trenes Corridos]]/Tabla6[[#This Row],[Trenes Programados]]</f>
        <v>0.98963133640552992</v>
      </c>
      <c r="AP336" s="59">
        <v>868</v>
      </c>
      <c r="AQ336" s="56">
        <f t="shared" si="231"/>
        <v>9</v>
      </c>
      <c r="AR336" s="59">
        <v>859</v>
      </c>
      <c r="AS336" s="59">
        <v>769</v>
      </c>
      <c r="AT336" s="59">
        <f t="shared" si="232"/>
        <v>90</v>
      </c>
      <c r="AU336" s="109" t="s">
        <v>83</v>
      </c>
      <c r="AW336" s="57">
        <v>2020</v>
      </c>
      <c r="AX336" s="52" t="s">
        <v>44</v>
      </c>
      <c r="AY336" s="58">
        <f>+MIT_Vic_Cap[[#This Row],[Trenes Puntuales]]/MIT_Vic_Cap[[#This Row],[Trenes Programados]]</f>
        <v>0.70737327188940091</v>
      </c>
      <c r="AZ336" s="58">
        <f>+MIT_Vic_Cap[[#This Row],[Trenes Puntuales]]/MIT_Vic_Cap[[#This Row],[Trenes Corridos]]</f>
        <v>0.87215909090909094</v>
      </c>
      <c r="BA336" s="58">
        <f>+MIT_Vic_Cap[[#This Row],[Trenes Corridos]]/MIT_Vic_Cap[[#This Row],[Trenes Programados]]</f>
        <v>0.81105990783410142</v>
      </c>
      <c r="BB336" s="59">
        <v>434</v>
      </c>
      <c r="BC336" s="27">
        <f t="shared" si="202"/>
        <v>82</v>
      </c>
      <c r="BD336" s="59">
        <v>352</v>
      </c>
      <c r="BE336" s="59">
        <v>307</v>
      </c>
      <c r="BF336" s="20">
        <f t="shared" si="207"/>
        <v>45</v>
      </c>
      <c r="BG336" s="109" t="s">
        <v>83</v>
      </c>
      <c r="BI336" s="57">
        <v>2020</v>
      </c>
      <c r="BJ336" s="52" t="s">
        <v>44</v>
      </c>
      <c r="BK336" s="58">
        <f>+Tabla8[[#This Row],[Trenes Puntuales]]/Tabla8[[#This Row],[Trenes Programados]]</f>
        <v>0.57258064516129037</v>
      </c>
      <c r="BL336" s="58">
        <f>+Tabla8[[#This Row],[Trenes Puntuales]]/Tabla8[[#This Row],[Trenes Corridos]]</f>
        <v>0.5803814713896458</v>
      </c>
      <c r="BM336" s="58">
        <f>+Tabla8[[#This Row],[Trenes Corridos]]/Tabla8[[#This Row],[Trenes Programados]]</f>
        <v>0.98655913978494625</v>
      </c>
      <c r="BN336" s="59">
        <v>372</v>
      </c>
      <c r="BO336" s="56">
        <f t="shared" si="233"/>
        <v>5</v>
      </c>
      <c r="BP336" s="59">
        <v>367</v>
      </c>
      <c r="BQ336" s="59">
        <v>213</v>
      </c>
      <c r="BR336" s="59">
        <f t="shared" si="234"/>
        <v>154</v>
      </c>
      <c r="BS336" s="109" t="s">
        <v>83</v>
      </c>
    </row>
    <row r="337" spans="1:71" ht="13.7" customHeight="1">
      <c r="A337" s="49">
        <v>2020</v>
      </c>
      <c r="B337" s="52" t="s">
        <v>45</v>
      </c>
      <c r="C337" s="55">
        <f>+MITRE[[#This Row],[Trenes Puntuales]]/MITRE[[#This Row],[Trenes Programados]]</f>
        <v>0.83803025808365472</v>
      </c>
      <c r="D337" s="55">
        <f>+MITRE[[#This Row],[Trenes Puntuales]]/MITRE[[#This Row],[Trenes Corridos]]</f>
        <v>0.90879845584687147</v>
      </c>
      <c r="E337" s="55">
        <f>+MITRE[[#This Row],[Trenes Corridos]]/MITRE[[#This Row],[Trenes Programados]]</f>
        <v>0.92212993177098779</v>
      </c>
      <c r="F337" s="56">
        <f>+R337+AD337+AP337+BB338+BN337</f>
        <v>6742</v>
      </c>
      <c r="G337" s="56">
        <f>F337-H337</f>
        <v>525</v>
      </c>
      <c r="H337" s="56">
        <f>+T337+AF337+AR337+BD337+BP337</f>
        <v>6217</v>
      </c>
      <c r="I337" s="56">
        <f>+U337+AG337+AS337+BE338+BQ337</f>
        <v>5650</v>
      </c>
      <c r="J337" s="56">
        <f>H337-I337</f>
        <v>567</v>
      </c>
      <c r="K337" s="109" t="s">
        <v>83</v>
      </c>
      <c r="M337" s="57">
        <v>2020</v>
      </c>
      <c r="N337" s="52" t="s">
        <v>45</v>
      </c>
      <c r="O337" s="58">
        <f>+Tabla4[[#This Row],[Trenes Puntuales]]/Tabla4[[#This Row],[Trenes Programados]]</f>
        <v>0.84899068322981364</v>
      </c>
      <c r="P337" s="58">
        <f>+Tabla4[[#This Row],[Trenes Puntuales]]/Tabla4[[#This Row],[Trenes Corridos]]</f>
        <v>0.9842484248424842</v>
      </c>
      <c r="Q337" s="58">
        <f>+Tabla4[[#This Row],[Trenes Corridos]]/Tabla4[[#This Row],[Trenes Programados]]</f>
        <v>0.86257763975155277</v>
      </c>
      <c r="R337" s="59">
        <v>2576</v>
      </c>
      <c r="S337" s="56">
        <f t="shared" si="227"/>
        <v>354</v>
      </c>
      <c r="T337" s="59">
        <v>2222</v>
      </c>
      <c r="U337" s="59">
        <v>2187</v>
      </c>
      <c r="V337" s="59">
        <f t="shared" si="228"/>
        <v>35</v>
      </c>
      <c r="W337" s="109" t="s">
        <v>83</v>
      </c>
      <c r="Y337" s="57">
        <v>2020</v>
      </c>
      <c r="Z337" s="52" t="s">
        <v>45</v>
      </c>
      <c r="AA337" s="58">
        <f>+Tabla5[[#This Row],[Trenes Puntuales]]/Tabla5[[#This Row],[Trenes Programados]]</f>
        <v>0.88946528332003194</v>
      </c>
      <c r="AB337" s="58">
        <f>+Tabla5[[#This Row],[Trenes Puntuales]]/Tabla5[[#This Row],[Trenes Corridos]]</f>
        <v>0.92374637380853708</v>
      </c>
      <c r="AC337" s="58">
        <f>+Tabla5[[#This Row],[Trenes Corridos]]/Tabla5[[#This Row],[Trenes Programados]]</f>
        <v>0.96288906624102155</v>
      </c>
      <c r="AD337" s="59">
        <v>2506</v>
      </c>
      <c r="AE337" s="56">
        <f t="shared" si="229"/>
        <v>93</v>
      </c>
      <c r="AF337" s="59">
        <v>2413</v>
      </c>
      <c r="AG337" s="59">
        <v>2229</v>
      </c>
      <c r="AH337" s="59">
        <f t="shared" si="230"/>
        <v>184</v>
      </c>
      <c r="AI337" s="109" t="s">
        <v>83</v>
      </c>
      <c r="AK337" s="57">
        <v>2020</v>
      </c>
      <c r="AL337" s="107" t="s">
        <v>45</v>
      </c>
      <c r="AM337" s="58">
        <f>+Tabla6[[#This Row],[Trenes Puntuales]]/Tabla6[[#This Row],[Trenes Programados]]</f>
        <v>0.89170506912442393</v>
      </c>
      <c r="AN337" s="58">
        <f>+Tabla6[[#This Row],[Trenes Puntuales]]/Tabla6[[#This Row],[Trenes Corridos]]</f>
        <v>0.91814946619217086</v>
      </c>
      <c r="AO337" s="58">
        <f>+Tabla6[[#This Row],[Trenes Corridos]]/Tabla6[[#This Row],[Trenes Programados]]</f>
        <v>0.97119815668202769</v>
      </c>
      <c r="AP337" s="59">
        <v>868</v>
      </c>
      <c r="AQ337" s="56">
        <f t="shared" si="231"/>
        <v>25</v>
      </c>
      <c r="AR337" s="59">
        <v>843</v>
      </c>
      <c r="AS337" s="59">
        <v>774</v>
      </c>
      <c r="AT337" s="59">
        <f t="shared" si="232"/>
        <v>69</v>
      </c>
      <c r="AU337" s="109" t="s">
        <v>83</v>
      </c>
      <c r="AW337" s="49">
        <v>2020</v>
      </c>
      <c r="AX337" s="52" t="s">
        <v>45</v>
      </c>
      <c r="AY337" s="58">
        <f>+MIT_Vic_Cap[[#This Row],[Trenes Puntuales]]/MIT_Vic_Cap[[#This Row],[Trenes Programados]]</f>
        <v>0.73502304147465436</v>
      </c>
      <c r="AZ337" s="58">
        <f>+MIT_Vic_Cap[[#This Row],[Trenes Puntuales]]/MIT_Vic_Cap[[#This Row],[Trenes Corridos]]</f>
        <v>0.85983827493261455</v>
      </c>
      <c r="BA337" s="58">
        <f>+MIT_Vic_Cap[[#This Row],[Trenes Corridos]]/MIT_Vic_Cap[[#This Row],[Trenes Programados]]</f>
        <v>0.85483870967741937</v>
      </c>
      <c r="BB337" s="59">
        <v>434</v>
      </c>
      <c r="BC337" s="27">
        <f t="shared" si="202"/>
        <v>63</v>
      </c>
      <c r="BD337" s="59">
        <v>371</v>
      </c>
      <c r="BE337" s="59">
        <v>319</v>
      </c>
      <c r="BF337" s="20">
        <f t="shared" si="207"/>
        <v>52</v>
      </c>
      <c r="BG337" s="31" t="s">
        <v>85</v>
      </c>
      <c r="BI337" s="57">
        <v>2020</v>
      </c>
      <c r="BJ337" s="52" t="s">
        <v>45</v>
      </c>
      <c r="BK337" s="58">
        <f>+Tabla8[[#This Row],[Trenes Puntuales]]/Tabla8[[#This Row],[Trenes Programados]]</f>
        <v>0.57526881720430112</v>
      </c>
      <c r="BL337" s="58">
        <f>+Tabla8[[#This Row],[Trenes Puntuales]]/Tabla8[[#This Row],[Trenes Corridos]]</f>
        <v>0.58152173913043481</v>
      </c>
      <c r="BM337" s="58">
        <f>+Tabla8[[#This Row],[Trenes Corridos]]/Tabla8[[#This Row],[Trenes Programados]]</f>
        <v>0.989247311827957</v>
      </c>
      <c r="BN337" s="59">
        <v>372</v>
      </c>
      <c r="BO337" s="56">
        <f t="shared" si="233"/>
        <v>4</v>
      </c>
      <c r="BP337" s="59">
        <v>368</v>
      </c>
      <c r="BQ337" s="59">
        <v>214</v>
      </c>
      <c r="BR337" s="59">
        <f t="shared" si="234"/>
        <v>154</v>
      </c>
      <c r="BS337" s="109" t="s">
        <v>83</v>
      </c>
    </row>
    <row r="338" spans="1:71" ht="13.7" customHeight="1">
      <c r="A338" s="49">
        <v>2020</v>
      </c>
      <c r="B338" s="52" t="s">
        <v>46</v>
      </c>
      <c r="C338" s="55">
        <f>+MITRE[[#This Row],[Trenes Puntuales]]/MITRE[[#This Row],[Trenes Programados]]</f>
        <v>0.7614840989399293</v>
      </c>
      <c r="D338" s="55">
        <f>+MITRE[[#This Row],[Trenes Puntuales]]/MITRE[[#This Row],[Trenes Corridos]]</f>
        <v>0.91767210787792763</v>
      </c>
      <c r="E338" s="55">
        <f>+MITRE[[#This Row],[Trenes Corridos]]/MITRE[[#This Row],[Trenes Programados]]</f>
        <v>0.82979976442873971</v>
      </c>
      <c r="F338" s="56">
        <f>+R338+AD338+AP338+BB338+BN338</f>
        <v>6792</v>
      </c>
      <c r="G338" s="56">
        <f>F338-H338</f>
        <v>1156</v>
      </c>
      <c r="H338" s="56">
        <f>+T338+AF338+AR338+BD338+BP338</f>
        <v>5636</v>
      </c>
      <c r="I338" s="56">
        <f>+U338+AG338+AS338+BE338+BQ338</f>
        <v>5172</v>
      </c>
      <c r="J338" s="56">
        <f>H338-I338</f>
        <v>464</v>
      </c>
      <c r="K338" s="109" t="s">
        <v>83</v>
      </c>
      <c r="M338" s="57">
        <v>2020</v>
      </c>
      <c r="N338" s="52" t="s">
        <v>46</v>
      </c>
      <c r="O338" s="58">
        <f>+Tabla4[[#This Row],[Trenes Puntuales]]/Tabla4[[#This Row],[Trenes Programados]]</f>
        <v>0.64516129032258063</v>
      </c>
      <c r="P338" s="58">
        <f>+Tabla4[[#This Row],[Trenes Puntuales]]/Tabla4[[#This Row],[Trenes Corridos]]</f>
        <v>0.98881695114773394</v>
      </c>
      <c r="Q338" s="58">
        <f>+Tabla4[[#This Row],[Trenes Corridos]]/Tabla4[[#This Row],[Trenes Programados]]</f>
        <v>0.65245775729646693</v>
      </c>
      <c r="R338" s="59">
        <v>2604</v>
      </c>
      <c r="S338" s="56">
        <f t="shared" si="227"/>
        <v>905</v>
      </c>
      <c r="T338" s="59">
        <v>1699</v>
      </c>
      <c r="U338" s="59">
        <v>1680</v>
      </c>
      <c r="V338" s="59">
        <f t="shared" si="228"/>
        <v>19</v>
      </c>
      <c r="W338" s="109" t="s">
        <v>83</v>
      </c>
      <c r="Y338" s="57">
        <v>2020</v>
      </c>
      <c r="Z338" s="52" t="s">
        <v>46</v>
      </c>
      <c r="AA338" s="58">
        <f>+Tabla5[[#This Row],[Trenes Puntuales]]/Tabla5[[#This Row],[Trenes Programados]]</f>
        <v>0.88823987538940807</v>
      </c>
      <c r="AB338" s="58">
        <f>+Tabla5[[#This Row],[Trenes Puntuales]]/Tabla5[[#This Row],[Trenes Corridos]]</f>
        <v>0.91643230212936921</v>
      </c>
      <c r="AC338" s="58">
        <f>+Tabla5[[#This Row],[Trenes Corridos]]/Tabla5[[#This Row],[Trenes Programados]]</f>
        <v>0.96923676012461057</v>
      </c>
      <c r="AD338" s="59">
        <v>2568</v>
      </c>
      <c r="AE338" s="56">
        <f t="shared" si="229"/>
        <v>79</v>
      </c>
      <c r="AF338" s="59">
        <v>2489</v>
      </c>
      <c r="AG338" s="59">
        <v>2281</v>
      </c>
      <c r="AH338" s="59">
        <f t="shared" si="230"/>
        <v>208</v>
      </c>
      <c r="AI338" s="109" t="s">
        <v>83</v>
      </c>
      <c r="AK338" s="57">
        <v>2020</v>
      </c>
      <c r="AL338" s="107" t="s">
        <v>46</v>
      </c>
      <c r="AM338" s="58">
        <f>+Tabla6[[#This Row],[Trenes Puntuales]]/Tabla6[[#This Row],[Trenes Programados]]</f>
        <v>0.8928571428571429</v>
      </c>
      <c r="AN338" s="58">
        <f>+Tabla6[[#This Row],[Trenes Puntuales]]/Tabla6[[#This Row],[Trenes Corridos]]</f>
        <v>0.92137592137592139</v>
      </c>
      <c r="AO338" s="58">
        <f>+Tabla6[[#This Row],[Trenes Corridos]]/Tabla6[[#This Row],[Trenes Programados]]</f>
        <v>0.96904761904761905</v>
      </c>
      <c r="AP338" s="59">
        <v>840</v>
      </c>
      <c r="AQ338" s="56">
        <f t="shared" si="231"/>
        <v>26</v>
      </c>
      <c r="AR338" s="59">
        <v>814</v>
      </c>
      <c r="AS338" s="59">
        <v>750</v>
      </c>
      <c r="AT338" s="59">
        <f t="shared" si="232"/>
        <v>64</v>
      </c>
      <c r="AU338" s="109" t="s">
        <v>83</v>
      </c>
      <c r="AW338" s="57">
        <v>2020</v>
      </c>
      <c r="AX338" s="52" t="s">
        <v>46</v>
      </c>
      <c r="AY338" s="58">
        <f>+MIT_Vic_Cap[[#This Row],[Trenes Puntuales]]/MIT_Vic_Cap[[#This Row],[Trenes Programados]]</f>
        <v>0.58571428571428574</v>
      </c>
      <c r="AZ338" s="58">
        <f>+MIT_Vic_Cap[[#This Row],[Trenes Puntuales]]/MIT_Vic_Cap[[#This Row],[Trenes Corridos]]</f>
        <v>0.89130434782608692</v>
      </c>
      <c r="BA338" s="58">
        <f>+MIT_Vic_Cap[[#This Row],[Trenes Corridos]]/MIT_Vic_Cap[[#This Row],[Trenes Programados]]</f>
        <v>0.65714285714285714</v>
      </c>
      <c r="BB338" s="59">
        <v>420</v>
      </c>
      <c r="BC338" s="27">
        <f t="shared" si="202"/>
        <v>144</v>
      </c>
      <c r="BD338" s="59">
        <v>276</v>
      </c>
      <c r="BE338" s="59">
        <v>246</v>
      </c>
      <c r="BF338" s="20">
        <f t="shared" si="207"/>
        <v>30</v>
      </c>
      <c r="BG338" s="109" t="s">
        <v>83</v>
      </c>
      <c r="BI338" s="57">
        <v>2020</v>
      </c>
      <c r="BJ338" s="52" t="s">
        <v>46</v>
      </c>
      <c r="BK338" s="58">
        <f>+Tabla8[[#This Row],[Trenes Puntuales]]/Tabla8[[#This Row],[Trenes Programados]]</f>
        <v>0.59722222222222221</v>
      </c>
      <c r="BL338" s="58">
        <f>+Tabla8[[#This Row],[Trenes Puntuales]]/Tabla8[[#This Row],[Trenes Corridos]]</f>
        <v>0.6005586592178771</v>
      </c>
      <c r="BM338" s="58">
        <f>+Tabla8[[#This Row],[Trenes Corridos]]/Tabla8[[#This Row],[Trenes Programados]]</f>
        <v>0.99444444444444446</v>
      </c>
      <c r="BN338" s="59">
        <v>360</v>
      </c>
      <c r="BO338" s="56">
        <f t="shared" si="233"/>
        <v>2</v>
      </c>
      <c r="BP338" s="59">
        <v>358</v>
      </c>
      <c r="BQ338" s="59">
        <v>215</v>
      </c>
      <c r="BR338" s="59">
        <f t="shared" si="234"/>
        <v>143</v>
      </c>
      <c r="BS338" s="109" t="s">
        <v>83</v>
      </c>
    </row>
    <row r="339" spans="1:71" ht="13.7" customHeight="1">
      <c r="A339" s="49">
        <v>2020</v>
      </c>
      <c r="B339" s="52" t="s">
        <v>47</v>
      </c>
      <c r="C339" s="55">
        <f>+MITRE[[#This Row],[Trenes Puntuales]]/MITRE[[#This Row],[Trenes Programados]]</f>
        <v>0.85367289857205952</v>
      </c>
      <c r="D339" s="55">
        <f>+MITRE[[#This Row],[Trenes Puntuales]]/MITRE[[#This Row],[Trenes Corridos]]</f>
        <v>0.91050400376825247</v>
      </c>
      <c r="E339" s="55">
        <f>+MITRE[[#This Row],[Trenes Corridos]]/MITRE[[#This Row],[Trenes Programados]]</f>
        <v>0.93758280582953035</v>
      </c>
      <c r="F339" s="56">
        <f>+R339+AD339+AP339+BB339+BN339</f>
        <v>6793</v>
      </c>
      <c r="G339" s="56">
        <f>F339-H339</f>
        <v>424</v>
      </c>
      <c r="H339" s="56">
        <f>+T339+AF339+AR339+BD339+BP339</f>
        <v>6369</v>
      </c>
      <c r="I339" s="56">
        <f>+U339+AG339+AS339+BE339+BQ339</f>
        <v>5799</v>
      </c>
      <c r="J339" s="56">
        <f>H339-I339</f>
        <v>570</v>
      </c>
      <c r="K339" s="109" t="s">
        <v>83</v>
      </c>
      <c r="M339" s="57">
        <v>2020</v>
      </c>
      <c r="N339" s="52" t="s">
        <v>47</v>
      </c>
      <c r="O339" s="58">
        <f>+Tabla4[[#This Row],[Trenes Puntuales]]/Tabla4[[#This Row],[Trenes Programados]]</f>
        <v>0.94117647058823528</v>
      </c>
      <c r="P339" s="58">
        <f>+Tabla4[[#This Row],[Trenes Puntuales]]/Tabla4[[#This Row],[Trenes Corridos]]</f>
        <v>0.98167330677290832</v>
      </c>
      <c r="Q339" s="58">
        <f>+Tabla4[[#This Row],[Trenes Corridos]]/Tabla4[[#This Row],[Trenes Programados]]</f>
        <v>0.95874713521772348</v>
      </c>
      <c r="R339" s="59">
        <v>2618</v>
      </c>
      <c r="S339" s="56">
        <f t="shared" si="227"/>
        <v>108</v>
      </c>
      <c r="T339" s="59">
        <v>2510</v>
      </c>
      <c r="U339" s="59">
        <v>2464</v>
      </c>
      <c r="V339" s="59">
        <f t="shared" si="228"/>
        <v>46</v>
      </c>
      <c r="W339" s="109" t="s">
        <v>83</v>
      </c>
      <c r="Y339" s="57">
        <v>2020</v>
      </c>
      <c r="Z339" s="52" t="s">
        <v>47</v>
      </c>
      <c r="AA339" s="58">
        <f>+Tabla5[[#This Row],[Trenes Puntuales]]/Tabla5[[#This Row],[Trenes Programados]]</f>
        <v>0.84106222750693616</v>
      </c>
      <c r="AB339" s="58">
        <f>+Tabla5[[#This Row],[Trenes Puntuales]]/Tabla5[[#This Row],[Trenes Corridos]]</f>
        <v>0.89122217555648886</v>
      </c>
      <c r="AC339" s="58">
        <f>+Tabla5[[#This Row],[Trenes Corridos]]/Tabla5[[#This Row],[Trenes Programados]]</f>
        <v>0.94371779627427665</v>
      </c>
      <c r="AD339" s="59">
        <v>2523</v>
      </c>
      <c r="AE339" s="56">
        <f t="shared" si="229"/>
        <v>142</v>
      </c>
      <c r="AF339" s="59">
        <v>2381</v>
      </c>
      <c r="AG339" s="59">
        <v>2122</v>
      </c>
      <c r="AH339" s="59">
        <f t="shared" si="230"/>
        <v>259</v>
      </c>
      <c r="AI339" s="109" t="s">
        <v>83</v>
      </c>
      <c r="AK339" s="57">
        <v>2020</v>
      </c>
      <c r="AL339" s="107" t="s">
        <v>47</v>
      </c>
      <c r="AM339" s="58">
        <f>+Tabla6[[#This Row],[Trenes Puntuales]]/Tabla6[[#This Row],[Trenes Programados]]</f>
        <v>0.82505910165484631</v>
      </c>
      <c r="AN339" s="58">
        <f>+Tabla6[[#This Row],[Trenes Puntuales]]/Tabla6[[#This Row],[Trenes Corridos]]</f>
        <v>0.89144316730523632</v>
      </c>
      <c r="AO339" s="58">
        <f>+Tabla6[[#This Row],[Trenes Corridos]]/Tabla6[[#This Row],[Trenes Programados]]</f>
        <v>0.92553191489361697</v>
      </c>
      <c r="AP339" s="59">
        <v>846</v>
      </c>
      <c r="AQ339" s="56">
        <f t="shared" si="231"/>
        <v>63</v>
      </c>
      <c r="AR339" s="59">
        <v>783</v>
      </c>
      <c r="AS339" s="59">
        <v>698</v>
      </c>
      <c r="AT339" s="59">
        <f t="shared" si="232"/>
        <v>85</v>
      </c>
      <c r="AU339" s="109" t="s">
        <v>83</v>
      </c>
      <c r="AW339" s="57">
        <v>2020</v>
      </c>
      <c r="AX339" s="52" t="s">
        <v>47</v>
      </c>
      <c r="AY339" s="58">
        <f>+MIT_Vic_Cap[[#This Row],[Trenes Puntuales]]/MIT_Vic_Cap[[#This Row],[Trenes Programados]]</f>
        <v>0.67741935483870963</v>
      </c>
      <c r="AZ339" s="58">
        <f>+MIT_Vic_Cap[[#This Row],[Trenes Puntuales]]/MIT_Vic_Cap[[#This Row],[Trenes Corridos]]</f>
        <v>0.85964912280701755</v>
      </c>
      <c r="BA339" s="58">
        <f>+MIT_Vic_Cap[[#This Row],[Trenes Corridos]]/MIT_Vic_Cap[[#This Row],[Trenes Programados]]</f>
        <v>0.78801843317972353</v>
      </c>
      <c r="BB339" s="59">
        <v>434</v>
      </c>
      <c r="BC339" s="27">
        <f t="shared" si="202"/>
        <v>92</v>
      </c>
      <c r="BD339" s="59">
        <v>342</v>
      </c>
      <c r="BE339" s="59">
        <v>294</v>
      </c>
      <c r="BF339" s="20">
        <f t="shared" si="207"/>
        <v>48</v>
      </c>
      <c r="BG339" s="109" t="s">
        <v>83</v>
      </c>
      <c r="BI339" s="57">
        <v>2020</v>
      </c>
      <c r="BJ339" s="52" t="s">
        <v>47</v>
      </c>
      <c r="BK339" s="58">
        <f>+Tabla8[[#This Row],[Trenes Puntuales]]/Tabla8[[#This Row],[Trenes Programados]]</f>
        <v>0.59408602150537637</v>
      </c>
      <c r="BL339" s="58">
        <f>+Tabla8[[#This Row],[Trenes Puntuales]]/Tabla8[[#This Row],[Trenes Corridos]]</f>
        <v>0.62606232294617559</v>
      </c>
      <c r="BM339" s="58">
        <f>+Tabla8[[#This Row],[Trenes Corridos]]/Tabla8[[#This Row],[Trenes Programados]]</f>
        <v>0.94892473118279574</v>
      </c>
      <c r="BN339" s="59">
        <v>372</v>
      </c>
      <c r="BO339" s="56">
        <f t="shared" si="233"/>
        <v>19</v>
      </c>
      <c r="BP339" s="59">
        <v>353</v>
      </c>
      <c r="BQ339" s="59">
        <v>221</v>
      </c>
      <c r="BR339" s="59">
        <f t="shared" si="234"/>
        <v>132</v>
      </c>
      <c r="BS339" s="109" t="s">
        <v>83</v>
      </c>
    </row>
    <row r="340" spans="1:71">
      <c r="A340" s="49">
        <v>2020</v>
      </c>
      <c r="B340" s="52" t="s">
        <v>48</v>
      </c>
      <c r="C340" s="55">
        <f>+MITRE[[#This Row],[Trenes Puntuales]]/MITRE[[#This Row],[Trenes Programados]]</f>
        <v>0.86621212121212121</v>
      </c>
      <c r="D340" s="55">
        <f>+MITRE[[#This Row],[Trenes Puntuales]]/MITRE[[#This Row],[Trenes Corridos]]</f>
        <v>0.90031496062992122</v>
      </c>
      <c r="E340" s="55">
        <f>+MITRE[[#This Row],[Trenes Corridos]]/MITRE[[#This Row],[Trenes Programados]]</f>
        <v>0.96212121212121215</v>
      </c>
      <c r="F340" s="56">
        <f t="shared" ref="F340:F341" si="235">+R340+AD340+AP340+BB340+BN340</f>
        <v>6600</v>
      </c>
      <c r="G340" s="56">
        <f t="shared" ref="G340:G341" si="236">F340-H340</f>
        <v>250</v>
      </c>
      <c r="H340" s="56">
        <f t="shared" ref="H340:H341" si="237">+T340+AF340+AR340+BD340+BP340</f>
        <v>6350</v>
      </c>
      <c r="I340" s="56">
        <f t="shared" ref="I340:I341" si="238">+U340+AG340+AS340+BE340+BQ340</f>
        <v>5717</v>
      </c>
      <c r="J340" s="56">
        <f t="shared" ref="J340:J341" si="239">H340-I340</f>
        <v>633</v>
      </c>
      <c r="K340" s="109" t="s">
        <v>83</v>
      </c>
      <c r="M340" s="57">
        <v>2020</v>
      </c>
      <c r="N340" s="111" t="s">
        <v>48</v>
      </c>
      <c r="O340" s="58">
        <f>+Tabla4[[#This Row],[Trenes Puntuales]]/Tabla4[[#This Row],[Trenes Programados]]</f>
        <v>0.97261904761904761</v>
      </c>
      <c r="P340" s="58">
        <f>+Tabla4[[#This Row],[Trenes Puntuales]]/Tabla4[[#This Row],[Trenes Corridos]]</f>
        <v>0.98079231692677071</v>
      </c>
      <c r="Q340" s="58">
        <f>+Tabla4[[#This Row],[Trenes Corridos]]/Tabla4[[#This Row],[Trenes Programados]]</f>
        <v>0.9916666666666667</v>
      </c>
      <c r="R340" s="59">
        <v>2520</v>
      </c>
      <c r="S340" s="56">
        <f t="shared" si="227"/>
        <v>21</v>
      </c>
      <c r="T340" s="59">
        <v>2499</v>
      </c>
      <c r="U340" s="59">
        <v>2451</v>
      </c>
      <c r="V340" s="59">
        <f t="shared" si="228"/>
        <v>48</v>
      </c>
      <c r="W340" s="109" t="s">
        <v>83</v>
      </c>
      <c r="Y340" s="57">
        <v>2020</v>
      </c>
      <c r="Z340" s="52" t="s">
        <v>48</v>
      </c>
      <c r="AA340" s="58">
        <f>+Tabla5[[#This Row],[Trenes Puntuales]]/Tabla5[[#This Row],[Trenes Programados]]</f>
        <v>0.82154471544715446</v>
      </c>
      <c r="AB340" s="58">
        <f>+Tabla5[[#This Row],[Trenes Puntuales]]/Tabla5[[#This Row],[Trenes Corridos]]</f>
        <v>0.87869565217391299</v>
      </c>
      <c r="AC340" s="58">
        <f>+Tabla5[[#This Row],[Trenes Corridos]]/Tabla5[[#This Row],[Trenes Programados]]</f>
        <v>0.93495934959349591</v>
      </c>
      <c r="AD340" s="59">
        <v>2460</v>
      </c>
      <c r="AE340" s="56">
        <f t="shared" si="229"/>
        <v>160</v>
      </c>
      <c r="AF340" s="59">
        <v>2300</v>
      </c>
      <c r="AG340" s="59">
        <v>2021</v>
      </c>
      <c r="AH340" s="59">
        <f t="shared" si="230"/>
        <v>279</v>
      </c>
      <c r="AI340" s="109" t="s">
        <v>83</v>
      </c>
      <c r="AK340" s="57">
        <v>2020</v>
      </c>
      <c r="AL340" s="107" t="s">
        <v>48</v>
      </c>
      <c r="AM340" s="58">
        <f>+Tabla6[[#This Row],[Trenes Puntuales]]/Tabla6[[#This Row],[Trenes Programados]]</f>
        <v>0.89404761904761909</v>
      </c>
      <c r="AN340" s="58">
        <f>+Tabla6[[#This Row],[Trenes Puntuales]]/Tabla6[[#This Row],[Trenes Corridos]]</f>
        <v>0.9125151883353585</v>
      </c>
      <c r="AO340" s="58">
        <f>+Tabla6[[#This Row],[Trenes Corridos]]/Tabla6[[#This Row],[Trenes Programados]]</f>
        <v>0.97976190476190472</v>
      </c>
      <c r="AP340" s="59">
        <v>840</v>
      </c>
      <c r="AQ340" s="56">
        <f t="shared" si="231"/>
        <v>17</v>
      </c>
      <c r="AR340" s="59">
        <v>823</v>
      </c>
      <c r="AS340" s="59">
        <v>751</v>
      </c>
      <c r="AT340" s="59">
        <f t="shared" si="232"/>
        <v>72</v>
      </c>
      <c r="AU340" s="109" t="s">
        <v>83</v>
      </c>
      <c r="AW340" s="49">
        <v>2020</v>
      </c>
      <c r="AX340" s="57" t="s">
        <v>48</v>
      </c>
      <c r="AY340" s="58">
        <f>+MIT_Vic_Cap[[#This Row],[Trenes Puntuales]]/MIT_Vic_Cap[[#This Row],[Trenes Programados]]</f>
        <v>0.7857142857142857</v>
      </c>
      <c r="AZ340" s="58">
        <f>+MIT_Vic_Cap[[#This Row],[Trenes Puntuales]]/MIT_Vic_Cap[[#This Row],[Trenes Corridos]]</f>
        <v>0.81280788177339902</v>
      </c>
      <c r="BA340" s="58">
        <f>+MIT_Vic_Cap[[#This Row],[Trenes Corridos]]/MIT_Vic_Cap[[#This Row],[Trenes Programados]]</f>
        <v>0.96666666666666667</v>
      </c>
      <c r="BB340" s="59">
        <v>420</v>
      </c>
      <c r="BC340" s="27">
        <f t="shared" si="202"/>
        <v>14</v>
      </c>
      <c r="BD340" s="59">
        <v>406</v>
      </c>
      <c r="BE340" s="59">
        <v>330</v>
      </c>
      <c r="BF340" s="20">
        <f t="shared" si="207"/>
        <v>76</v>
      </c>
      <c r="BG340" s="109" t="s">
        <v>83</v>
      </c>
      <c r="BI340" s="57">
        <v>2020</v>
      </c>
      <c r="BJ340" s="52" t="s">
        <v>48</v>
      </c>
      <c r="BK340" s="58">
        <f>+Tabla8[[#This Row],[Trenes Puntuales]]/Tabla8[[#This Row],[Trenes Programados]]</f>
        <v>0.45555555555555555</v>
      </c>
      <c r="BL340" s="58">
        <f>+Tabla8[[#This Row],[Trenes Puntuales]]/Tabla8[[#This Row],[Trenes Corridos]]</f>
        <v>0.50931677018633537</v>
      </c>
      <c r="BM340" s="58">
        <f>+Tabla8[[#This Row],[Trenes Corridos]]/Tabla8[[#This Row],[Trenes Programados]]</f>
        <v>0.89444444444444449</v>
      </c>
      <c r="BN340" s="59">
        <v>360</v>
      </c>
      <c r="BO340" s="56">
        <f t="shared" si="233"/>
        <v>38</v>
      </c>
      <c r="BP340" s="59">
        <v>322</v>
      </c>
      <c r="BQ340" s="59">
        <v>164</v>
      </c>
      <c r="BR340" s="59">
        <f t="shared" si="234"/>
        <v>158</v>
      </c>
      <c r="BS340" s="109" t="s">
        <v>83</v>
      </c>
    </row>
    <row r="341" spans="1:71">
      <c r="A341" s="49">
        <v>2020</v>
      </c>
      <c r="B341" s="52" t="s">
        <v>49</v>
      </c>
      <c r="C341" s="55">
        <f>+MITRE[[#This Row],[Trenes Puntuales]]/MITRE[[#This Row],[Trenes Programados]]</f>
        <v>0.83881779402803169</v>
      </c>
      <c r="D341" s="55">
        <f>+MITRE[[#This Row],[Trenes Puntuales]]/MITRE[[#This Row],[Trenes Corridos]]</f>
        <v>0.86818038473667614</v>
      </c>
      <c r="E341" s="55">
        <f>+MITRE[[#This Row],[Trenes Corridos]]/MITRE[[#This Row],[Trenes Programados]]</f>
        <v>0.96617915904936014</v>
      </c>
      <c r="F341" s="56">
        <f t="shared" si="235"/>
        <v>6564</v>
      </c>
      <c r="G341" s="56">
        <f t="shared" si="236"/>
        <v>222</v>
      </c>
      <c r="H341" s="56">
        <f t="shared" si="237"/>
        <v>6342</v>
      </c>
      <c r="I341" s="56">
        <f t="shared" si="238"/>
        <v>5506</v>
      </c>
      <c r="J341" s="56">
        <f t="shared" si="239"/>
        <v>836</v>
      </c>
      <c r="K341" s="109" t="s">
        <v>83</v>
      </c>
      <c r="M341" s="57">
        <v>2020</v>
      </c>
      <c r="N341" s="52" t="s">
        <v>49</v>
      </c>
      <c r="O341" s="58">
        <f>+Tabla4[[#This Row],[Trenes Puntuales]]/Tabla4[[#This Row],[Trenes Programados]]</f>
        <v>0.8932584269662921</v>
      </c>
      <c r="P341" s="58">
        <f>+Tabla4[[#This Row],[Trenes Puntuales]]/Tabla4[[#This Row],[Trenes Corridos]]</f>
        <v>0.9209764170459247</v>
      </c>
      <c r="Q341" s="58">
        <f>+Tabla4[[#This Row],[Trenes Corridos]]/Tabla4[[#This Row],[Trenes Programados]]</f>
        <v>0.9699036918138042</v>
      </c>
      <c r="R341" s="59">
        <v>2492</v>
      </c>
      <c r="S341" s="56">
        <f t="shared" si="227"/>
        <v>75</v>
      </c>
      <c r="T341" s="59">
        <v>2417</v>
      </c>
      <c r="U341" s="59">
        <v>2226</v>
      </c>
      <c r="V341" s="59">
        <f t="shared" si="228"/>
        <v>191</v>
      </c>
      <c r="W341" s="109" t="s">
        <v>83</v>
      </c>
      <c r="Y341" s="57">
        <v>2020</v>
      </c>
      <c r="Z341" s="52" t="s">
        <v>49</v>
      </c>
      <c r="AA341" s="58">
        <f>+Tabla5[[#This Row],[Trenes Puntuales]]/Tabla5[[#This Row],[Trenes Programados]]</f>
        <v>0.81901584653878234</v>
      </c>
      <c r="AB341" s="58">
        <f>+Tabla5[[#This Row],[Trenes Puntuales]]/Tabla5[[#This Row],[Trenes Corridos]]</f>
        <v>0.84838012958963283</v>
      </c>
      <c r="AC341" s="58">
        <f>+Tabla5[[#This Row],[Trenes Corridos]]/Tabla5[[#This Row],[Trenes Programados]]</f>
        <v>0.96538782318598837</v>
      </c>
      <c r="AD341" s="59">
        <v>2398</v>
      </c>
      <c r="AE341" s="56">
        <f t="shared" si="229"/>
        <v>83</v>
      </c>
      <c r="AF341" s="59">
        <v>2315</v>
      </c>
      <c r="AG341" s="59">
        <v>1964</v>
      </c>
      <c r="AH341" s="59">
        <f t="shared" si="230"/>
        <v>351</v>
      </c>
      <c r="AI341" s="109" t="s">
        <v>83</v>
      </c>
      <c r="AK341" s="57">
        <v>2020</v>
      </c>
      <c r="AL341" s="107" t="s">
        <v>49</v>
      </c>
      <c r="AM341" s="58">
        <f>+Tabla6[[#This Row],[Trenes Puntuales]]/Tabla6[[#This Row],[Trenes Programados]]</f>
        <v>0.84447004608294929</v>
      </c>
      <c r="AN341" s="58">
        <f>+Tabla6[[#This Row],[Trenes Puntuales]]/Tabla6[[#This Row],[Trenes Corridos]]</f>
        <v>0.8736591179976162</v>
      </c>
      <c r="AO341" s="58">
        <f>+Tabla6[[#This Row],[Trenes Corridos]]/Tabla6[[#This Row],[Trenes Programados]]</f>
        <v>0.96658986175115202</v>
      </c>
      <c r="AP341" s="59">
        <v>868</v>
      </c>
      <c r="AQ341" s="56">
        <f t="shared" si="231"/>
        <v>29</v>
      </c>
      <c r="AR341" s="59">
        <v>839</v>
      </c>
      <c r="AS341" s="59">
        <v>733</v>
      </c>
      <c r="AT341" s="59">
        <f t="shared" si="232"/>
        <v>106</v>
      </c>
      <c r="AU341" s="109" t="s">
        <v>83</v>
      </c>
      <c r="AW341" s="49">
        <v>2020</v>
      </c>
      <c r="AX341" s="57" t="s">
        <v>49</v>
      </c>
      <c r="AY341" s="58">
        <f>+MIT_Vic_Cap[[#This Row],[Trenes Puntuales]]/MIT_Vic_Cap[[#This Row],[Trenes Programados]]</f>
        <v>0.79723502304147464</v>
      </c>
      <c r="AZ341" s="58">
        <f>+MIT_Vic_Cap[[#This Row],[Trenes Puntuales]]/MIT_Vic_Cap[[#This Row],[Trenes Corridos]]</f>
        <v>0.84184914841849146</v>
      </c>
      <c r="BA341" s="58">
        <f>+MIT_Vic_Cap[[#This Row],[Trenes Corridos]]/MIT_Vic_Cap[[#This Row],[Trenes Programados]]</f>
        <v>0.94700460829493083</v>
      </c>
      <c r="BB341" s="59">
        <v>434</v>
      </c>
      <c r="BC341" s="27">
        <f>+MIT_Vic_Cap[[#This Row],[Trenes Programados]]-MIT_Vic_Cap[[#This Row],[Trenes Corridos]]</f>
        <v>23</v>
      </c>
      <c r="BD341" s="59">
        <v>411</v>
      </c>
      <c r="BE341" s="59">
        <v>346</v>
      </c>
      <c r="BF341" s="20">
        <f>+MIT_Vic_Cap[[#This Row],[Trenes Corridos]]-MIT_Vic_Cap[[#This Row],[Trenes Puntuales]]</f>
        <v>65</v>
      </c>
      <c r="BG341" s="109" t="s">
        <v>83</v>
      </c>
      <c r="BI341" s="57">
        <v>2020</v>
      </c>
      <c r="BJ341" s="52" t="s">
        <v>49</v>
      </c>
      <c r="BK341" s="58">
        <f>+Tabla8[[#This Row],[Trenes Puntuales]]/Tabla8[[#This Row],[Trenes Programados]]</f>
        <v>0.63709677419354838</v>
      </c>
      <c r="BL341" s="58">
        <f>+Tabla8[[#This Row],[Trenes Puntuales]]/Tabla8[[#This Row],[Trenes Corridos]]</f>
        <v>0.65833333333333333</v>
      </c>
      <c r="BM341" s="58">
        <f>+Tabla8[[#This Row],[Trenes Corridos]]/Tabla8[[#This Row],[Trenes Programados]]</f>
        <v>0.967741935483871</v>
      </c>
      <c r="BN341" s="59">
        <v>372</v>
      </c>
      <c r="BO341" s="56">
        <f t="shared" si="233"/>
        <v>12</v>
      </c>
      <c r="BP341" s="59">
        <v>360</v>
      </c>
      <c r="BQ341" s="59">
        <v>237</v>
      </c>
      <c r="BR341" s="59">
        <f t="shared" si="234"/>
        <v>123</v>
      </c>
      <c r="BS341" s="109" t="s">
        <v>83</v>
      </c>
    </row>
    <row r="342" spans="1:71">
      <c r="A342" s="49">
        <v>2021</v>
      </c>
      <c r="B342" s="52" t="s">
        <v>38</v>
      </c>
      <c r="C342" s="55">
        <f>+MITRE[[#This Row],[Trenes Puntuales]]/MITRE[[#This Row],[Trenes Programados]]</f>
        <v>0.84384251036116042</v>
      </c>
      <c r="D342" s="55">
        <f>+MITRE[[#This Row],[Trenes Puntuales]]/MITRE[[#This Row],[Trenes Corridos]]</f>
        <v>0.85331537195030682</v>
      </c>
      <c r="E342" s="55">
        <f>+MITRE[[#This Row],[Trenes Corridos]]/MITRE[[#This Row],[Trenes Programados]]</f>
        <v>0.988898756660746</v>
      </c>
      <c r="F342" s="56">
        <f>+R342+AD342+AP342+BB342+BN342</f>
        <v>6756</v>
      </c>
      <c r="G342" s="56">
        <f>F342-H342</f>
        <v>75</v>
      </c>
      <c r="H342" s="56">
        <f t="shared" ref="H342:I345" si="240">+T342+AF342+AR342+BD342+BP342</f>
        <v>6681</v>
      </c>
      <c r="I342" s="56">
        <f t="shared" si="240"/>
        <v>5701</v>
      </c>
      <c r="J342" s="56">
        <f>H342-I342</f>
        <v>980</v>
      </c>
      <c r="K342" s="109" t="s">
        <v>83</v>
      </c>
      <c r="M342" s="57">
        <v>2021</v>
      </c>
      <c r="N342" s="52" t="s">
        <v>38</v>
      </c>
      <c r="O342" s="58">
        <f>+Tabla4[[#This Row],[Trenes Puntuales]]/Tabla4[[#This Row],[Trenes Programados]]</f>
        <v>0.84277950310559002</v>
      </c>
      <c r="P342" s="58">
        <f>+Tabla4[[#This Row],[Trenes Puntuales]]/Tabla4[[#This Row],[Trenes Corridos]]</f>
        <v>0.84507590502140906</v>
      </c>
      <c r="Q342" s="58">
        <f>+Tabla4[[#This Row],[Trenes Corridos]]/Tabla4[[#This Row],[Trenes Programados]]</f>
        <v>0.99728260869565222</v>
      </c>
      <c r="R342" s="59">
        <v>2576</v>
      </c>
      <c r="S342" s="56">
        <f t="shared" ref="S342:S349" si="241">+R342-T342</f>
        <v>7</v>
      </c>
      <c r="T342" s="59">
        <v>2569</v>
      </c>
      <c r="U342" s="59">
        <v>2171</v>
      </c>
      <c r="V342" s="59">
        <f t="shared" ref="V342:V347" si="242">+T342-U342</f>
        <v>398</v>
      </c>
      <c r="W342" s="109" t="s">
        <v>83</v>
      </c>
      <c r="Y342" s="57">
        <v>2021</v>
      </c>
      <c r="Z342" s="52" t="s">
        <v>38</v>
      </c>
      <c r="AA342" s="58">
        <f>+Tabla5[[#This Row],[Trenes Puntuales]]/Tabla5[[#This Row],[Trenes Programados]]</f>
        <v>0.87988826815642462</v>
      </c>
      <c r="AB342" s="58">
        <f>+Tabla5[[#This Row],[Trenes Puntuales]]/Tabla5[[#This Row],[Trenes Corridos]]</f>
        <v>0.88518667201926937</v>
      </c>
      <c r="AC342" s="58">
        <f>+Tabla5[[#This Row],[Trenes Corridos]]/Tabla5[[#This Row],[Trenes Programados]]</f>
        <v>0.99401436552274536</v>
      </c>
      <c r="AD342" s="59">
        <v>2506</v>
      </c>
      <c r="AE342" s="56">
        <f t="shared" ref="AE342:AE349" si="243">+AD342-AF342</f>
        <v>15</v>
      </c>
      <c r="AF342" s="59">
        <v>2491</v>
      </c>
      <c r="AG342" s="59">
        <v>2205</v>
      </c>
      <c r="AH342" s="59">
        <f t="shared" ref="AH342:AH347" si="244">+AF342-AG342</f>
        <v>286</v>
      </c>
      <c r="AI342" s="109" t="s">
        <v>83</v>
      </c>
      <c r="AK342" s="57">
        <v>2021</v>
      </c>
      <c r="AL342" s="107" t="s">
        <v>38</v>
      </c>
      <c r="AM342" s="58">
        <f>+Tabla6[[#This Row],[Trenes Puntuales]]/Tabla6[[#This Row],[Trenes Programados]]</f>
        <v>0.85599078341013823</v>
      </c>
      <c r="AN342" s="58">
        <f>+Tabla6[[#This Row],[Trenes Puntuales]]/Tabla6[[#This Row],[Trenes Corridos]]</f>
        <v>0.86095017381228278</v>
      </c>
      <c r="AO342" s="58">
        <f>+Tabla6[[#This Row],[Trenes Corridos]]/Tabla6[[#This Row],[Trenes Programados]]</f>
        <v>0.99423963133640558</v>
      </c>
      <c r="AP342" s="59">
        <v>868</v>
      </c>
      <c r="AQ342" s="56">
        <f>+AP342-AR342</f>
        <v>5</v>
      </c>
      <c r="AR342" s="59">
        <v>863</v>
      </c>
      <c r="AS342" s="59">
        <v>743</v>
      </c>
      <c r="AT342" s="59">
        <f>+AR342-AS342</f>
        <v>120</v>
      </c>
      <c r="AU342" s="109" t="s">
        <v>83</v>
      </c>
      <c r="AW342" s="49">
        <v>2021</v>
      </c>
      <c r="AX342" s="57" t="s">
        <v>38</v>
      </c>
      <c r="AY342" s="58">
        <f>+MIT_Vic_Cap[[#This Row],[Trenes Puntuales]]/MIT_Vic_Cap[[#This Row],[Trenes Programados]]</f>
        <v>0.82488479262672809</v>
      </c>
      <c r="AZ342" s="58">
        <f>+MIT_Vic_Cap[[#This Row],[Trenes Puntuales]]/MIT_Vic_Cap[[#This Row],[Trenes Corridos]]</f>
        <v>0.91794871794871791</v>
      </c>
      <c r="BA342" s="58">
        <f>+MIT_Vic_Cap[[#This Row],[Trenes Corridos]]/MIT_Vic_Cap[[#This Row],[Trenes Programados]]</f>
        <v>0.89861751152073732</v>
      </c>
      <c r="BB342" s="59">
        <v>434</v>
      </c>
      <c r="BC342" s="27">
        <f>+MIT_Vic_Cap[[#This Row],[Trenes Programados]]-MIT_Vic_Cap[[#This Row],[Trenes Corridos]]</f>
        <v>44</v>
      </c>
      <c r="BD342" s="59">
        <v>390</v>
      </c>
      <c r="BE342" s="59">
        <v>358</v>
      </c>
      <c r="BF342" s="20">
        <f>+MIT_Vic_Cap[[#This Row],[Trenes Corridos]]-MIT_Vic_Cap[[#This Row],[Trenes Puntuales]]</f>
        <v>32</v>
      </c>
      <c r="BG342" s="109" t="s">
        <v>83</v>
      </c>
      <c r="BI342" s="57">
        <v>2021</v>
      </c>
      <c r="BJ342" s="52" t="s">
        <v>38</v>
      </c>
      <c r="BK342" s="58">
        <f>+Tabla8[[#This Row],[Trenes Puntuales]]/Tabla8[[#This Row],[Trenes Programados]]</f>
        <v>0.60215053763440862</v>
      </c>
      <c r="BL342" s="58">
        <f>+Tabla8[[#This Row],[Trenes Puntuales]]/Tabla8[[#This Row],[Trenes Corridos]]</f>
        <v>0.60869565217391308</v>
      </c>
      <c r="BM342" s="58">
        <f>+Tabla8[[#This Row],[Trenes Corridos]]/Tabla8[[#This Row],[Trenes Programados]]</f>
        <v>0.989247311827957</v>
      </c>
      <c r="BN342" s="59">
        <v>372</v>
      </c>
      <c r="BO342" s="56">
        <f t="shared" ref="BO342:BO349" si="245">+BN342-BP342</f>
        <v>4</v>
      </c>
      <c r="BP342" s="59">
        <v>368</v>
      </c>
      <c r="BQ342" s="59">
        <v>224</v>
      </c>
      <c r="BR342" s="59">
        <f t="shared" ref="BR342:BR347" si="246">+BP342-BQ342</f>
        <v>144</v>
      </c>
      <c r="BS342" s="109" t="s">
        <v>83</v>
      </c>
    </row>
    <row r="343" spans="1:71">
      <c r="A343" s="49">
        <v>2021</v>
      </c>
      <c r="B343" s="52" t="s">
        <v>39</v>
      </c>
      <c r="C343" s="55">
        <f>+MITRE[[#This Row],[Trenes Puntuales]]/MITRE[[#This Row],[Trenes Programados]]</f>
        <v>0.85351049868766404</v>
      </c>
      <c r="D343" s="55">
        <f>+MITRE[[#This Row],[Trenes Puntuales]]/MITRE[[#This Row],[Trenes Corridos]]</f>
        <v>0.87504204507231753</v>
      </c>
      <c r="E343" s="55">
        <f>+MITRE[[#This Row],[Trenes Corridos]]/MITRE[[#This Row],[Trenes Programados]]</f>
        <v>0.97539370078740162</v>
      </c>
      <c r="F343" s="56">
        <f>+R343+AD343+AP343+BB343+BN343</f>
        <v>6096</v>
      </c>
      <c r="G343" s="56">
        <f>F343-H343</f>
        <v>150</v>
      </c>
      <c r="H343" s="56">
        <f t="shared" si="240"/>
        <v>5946</v>
      </c>
      <c r="I343" s="56">
        <f t="shared" si="240"/>
        <v>5203</v>
      </c>
      <c r="J343" s="56">
        <f>H343-I343</f>
        <v>743</v>
      </c>
      <c r="K343" s="109" t="s">
        <v>83</v>
      </c>
      <c r="M343" s="57">
        <v>2021</v>
      </c>
      <c r="N343" s="52" t="s">
        <v>39</v>
      </c>
      <c r="O343" s="58">
        <f>+Tabla4[[#This Row],[Trenes Puntuales]]/Tabla4[[#This Row],[Trenes Programados]]</f>
        <v>0.94922547332185891</v>
      </c>
      <c r="P343" s="58">
        <f>+Tabla4[[#This Row],[Trenes Puntuales]]/Tabla4[[#This Row],[Trenes Corridos]]</f>
        <v>0.96584938704028023</v>
      </c>
      <c r="Q343" s="58">
        <f>+Tabla4[[#This Row],[Trenes Corridos]]/Tabla4[[#This Row],[Trenes Programados]]</f>
        <v>0.98278829604130813</v>
      </c>
      <c r="R343" s="59">
        <v>2324</v>
      </c>
      <c r="S343" s="56">
        <f t="shared" si="241"/>
        <v>40</v>
      </c>
      <c r="T343" s="59">
        <v>2284</v>
      </c>
      <c r="U343" s="59">
        <v>2206</v>
      </c>
      <c r="V343" s="59">
        <f t="shared" si="242"/>
        <v>78</v>
      </c>
      <c r="W343" s="109" t="s">
        <v>83</v>
      </c>
      <c r="Y343" s="57">
        <v>2021</v>
      </c>
      <c r="Z343" s="52" t="s">
        <v>39</v>
      </c>
      <c r="AA343" s="58">
        <f>+Tabla5[[#This Row],[Trenes Puntuales]]/Tabla5[[#This Row],[Trenes Programados]]</f>
        <v>0.83805309734513278</v>
      </c>
      <c r="AB343" s="58">
        <f>+Tabla5[[#This Row],[Trenes Puntuales]]/Tabla5[[#This Row],[Trenes Corridos]]</f>
        <v>0.85507900677200899</v>
      </c>
      <c r="AC343" s="58">
        <f>+Tabla5[[#This Row],[Trenes Corridos]]/Tabla5[[#This Row],[Trenes Programados]]</f>
        <v>0.98008849557522126</v>
      </c>
      <c r="AD343" s="59">
        <v>2260</v>
      </c>
      <c r="AE343" s="56">
        <f t="shared" si="243"/>
        <v>45</v>
      </c>
      <c r="AF343" s="59">
        <v>2215</v>
      </c>
      <c r="AG343" s="59">
        <v>1894</v>
      </c>
      <c r="AH343" s="59">
        <f t="shared" si="244"/>
        <v>321</v>
      </c>
      <c r="AI343" s="109" t="s">
        <v>83</v>
      </c>
      <c r="AK343" s="57">
        <v>2021</v>
      </c>
      <c r="AL343" s="107" t="s">
        <v>39</v>
      </c>
      <c r="AM343" s="58">
        <f>+Tabla6[[#This Row],[Trenes Puntuales]]/Tabla6[[#This Row],[Trenes Programados]]</f>
        <v>0.83673469387755106</v>
      </c>
      <c r="AN343" s="58">
        <f>+Tabla6[[#This Row],[Trenes Puntuales]]/Tabla6[[#This Row],[Trenes Corridos]]</f>
        <v>0.86429512516469043</v>
      </c>
      <c r="AO343" s="58">
        <f>+Tabla6[[#This Row],[Trenes Corridos]]/Tabla6[[#This Row],[Trenes Programados]]</f>
        <v>0.96811224489795922</v>
      </c>
      <c r="AP343" s="59">
        <v>784</v>
      </c>
      <c r="AQ343" s="56">
        <f>+AP343-AR343</f>
        <v>25</v>
      </c>
      <c r="AR343" s="59">
        <v>759</v>
      </c>
      <c r="AS343" s="59">
        <v>656</v>
      </c>
      <c r="AT343" s="59">
        <f>+AR343-AS343</f>
        <v>103</v>
      </c>
      <c r="AU343" s="109" t="s">
        <v>83</v>
      </c>
      <c r="AW343" s="49">
        <v>2021</v>
      </c>
      <c r="AX343" s="57" t="s">
        <v>39</v>
      </c>
      <c r="AY343" s="58">
        <f>+MIT_Vic_Cap[[#This Row],[Trenes Puntuales]]/MIT_Vic_Cap[[#This Row],[Trenes Programados]]</f>
        <v>0.70663265306122447</v>
      </c>
      <c r="AZ343" s="58">
        <f>+MIT_Vic_Cap[[#This Row],[Trenes Puntuales]]/MIT_Vic_Cap[[#This Row],[Trenes Corridos]]</f>
        <v>0.77158774373259054</v>
      </c>
      <c r="BA343" s="58">
        <f>+MIT_Vic_Cap[[#This Row],[Trenes Corridos]]/MIT_Vic_Cap[[#This Row],[Trenes Programados]]</f>
        <v>0.91581632653061229</v>
      </c>
      <c r="BB343" s="59">
        <v>392</v>
      </c>
      <c r="BC343" s="27">
        <f>+MIT_Vic_Cap[[#This Row],[Trenes Programados]]-MIT_Vic_Cap[[#This Row],[Trenes Corridos]]</f>
        <v>33</v>
      </c>
      <c r="BD343" s="59">
        <v>359</v>
      </c>
      <c r="BE343" s="59">
        <v>277</v>
      </c>
      <c r="BF343" s="20">
        <f>+MIT_Vic_Cap[[#This Row],[Trenes Corridos]]-MIT_Vic_Cap[[#This Row],[Trenes Puntuales]]</f>
        <v>82</v>
      </c>
      <c r="BG343" s="109" t="s">
        <v>83</v>
      </c>
      <c r="BI343" s="57">
        <v>2021</v>
      </c>
      <c r="BJ343" s="52" t="s">
        <v>39</v>
      </c>
      <c r="BK343" s="58">
        <f>+Tabla8[[#This Row],[Trenes Puntuales]]/Tabla8[[#This Row],[Trenes Programados]]</f>
        <v>0.50595238095238093</v>
      </c>
      <c r="BL343" s="58">
        <f>+Tabla8[[#This Row],[Trenes Puntuales]]/Tabla8[[#This Row],[Trenes Corridos]]</f>
        <v>0.51671732522796354</v>
      </c>
      <c r="BM343" s="58">
        <f>+Tabla8[[#This Row],[Trenes Corridos]]/Tabla8[[#This Row],[Trenes Programados]]</f>
        <v>0.97916666666666663</v>
      </c>
      <c r="BN343" s="59">
        <v>336</v>
      </c>
      <c r="BO343" s="56">
        <f t="shared" si="245"/>
        <v>7</v>
      </c>
      <c r="BP343" s="59">
        <v>329</v>
      </c>
      <c r="BQ343" s="59">
        <v>170</v>
      </c>
      <c r="BR343" s="59">
        <f t="shared" si="246"/>
        <v>159</v>
      </c>
      <c r="BS343" s="109" t="s">
        <v>83</v>
      </c>
    </row>
    <row r="344" spans="1:71">
      <c r="A344" s="57">
        <v>2021</v>
      </c>
      <c r="B344" s="52" t="s">
        <v>40</v>
      </c>
      <c r="C344" s="55">
        <f>+MITRE[[#This Row],[Trenes Puntuales]]/MITRE[[#This Row],[Trenes Programados]]</f>
        <v>0.89147956246401838</v>
      </c>
      <c r="D344" s="55">
        <f>+MITRE[[#This Row],[Trenes Puntuales]]/MITRE[[#This Row],[Trenes Corridos]]</f>
        <v>0.90055248618784534</v>
      </c>
      <c r="E344" s="55">
        <f>+MITRE[[#This Row],[Trenes Corridos]]/MITRE[[#This Row],[Trenes Programados]]</f>
        <v>0.98992515831894068</v>
      </c>
      <c r="F344" s="56">
        <f>+R344+AD344+AP344+BB344+BN344</f>
        <v>6948</v>
      </c>
      <c r="G344" s="56">
        <f>F344-H344</f>
        <v>70</v>
      </c>
      <c r="H344" s="56">
        <f t="shared" si="240"/>
        <v>6878</v>
      </c>
      <c r="I344" s="56">
        <f t="shared" si="240"/>
        <v>6194</v>
      </c>
      <c r="J344" s="56">
        <f>H344-I344</f>
        <v>684</v>
      </c>
      <c r="K344" s="109" t="s">
        <v>83</v>
      </c>
      <c r="M344" s="57">
        <v>2021</v>
      </c>
      <c r="N344" s="52" t="s">
        <v>40</v>
      </c>
      <c r="O344" s="58">
        <f>+Tabla4[[#This Row],[Trenes Puntuales]]/Tabla4[[#This Row],[Trenes Programados]]</f>
        <v>0.9654135338345865</v>
      </c>
      <c r="P344" s="58">
        <f>+Tabla4[[#This Row],[Trenes Puntuales]]/Tabla4[[#This Row],[Trenes Corridos]]</f>
        <v>0.96905660377358493</v>
      </c>
      <c r="Q344" s="58">
        <f>+Tabla4[[#This Row],[Trenes Corridos]]/Tabla4[[#This Row],[Trenes Programados]]</f>
        <v>0.99624060150375937</v>
      </c>
      <c r="R344" s="59">
        <v>2660</v>
      </c>
      <c r="S344" s="56">
        <f t="shared" si="241"/>
        <v>10</v>
      </c>
      <c r="T344" s="59">
        <v>2650</v>
      </c>
      <c r="U344" s="59">
        <v>2568</v>
      </c>
      <c r="V344" s="59">
        <f t="shared" si="242"/>
        <v>82</v>
      </c>
      <c r="W344" s="109" t="s">
        <v>83</v>
      </c>
      <c r="Y344" s="57">
        <v>2021</v>
      </c>
      <c r="Z344" s="52" t="s">
        <v>40</v>
      </c>
      <c r="AA344" s="58">
        <f>+Tabla5[[#This Row],[Trenes Puntuales]]/Tabla5[[#This Row],[Trenes Programados]]</f>
        <v>0.87681713848508036</v>
      </c>
      <c r="AB344" s="58">
        <f>+Tabla5[[#This Row],[Trenes Puntuales]]/Tabla5[[#This Row],[Trenes Corridos]]</f>
        <v>0.88562596599690879</v>
      </c>
      <c r="AC344" s="58">
        <f>+Tabla5[[#This Row],[Trenes Corridos]]/Tabla5[[#This Row],[Trenes Programados]]</f>
        <v>0.990053557765876</v>
      </c>
      <c r="AD344" s="59">
        <v>2614</v>
      </c>
      <c r="AE344" s="56">
        <f t="shared" si="243"/>
        <v>26</v>
      </c>
      <c r="AF344" s="59">
        <v>2588</v>
      </c>
      <c r="AG344" s="59">
        <v>2292</v>
      </c>
      <c r="AH344" s="59">
        <f t="shared" si="244"/>
        <v>296</v>
      </c>
      <c r="AI344" s="109" t="s">
        <v>83</v>
      </c>
      <c r="AK344" s="57">
        <v>2021</v>
      </c>
      <c r="AL344" s="52" t="s">
        <v>40</v>
      </c>
      <c r="AM344" s="58">
        <f>+Tabla6[[#This Row],[Trenes Puntuales]]/Tabla6[[#This Row],[Trenes Programados]]</f>
        <v>0.90552995391705071</v>
      </c>
      <c r="AN344" s="58">
        <f>+Tabla6[[#This Row],[Trenes Puntuales]]/Tabla6[[#This Row],[Trenes Corridos]]</f>
        <v>0.913953488372093</v>
      </c>
      <c r="AO344" s="58">
        <f>+Tabla6[[#This Row],[Trenes Corridos]]/Tabla6[[#This Row],[Trenes Programados]]</f>
        <v>0.99078341013824889</v>
      </c>
      <c r="AP344" s="59">
        <v>868</v>
      </c>
      <c r="AQ344" s="56">
        <f>+AP344-AR344</f>
        <v>8</v>
      </c>
      <c r="AR344" s="59">
        <v>860</v>
      </c>
      <c r="AS344" s="59">
        <v>786</v>
      </c>
      <c r="AT344" s="59">
        <f>+AR344-AS344</f>
        <v>74</v>
      </c>
      <c r="AU344" s="109" t="s">
        <v>83</v>
      </c>
      <c r="AW344" s="57">
        <v>2021</v>
      </c>
      <c r="AX344" s="52" t="s">
        <v>40</v>
      </c>
      <c r="AY344" s="58">
        <f>+MIT_Vic_Cap[[#This Row],[Trenes Puntuales]]/MIT_Vic_Cap[[#This Row],[Trenes Programados]]</f>
        <v>0.76036866359447008</v>
      </c>
      <c r="AZ344" s="58">
        <f>+MIT_Vic_Cap[[#This Row],[Trenes Puntuales]]/MIT_Vic_Cap[[#This Row],[Trenes Corridos]]</f>
        <v>0.78758949880668261</v>
      </c>
      <c r="BA344" s="58">
        <f>+MIT_Vic_Cap[[#This Row],[Trenes Corridos]]/MIT_Vic_Cap[[#This Row],[Trenes Programados]]</f>
        <v>0.96543778801843316</v>
      </c>
      <c r="BB344" s="59">
        <v>434</v>
      </c>
      <c r="BC344" s="27">
        <f>+MIT_Vic_Cap[[#This Row],[Trenes Programados]]-MIT_Vic_Cap[[#This Row],[Trenes Corridos]]</f>
        <v>15</v>
      </c>
      <c r="BD344" s="59">
        <v>419</v>
      </c>
      <c r="BE344" s="59">
        <v>330</v>
      </c>
      <c r="BF344" s="20">
        <f>+MIT_Vic_Cap[[#This Row],[Trenes Corridos]]-MIT_Vic_Cap[[#This Row],[Trenes Puntuales]]</f>
        <v>89</v>
      </c>
      <c r="BG344" s="109" t="s">
        <v>83</v>
      </c>
      <c r="BI344" s="57">
        <v>2021</v>
      </c>
      <c r="BJ344" s="52" t="s">
        <v>40</v>
      </c>
      <c r="BK344" s="58">
        <f>+Tabla8[[#This Row],[Trenes Puntuales]]/Tabla8[[#This Row],[Trenes Programados]]</f>
        <v>0.58602150537634412</v>
      </c>
      <c r="BL344" s="58">
        <f>+Tabla8[[#This Row],[Trenes Puntuales]]/Tabla8[[#This Row],[Trenes Corridos]]</f>
        <v>0.60387811634349031</v>
      </c>
      <c r="BM344" s="58">
        <f>+Tabla8[[#This Row],[Trenes Corridos]]/Tabla8[[#This Row],[Trenes Programados]]</f>
        <v>0.97043010752688175</v>
      </c>
      <c r="BN344" s="59">
        <v>372</v>
      </c>
      <c r="BO344" s="56">
        <f t="shared" si="245"/>
        <v>11</v>
      </c>
      <c r="BP344" s="59">
        <v>361</v>
      </c>
      <c r="BQ344" s="59">
        <v>218</v>
      </c>
      <c r="BR344" s="59">
        <f t="shared" si="246"/>
        <v>143</v>
      </c>
      <c r="BS344" s="109" t="s">
        <v>83</v>
      </c>
    </row>
    <row r="345" spans="1:71">
      <c r="A345" s="57">
        <v>2021</v>
      </c>
      <c r="B345" s="52" t="s">
        <v>41</v>
      </c>
      <c r="C345" s="55">
        <f>+MITRE[[#This Row],[Trenes Puntuales]]/MITRE[[#This Row],[Trenes Programados]]</f>
        <v>0.83136363636363642</v>
      </c>
      <c r="D345" s="55">
        <f>+MITRE[[#This Row],[Trenes Puntuales]]/MITRE[[#This Row],[Trenes Corridos]]</f>
        <v>0.90291262135922334</v>
      </c>
      <c r="E345" s="55">
        <f>+MITRE[[#This Row],[Trenes Corridos]]/MITRE[[#This Row],[Trenes Programados]]</f>
        <v>0.92075757575757577</v>
      </c>
      <c r="F345" s="56">
        <f>+R345+AD345+AP345+BB345+BN345</f>
        <v>6600</v>
      </c>
      <c r="G345" s="56">
        <f>F345-H345</f>
        <v>523</v>
      </c>
      <c r="H345" s="56">
        <f t="shared" si="240"/>
        <v>6077</v>
      </c>
      <c r="I345" s="56">
        <f t="shared" si="240"/>
        <v>5487</v>
      </c>
      <c r="J345" s="56">
        <f>H345-I345</f>
        <v>590</v>
      </c>
      <c r="K345" s="109" t="s">
        <v>83</v>
      </c>
      <c r="M345" s="57">
        <v>2021</v>
      </c>
      <c r="N345" s="52" t="s">
        <v>41</v>
      </c>
      <c r="O345" s="58">
        <f>+Tabla4[[#This Row],[Trenes Puntuales]]/Tabla4[[#This Row],[Trenes Programados]]</f>
        <v>0.91825396825396821</v>
      </c>
      <c r="P345" s="58">
        <f>+Tabla4[[#This Row],[Trenes Puntuales]]/Tabla4[[#This Row],[Trenes Corridos]]</f>
        <v>0.97926364790520526</v>
      </c>
      <c r="Q345" s="58">
        <f>+Tabla4[[#This Row],[Trenes Corridos]]/Tabla4[[#This Row],[Trenes Programados]]</f>
        <v>0.9376984126984127</v>
      </c>
      <c r="R345" s="59">
        <v>2520</v>
      </c>
      <c r="S345" s="56">
        <f t="shared" si="241"/>
        <v>157</v>
      </c>
      <c r="T345" s="59">
        <v>2363</v>
      </c>
      <c r="U345" s="59">
        <v>2314</v>
      </c>
      <c r="V345" s="59">
        <f t="shared" si="242"/>
        <v>49</v>
      </c>
      <c r="W345" s="109" t="s">
        <v>83</v>
      </c>
      <c r="Y345" s="57">
        <v>2021</v>
      </c>
      <c r="Z345" s="52" t="s">
        <v>41</v>
      </c>
      <c r="AA345" s="58">
        <f>+Tabla5[[#This Row],[Trenes Puntuales]]/Tabla5[[#This Row],[Trenes Programados]]</f>
        <v>0.84512195121951217</v>
      </c>
      <c r="AB345" s="58">
        <f>+Tabla5[[#This Row],[Trenes Puntuales]]/Tabla5[[#This Row],[Trenes Corridos]]</f>
        <v>0.9078602620087336</v>
      </c>
      <c r="AC345" s="58">
        <f>+Tabla5[[#This Row],[Trenes Corridos]]/Tabla5[[#This Row],[Trenes Programados]]</f>
        <v>0.93089430894308944</v>
      </c>
      <c r="AD345" s="59">
        <v>2460</v>
      </c>
      <c r="AE345" s="56">
        <f t="shared" si="243"/>
        <v>170</v>
      </c>
      <c r="AF345" s="59">
        <v>2290</v>
      </c>
      <c r="AG345" s="59">
        <v>2079</v>
      </c>
      <c r="AH345" s="59">
        <f t="shared" si="244"/>
        <v>211</v>
      </c>
      <c r="AI345" s="109" t="s">
        <v>83</v>
      </c>
      <c r="AK345" s="57">
        <v>2021</v>
      </c>
      <c r="AL345" s="52" t="s">
        <v>41</v>
      </c>
      <c r="AM345" s="58">
        <f>+Tabla6[[#This Row],[Trenes Puntuales]]/Tabla6[[#This Row],[Trenes Programados]]</f>
        <v>0.830952380952381</v>
      </c>
      <c r="AN345" s="58">
        <f>+Tabla6[[#This Row],[Trenes Puntuales]]/Tabla6[[#This Row],[Trenes Corridos]]</f>
        <v>0.87359198998748433</v>
      </c>
      <c r="AO345" s="58">
        <f>+Tabla6[[#This Row],[Trenes Corridos]]/Tabla6[[#This Row],[Trenes Programados]]</f>
        <v>0.95119047619047614</v>
      </c>
      <c r="AP345" s="59">
        <v>840</v>
      </c>
      <c r="AQ345" s="56">
        <f>+AP345-AR345</f>
        <v>41</v>
      </c>
      <c r="AR345" s="59">
        <v>799</v>
      </c>
      <c r="AS345" s="59">
        <v>698</v>
      </c>
      <c r="AT345" s="59">
        <f>+AR345-AS345</f>
        <v>101</v>
      </c>
      <c r="AU345" s="109" t="s">
        <v>83</v>
      </c>
      <c r="AW345" s="57">
        <v>2021</v>
      </c>
      <c r="AX345" s="52" t="s">
        <v>41</v>
      </c>
      <c r="AY345" s="58">
        <f>+MIT_Vic_Cap[[#This Row],[Trenes Puntuales]]/MIT_Vic_Cap[[#This Row],[Trenes Programados]]</f>
        <v>0.51904761904761909</v>
      </c>
      <c r="AZ345" s="58">
        <f>+MIT_Vic_Cap[[#This Row],[Trenes Puntuales]]/MIT_Vic_Cap[[#This Row],[Trenes Corridos]]</f>
        <v>0.66463414634146345</v>
      </c>
      <c r="BA345" s="58">
        <f>+MIT_Vic_Cap[[#This Row],[Trenes Corridos]]/MIT_Vic_Cap[[#This Row],[Trenes Programados]]</f>
        <v>0.78095238095238095</v>
      </c>
      <c r="BB345" s="59">
        <v>420</v>
      </c>
      <c r="BC345" s="27">
        <f>+MIT_Vic_Cap[[#This Row],[Trenes Programados]]-MIT_Vic_Cap[[#This Row],[Trenes Corridos]]</f>
        <v>92</v>
      </c>
      <c r="BD345" s="59">
        <v>328</v>
      </c>
      <c r="BE345" s="59">
        <v>218</v>
      </c>
      <c r="BF345" s="20">
        <f>+MIT_Vic_Cap[[#This Row],[Trenes Corridos]]-MIT_Vic_Cap[[#This Row],[Trenes Puntuales]]</f>
        <v>110</v>
      </c>
      <c r="BG345" s="109" t="s">
        <v>83</v>
      </c>
      <c r="BI345" s="57">
        <v>2021</v>
      </c>
      <c r="BJ345" s="52" t="s">
        <v>41</v>
      </c>
      <c r="BK345" s="58">
        <f>+Tabla8[[#This Row],[Trenes Puntuales]]/Tabla8[[#This Row],[Trenes Programados]]</f>
        <v>0.49444444444444446</v>
      </c>
      <c r="BL345" s="58">
        <f>+Tabla8[[#This Row],[Trenes Puntuales]]/Tabla8[[#This Row],[Trenes Corridos]]</f>
        <v>0.59932659932659937</v>
      </c>
      <c r="BM345" s="58">
        <f>+Tabla8[[#This Row],[Trenes Corridos]]/Tabla8[[#This Row],[Trenes Programados]]</f>
        <v>0.82499999999999996</v>
      </c>
      <c r="BN345" s="59">
        <v>360</v>
      </c>
      <c r="BO345" s="56">
        <f t="shared" si="245"/>
        <v>63</v>
      </c>
      <c r="BP345" s="59">
        <v>297</v>
      </c>
      <c r="BQ345" s="59">
        <v>178</v>
      </c>
      <c r="BR345" s="59">
        <f t="shared" si="246"/>
        <v>119</v>
      </c>
      <c r="BS345" s="109" t="s">
        <v>83</v>
      </c>
    </row>
    <row r="346" spans="1:71">
      <c r="A346" s="49">
        <v>2021</v>
      </c>
      <c r="B346" s="52" t="s">
        <v>42</v>
      </c>
      <c r="C346" s="55">
        <f>+MITRE[[#This Row],[Trenes Puntuales]]/MITRE[[#This Row],[Trenes Programados]]</f>
        <v>0.88152205246468718</v>
      </c>
      <c r="D346" s="55">
        <f>+MITRE[[#This Row],[Trenes Puntuales]]/MITRE[[#This Row],[Trenes Corridos]]</f>
        <v>0.89467524868344062</v>
      </c>
      <c r="E346" s="55">
        <f>+MITRE[[#This Row],[Trenes Corridos]]/MITRE[[#This Row],[Trenes Programados]]</f>
        <v>0.98529835687518019</v>
      </c>
      <c r="F346" s="56">
        <f t="shared" ref="F346:F347" si="247">+R346+AD346+AP346+BB346+BN346</f>
        <v>6938</v>
      </c>
      <c r="G346" s="56">
        <f t="shared" ref="G346:G347" si="248">F346-H346</f>
        <v>102</v>
      </c>
      <c r="H346" s="56">
        <f t="shared" ref="H346:H347" si="249">+T346+AF346+AR346+BD346+BP346</f>
        <v>6836</v>
      </c>
      <c r="I346" s="56">
        <f t="shared" ref="I346:I347" si="250">+U346+AG346+AS346+BE346+BQ346</f>
        <v>6116</v>
      </c>
      <c r="J346" s="56">
        <f t="shared" ref="J346:J347" si="251">H346-I346</f>
        <v>720</v>
      </c>
      <c r="K346" s="109" t="s">
        <v>83</v>
      </c>
      <c r="M346" s="57">
        <v>2021</v>
      </c>
      <c r="N346" s="52" t="s">
        <v>42</v>
      </c>
      <c r="O346" s="58">
        <f>+Tabla4[[#This Row],[Trenes Puntuales]]/Tabla4[[#This Row],[Trenes Programados]]</f>
        <v>0.96247068021892102</v>
      </c>
      <c r="P346" s="58">
        <f>+Tabla4[[#This Row],[Trenes Puntuales]]/Tabla4[[#This Row],[Trenes Corridos]]</f>
        <v>0.97273804820229159</v>
      </c>
      <c r="Q346" s="58">
        <f>+Tabla4[[#This Row],[Trenes Corridos]]/Tabla4[[#This Row],[Trenes Programados]]</f>
        <v>0.9894448788115715</v>
      </c>
      <c r="R346" s="59">
        <v>2558</v>
      </c>
      <c r="S346" s="56">
        <f t="shared" si="241"/>
        <v>27</v>
      </c>
      <c r="T346" s="59">
        <v>2531</v>
      </c>
      <c r="U346" s="59">
        <v>2462</v>
      </c>
      <c r="V346" s="59">
        <f t="shared" si="242"/>
        <v>69</v>
      </c>
      <c r="W346" s="109" t="s">
        <v>83</v>
      </c>
      <c r="Y346" s="57">
        <v>2021</v>
      </c>
      <c r="Z346" s="52" t="s">
        <v>42</v>
      </c>
      <c r="AA346" s="58">
        <f>+Tabla5[[#This Row],[Trenes Puntuales]]/Tabla5[[#This Row],[Trenes Programados]]</f>
        <v>0.86374407582938384</v>
      </c>
      <c r="AB346" s="58">
        <f>+Tabla5[[#This Row],[Trenes Puntuales]]/Tabla5[[#This Row],[Trenes Corridos]]</f>
        <v>0.86992840095465396</v>
      </c>
      <c r="AC346" s="58">
        <f>+Tabla5[[#This Row],[Trenes Corridos]]/Tabla5[[#This Row],[Trenes Programados]]</f>
        <v>0.99289099526066349</v>
      </c>
      <c r="AD346" s="59">
        <v>2532</v>
      </c>
      <c r="AE346" s="56">
        <f t="shared" si="243"/>
        <v>18</v>
      </c>
      <c r="AF346" s="59">
        <v>2514</v>
      </c>
      <c r="AG346" s="59">
        <v>2187</v>
      </c>
      <c r="AH346" s="59">
        <f t="shared" si="244"/>
        <v>327</v>
      </c>
      <c r="AI346" s="109" t="s">
        <v>83</v>
      </c>
      <c r="AK346" s="57">
        <v>2021</v>
      </c>
      <c r="AL346" s="52" t="s">
        <v>42</v>
      </c>
      <c r="AM346" s="58">
        <f>+Tabla6[[#This Row],[Trenes Puntuales]]/Tabla6[[#This Row],[Trenes Programados]]</f>
        <v>0.87715930902111328</v>
      </c>
      <c r="AN346" s="58">
        <f>+Tabla6[[#This Row],[Trenes Puntuales]]/Tabla6[[#This Row],[Trenes Corridos]]</f>
        <v>0.88223938223938225</v>
      </c>
      <c r="AO346" s="58">
        <f>+Tabla6[[#This Row],[Trenes Corridos]]/Tabla6[[#This Row],[Trenes Programados]]</f>
        <v>0.99424184261036463</v>
      </c>
      <c r="AP346" s="59">
        <v>1042</v>
      </c>
      <c r="AQ346" s="56">
        <f>+AP346-AR346</f>
        <v>6</v>
      </c>
      <c r="AR346" s="59">
        <v>1036</v>
      </c>
      <c r="AS346" s="59">
        <v>914</v>
      </c>
      <c r="AT346" s="59">
        <f t="shared" ref="AT346:AT347" si="252">+AR346-AS346</f>
        <v>122</v>
      </c>
      <c r="AU346" s="105" t="s">
        <v>105</v>
      </c>
      <c r="AW346" s="57">
        <v>2021</v>
      </c>
      <c r="AX346" s="52" t="s">
        <v>42</v>
      </c>
      <c r="AY346" s="58">
        <f>+MIT_Vic_Cap[[#This Row],[Trenes Puntuales]]/MIT_Vic_Cap[[#This Row],[Trenes Programados]]</f>
        <v>0.67511520737327191</v>
      </c>
      <c r="AZ346" s="58">
        <f>+MIT_Vic_Cap[[#This Row],[Trenes Puntuales]]/MIT_Vic_Cap[[#This Row],[Trenes Corridos]]</f>
        <v>0.76103896103896107</v>
      </c>
      <c r="BA346" s="58">
        <f>+MIT_Vic_Cap[[#This Row],[Trenes Corridos]]/MIT_Vic_Cap[[#This Row],[Trenes Programados]]</f>
        <v>0.88709677419354838</v>
      </c>
      <c r="BB346" s="59">
        <v>434</v>
      </c>
      <c r="BC346" s="27">
        <f>+MIT_Vic_Cap[[#This Row],[Trenes Programados]]-MIT_Vic_Cap[[#This Row],[Trenes Corridos]]</f>
        <v>49</v>
      </c>
      <c r="BD346" s="59">
        <v>385</v>
      </c>
      <c r="BE346" s="59">
        <v>293</v>
      </c>
      <c r="BF346" s="20">
        <f>+MIT_Vic_Cap[[#This Row],[Trenes Corridos]]-MIT_Vic_Cap[[#This Row],[Trenes Puntuales]]</f>
        <v>92</v>
      </c>
      <c r="BG346" s="109" t="s">
        <v>83</v>
      </c>
      <c r="BI346" s="57">
        <v>2021</v>
      </c>
      <c r="BJ346" s="52" t="s">
        <v>42</v>
      </c>
      <c r="BK346" s="58">
        <f>+Tabla8[[#This Row],[Trenes Puntuales]]/Tabla8[[#This Row],[Trenes Programados]]</f>
        <v>0.69892473118279574</v>
      </c>
      <c r="BL346" s="58">
        <f>+Tabla8[[#This Row],[Trenes Puntuales]]/Tabla8[[#This Row],[Trenes Corridos]]</f>
        <v>0.70270270270270274</v>
      </c>
      <c r="BM346" s="58">
        <f>+Tabla8[[#This Row],[Trenes Corridos]]/Tabla8[[#This Row],[Trenes Programados]]</f>
        <v>0.9946236559139785</v>
      </c>
      <c r="BN346" s="59">
        <v>372</v>
      </c>
      <c r="BO346" s="56">
        <f t="shared" si="245"/>
        <v>2</v>
      </c>
      <c r="BP346" s="59">
        <v>370</v>
      </c>
      <c r="BQ346" s="59">
        <v>260</v>
      </c>
      <c r="BR346" s="59">
        <f t="shared" si="246"/>
        <v>110</v>
      </c>
      <c r="BS346" s="109" t="s">
        <v>83</v>
      </c>
    </row>
    <row r="347" spans="1:71">
      <c r="A347" s="49">
        <v>2021</v>
      </c>
      <c r="B347" s="52" t="s">
        <v>43</v>
      </c>
      <c r="C347" s="55">
        <f>+MITRE[[#This Row],[Trenes Puntuales]]/MITRE[[#This Row],[Trenes Programados]]</f>
        <v>0.88975753455699069</v>
      </c>
      <c r="D347" s="55">
        <f>+MITRE[[#This Row],[Trenes Puntuales]]/MITRE[[#This Row],[Trenes Corridos]]</f>
        <v>0.90587149613565576</v>
      </c>
      <c r="E347" s="55">
        <f>+MITRE[[#This Row],[Trenes Corridos]]/MITRE[[#This Row],[Trenes Programados]]</f>
        <v>0.98221164740539313</v>
      </c>
      <c r="F347" s="56">
        <f t="shared" si="247"/>
        <v>8826</v>
      </c>
      <c r="G347" s="56">
        <f t="shared" si="248"/>
        <v>157</v>
      </c>
      <c r="H347" s="56">
        <f t="shared" si="249"/>
        <v>8669</v>
      </c>
      <c r="I347" s="56">
        <f t="shared" si="250"/>
        <v>7853</v>
      </c>
      <c r="J347" s="56">
        <f t="shared" si="251"/>
        <v>816</v>
      </c>
      <c r="K347" s="109" t="s">
        <v>83</v>
      </c>
      <c r="M347" s="57">
        <v>2021</v>
      </c>
      <c r="N347" s="52" t="s">
        <v>43</v>
      </c>
      <c r="O347" s="58">
        <f>+Tabla4[[#This Row],[Trenes Puntuales]]/Tabla4[[#This Row],[Trenes Programados]]</f>
        <v>0.95680093403385869</v>
      </c>
      <c r="P347" s="58">
        <f>+Tabla4[[#This Row],[Trenes Puntuales]]/Tabla4[[#This Row],[Trenes Corridos]]</f>
        <v>0.97068403908794787</v>
      </c>
      <c r="Q347" s="58">
        <f>+Tabla4[[#This Row],[Trenes Corridos]]/Tabla4[[#This Row],[Trenes Programados]]</f>
        <v>0.98569760653823701</v>
      </c>
      <c r="R347" s="59">
        <v>3426</v>
      </c>
      <c r="S347" s="56">
        <f t="shared" si="241"/>
        <v>49</v>
      </c>
      <c r="T347" s="59">
        <v>3377</v>
      </c>
      <c r="U347" s="59">
        <v>3278</v>
      </c>
      <c r="V347" s="59">
        <f t="shared" si="242"/>
        <v>99</v>
      </c>
      <c r="W347" s="109" t="s">
        <v>83</v>
      </c>
      <c r="Y347" s="57">
        <v>2021</v>
      </c>
      <c r="Z347" s="52" t="s">
        <v>43</v>
      </c>
      <c r="AA347" s="58">
        <f>+Tabla5[[#This Row],[Trenes Puntuales]]/Tabla5[[#This Row],[Trenes Programados]]</f>
        <v>0.85429553264604807</v>
      </c>
      <c r="AB347" s="58">
        <f>+Tabla5[[#This Row],[Trenes Puntuales]]/Tabla5[[#This Row],[Trenes Corridos]]</f>
        <v>0.86529759832927255</v>
      </c>
      <c r="AC347" s="58">
        <f>+Tabla5[[#This Row],[Trenes Corridos]]/Tabla5[[#This Row],[Trenes Programados]]</f>
        <v>0.98728522336769764</v>
      </c>
      <c r="AD347" s="59">
        <v>2910</v>
      </c>
      <c r="AE347" s="56">
        <f t="shared" si="243"/>
        <v>37</v>
      </c>
      <c r="AF347" s="59">
        <v>2873</v>
      </c>
      <c r="AG347" s="59">
        <v>2486</v>
      </c>
      <c r="AH347" s="59">
        <f t="shared" si="244"/>
        <v>387</v>
      </c>
      <c r="AI347" s="109" t="s">
        <v>83</v>
      </c>
      <c r="AK347" s="57">
        <v>2021</v>
      </c>
      <c r="AL347" s="52" t="s">
        <v>43</v>
      </c>
      <c r="AM347" s="58">
        <f>+Tabla6[[#This Row],[Trenes Puntuales]]/Tabla6[[#This Row],[Trenes Programados]]</f>
        <v>0.94619883040935671</v>
      </c>
      <c r="AN347" s="58">
        <f>+Tabla6[[#This Row],[Trenes Puntuales]]/Tabla6[[#This Row],[Trenes Corridos]]</f>
        <v>0.95400943396226412</v>
      </c>
      <c r="AO347" s="58">
        <f>+Tabla6[[#This Row],[Trenes Corridos]]/Tabla6[[#This Row],[Trenes Programados]]</f>
        <v>0.99181286549707603</v>
      </c>
      <c r="AP347" s="59">
        <v>1710</v>
      </c>
      <c r="AQ347" s="56">
        <f t="shared" ref="AQ347" si="253">+AP347-AR347</f>
        <v>14</v>
      </c>
      <c r="AR347" s="59">
        <v>1696</v>
      </c>
      <c r="AS347" s="59">
        <v>1618</v>
      </c>
      <c r="AT347" s="59">
        <f t="shared" si="252"/>
        <v>78</v>
      </c>
      <c r="AU347" s="105" t="s">
        <v>105</v>
      </c>
      <c r="AW347" s="57">
        <v>2021</v>
      </c>
      <c r="AX347" s="52" t="s">
        <v>43</v>
      </c>
      <c r="AY347" s="58">
        <f>+MIT_Vic_Cap[[#This Row],[Trenes Puntuales]]/MIT_Vic_Cap[[#This Row],[Trenes Programados]]</f>
        <v>0.67380952380952386</v>
      </c>
      <c r="AZ347" s="58">
        <f>+MIT_Vic_Cap[[#This Row],[Trenes Puntuales]]/MIT_Vic_Cap[[#This Row],[Trenes Corridos]]</f>
        <v>0.75668449197860965</v>
      </c>
      <c r="BA347" s="58">
        <f>+MIT_Vic_Cap[[#This Row],[Trenes Corridos]]/MIT_Vic_Cap[[#This Row],[Trenes Programados]]</f>
        <v>0.89047619047619042</v>
      </c>
      <c r="BB347" s="59">
        <v>420</v>
      </c>
      <c r="BC347" s="27">
        <f>+MIT_Vic_Cap[[#This Row],[Trenes Programados]]-MIT_Vic_Cap[[#This Row],[Trenes Corridos]]</f>
        <v>46</v>
      </c>
      <c r="BD347" s="59">
        <v>374</v>
      </c>
      <c r="BE347" s="59">
        <v>283</v>
      </c>
      <c r="BF347" s="20">
        <f>+MIT_Vic_Cap[[#This Row],[Trenes Corridos]]-MIT_Vic_Cap[[#This Row],[Trenes Puntuales]]</f>
        <v>91</v>
      </c>
      <c r="BG347" s="109" t="s">
        <v>83</v>
      </c>
      <c r="BI347" s="57">
        <v>2021</v>
      </c>
      <c r="BJ347" s="52" t="s">
        <v>43</v>
      </c>
      <c r="BK347" s="58">
        <f>+Tabla8[[#This Row],[Trenes Puntuales]]/Tabla8[[#This Row],[Trenes Programados]]</f>
        <v>0.52222222222222225</v>
      </c>
      <c r="BL347" s="58">
        <f>+Tabla8[[#This Row],[Trenes Puntuales]]/Tabla8[[#This Row],[Trenes Corridos]]</f>
        <v>0.5386819484240688</v>
      </c>
      <c r="BM347" s="58">
        <f>+Tabla8[[#This Row],[Trenes Corridos]]/Tabla8[[#This Row],[Trenes Programados]]</f>
        <v>0.96944444444444444</v>
      </c>
      <c r="BN347" s="59">
        <v>360</v>
      </c>
      <c r="BO347" s="56">
        <f t="shared" si="245"/>
        <v>11</v>
      </c>
      <c r="BP347" s="59">
        <v>349</v>
      </c>
      <c r="BQ347" s="59">
        <v>188</v>
      </c>
      <c r="BR347" s="59">
        <f t="shared" si="246"/>
        <v>161</v>
      </c>
      <c r="BS347" s="109" t="s">
        <v>83</v>
      </c>
    </row>
    <row r="348" spans="1:71">
      <c r="A348" s="49">
        <v>2021</v>
      </c>
      <c r="B348" s="52" t="s">
        <v>44</v>
      </c>
      <c r="C348" s="55">
        <f>+MITRE[[#This Row],[Trenes Puntuales]]/MITRE[[#This Row],[Trenes Programados]]</f>
        <v>0.87928955158425615</v>
      </c>
      <c r="D348" s="55">
        <f>+MITRE[[#This Row],[Trenes Puntuales]]/MITRE[[#This Row],[Trenes Corridos]]</f>
        <v>0.90682948891904114</v>
      </c>
      <c r="E348" s="55">
        <f>+MITRE[[#This Row],[Trenes Corridos]]/MITRE[[#This Row],[Trenes Programados]]</f>
        <v>0.96963052296897267</v>
      </c>
      <c r="F348" s="56">
        <f>+R348+AD348+AP348+BB348+BN348</f>
        <v>9121</v>
      </c>
      <c r="G348" s="56">
        <f>F348-H348</f>
        <v>277</v>
      </c>
      <c r="H348" s="56">
        <f>+T348+AF348+AR348+BD348+BP348</f>
        <v>8844</v>
      </c>
      <c r="I348" s="56">
        <f>+U348+AG348+AS348+BE348+BQ348</f>
        <v>8020</v>
      </c>
      <c r="J348" s="56">
        <f>H348-I348</f>
        <v>824</v>
      </c>
      <c r="K348" s="109" t="s">
        <v>83</v>
      </c>
      <c r="M348" s="57">
        <v>2021</v>
      </c>
      <c r="N348" s="52" t="s">
        <v>44</v>
      </c>
      <c r="O348" s="58">
        <f>+Tabla4[[#This Row],[Trenes Puntuales]]/Tabla4[[#This Row],[Trenes Programados]]</f>
        <v>0.94576944917660422</v>
      </c>
      <c r="P348" s="58">
        <f>+Tabla4[[#This Row],[Trenes Puntuales]]/Tabla4[[#This Row],[Trenes Corridos]]</f>
        <v>0.97654646731163885</v>
      </c>
      <c r="Q348" s="58">
        <f>+Tabla4[[#This Row],[Trenes Corridos]]/Tabla4[[#This Row],[Trenes Programados]]</f>
        <v>0.96848381601362865</v>
      </c>
      <c r="R348" s="59">
        <v>3522</v>
      </c>
      <c r="S348" s="56">
        <f t="shared" si="241"/>
        <v>111</v>
      </c>
      <c r="T348" s="59">
        <v>3411</v>
      </c>
      <c r="U348" s="59">
        <v>3331</v>
      </c>
      <c r="V348" s="59">
        <f>+T348-U348</f>
        <v>80</v>
      </c>
      <c r="W348" s="109" t="s">
        <v>83</v>
      </c>
      <c r="Y348" s="57">
        <v>2021</v>
      </c>
      <c r="Z348" s="52" t="s">
        <v>44</v>
      </c>
      <c r="AA348" s="58">
        <f>+Tabla5[[#This Row],[Trenes Puntuales]]/Tabla5[[#This Row],[Trenes Programados]]</f>
        <v>0.85666218034993269</v>
      </c>
      <c r="AB348" s="58">
        <f>+Tabla5[[#This Row],[Trenes Puntuales]]/Tabla5[[#This Row],[Trenes Corridos]]</f>
        <v>0.88066413005880317</v>
      </c>
      <c r="AC348" s="58">
        <f>+Tabla5[[#This Row],[Trenes Corridos]]/Tabla5[[#This Row],[Trenes Programados]]</f>
        <v>0.9727456258411844</v>
      </c>
      <c r="AD348" s="59">
        <v>2972</v>
      </c>
      <c r="AE348" s="56">
        <f t="shared" si="243"/>
        <v>81</v>
      </c>
      <c r="AF348" s="59">
        <v>2891</v>
      </c>
      <c r="AG348" s="59">
        <v>2546</v>
      </c>
      <c r="AH348" s="59">
        <f>+AF348-AG348</f>
        <v>345</v>
      </c>
      <c r="AI348" s="109" t="s">
        <v>83</v>
      </c>
      <c r="AK348" s="57">
        <v>2021</v>
      </c>
      <c r="AL348" s="52" t="s">
        <v>44</v>
      </c>
      <c r="AM348" s="58">
        <f>+Tabla6[[#This Row],[Trenes Puntuales]]/Tabla6[[#This Row],[Trenes Programados]]</f>
        <v>0.94170911148839842</v>
      </c>
      <c r="AN348" s="58">
        <f>+Tabla6[[#This Row],[Trenes Puntuales]]/Tabla6[[#This Row],[Trenes Corridos]]</f>
        <v>0.94491766042021574</v>
      </c>
      <c r="AO348" s="58">
        <f>+Tabla6[[#This Row],[Trenes Corridos]]/Tabla6[[#This Row],[Trenes Programados]]</f>
        <v>0.99660441426146007</v>
      </c>
      <c r="AP348" s="59">
        <v>1767</v>
      </c>
      <c r="AQ348" s="56">
        <f>+AP348-AR348</f>
        <v>6</v>
      </c>
      <c r="AR348" s="59">
        <v>1761</v>
      </c>
      <c r="AS348" s="59">
        <v>1664</v>
      </c>
      <c r="AT348" s="59">
        <f>+AR348-AS348</f>
        <v>97</v>
      </c>
      <c r="AU348" s="105" t="s">
        <v>105</v>
      </c>
      <c r="AW348" s="57">
        <v>2021</v>
      </c>
      <c r="AX348" s="52" t="s">
        <v>44</v>
      </c>
      <c r="AY348" s="58">
        <f>+MIT_Vic_Cap[[#This Row],[Trenes Puntuales]]/MIT_Vic_Cap[[#This Row],[Trenes Programados]]</f>
        <v>0.58606557377049184</v>
      </c>
      <c r="AZ348" s="58">
        <f>+MIT_Vic_Cap[[#This Row],[Trenes Puntuales]]/MIT_Vic_Cap[[#This Row],[Trenes Corridos]]</f>
        <v>0.68585131894484408</v>
      </c>
      <c r="BA348" s="58">
        <f>+MIT_Vic_Cap[[#This Row],[Trenes Corridos]]/MIT_Vic_Cap[[#This Row],[Trenes Programados]]</f>
        <v>0.85450819672131151</v>
      </c>
      <c r="BB348" s="59">
        <v>488</v>
      </c>
      <c r="BC348" s="27">
        <f>+MIT_Vic_Cap[[#This Row],[Trenes Programados]]-MIT_Vic_Cap[[#This Row],[Trenes Corridos]]</f>
        <v>71</v>
      </c>
      <c r="BD348" s="59">
        <v>417</v>
      </c>
      <c r="BE348" s="59">
        <v>286</v>
      </c>
      <c r="BF348" s="20">
        <f>+MIT_Vic_Cap[[#This Row],[Trenes Corridos]]-MIT_Vic_Cap[[#This Row],[Trenes Puntuales]]</f>
        <v>131</v>
      </c>
      <c r="BG348" s="109" t="s">
        <v>83</v>
      </c>
      <c r="BI348" s="57">
        <v>2021</v>
      </c>
      <c r="BJ348" s="52" t="s">
        <v>44</v>
      </c>
      <c r="BK348" s="58">
        <f>+Tabla8[[#This Row],[Trenes Puntuales]]/Tabla8[[#This Row],[Trenes Programados]]</f>
        <v>0.51881720430107525</v>
      </c>
      <c r="BL348" s="58">
        <f>+Tabla8[[#This Row],[Trenes Puntuales]]/Tabla8[[#This Row],[Trenes Corridos]]</f>
        <v>0.53021978021978022</v>
      </c>
      <c r="BM348" s="58">
        <f>+Tabla8[[#This Row],[Trenes Corridos]]/Tabla8[[#This Row],[Trenes Programados]]</f>
        <v>0.978494623655914</v>
      </c>
      <c r="BN348" s="59">
        <v>372</v>
      </c>
      <c r="BO348" s="56">
        <f t="shared" si="245"/>
        <v>8</v>
      </c>
      <c r="BP348" s="59">
        <v>364</v>
      </c>
      <c r="BQ348" s="59">
        <v>193</v>
      </c>
      <c r="BR348" s="59">
        <f>+BP348-BQ348</f>
        <v>171</v>
      </c>
      <c r="BS348" s="109" t="s">
        <v>83</v>
      </c>
    </row>
    <row r="349" spans="1:71">
      <c r="A349" s="49">
        <v>2021</v>
      </c>
      <c r="B349" s="52" t="s">
        <v>45</v>
      </c>
      <c r="C349" s="55">
        <f>+MITRE[[#This Row],[Trenes Puntuales]]/MITRE[[#This Row],[Trenes Programados]]</f>
        <v>0.87753313615949169</v>
      </c>
      <c r="D349" s="55">
        <f>+MITRE[[#This Row],[Trenes Puntuales]]/MITRE[[#This Row],[Trenes Corridos]]</f>
        <v>0.90061832490163007</v>
      </c>
      <c r="E349" s="55">
        <f>+MITRE[[#This Row],[Trenes Corridos]]/MITRE[[#This Row],[Trenes Programados]]</f>
        <v>0.97436740059152149</v>
      </c>
      <c r="F349" s="56">
        <f>+R349+AD349+AP349+BB349+BN349</f>
        <v>9129</v>
      </c>
      <c r="G349" s="56">
        <f>F349-H349</f>
        <v>234</v>
      </c>
      <c r="H349" s="56">
        <f>+T349+AF349+AR349+BD349+BP349</f>
        <v>8895</v>
      </c>
      <c r="I349" s="56">
        <f>+U349+AG349+AS349+BE349+BQ349</f>
        <v>8011</v>
      </c>
      <c r="J349" s="56">
        <f>H349-I349</f>
        <v>884</v>
      </c>
      <c r="K349" s="109" t="s">
        <v>83</v>
      </c>
      <c r="M349" s="57">
        <v>2021</v>
      </c>
      <c r="N349" s="52" t="s">
        <v>45</v>
      </c>
      <c r="O349" s="58">
        <f>+Tabla4[[#This Row],[Trenes Puntuales]]/Tabla4[[#This Row],[Trenes Programados]]</f>
        <v>0.97331061896649629</v>
      </c>
      <c r="P349" s="58">
        <f>+Tabla4[[#This Row],[Trenes Puntuales]]/Tabla4[[#This Row],[Trenes Corridos]]</f>
        <v>0.977473624180211</v>
      </c>
      <c r="Q349" s="58">
        <f>+Tabla4[[#This Row],[Trenes Corridos]]/Tabla4[[#This Row],[Trenes Programados]]</f>
        <v>0.99574105621805797</v>
      </c>
      <c r="R349" s="59">
        <v>3522</v>
      </c>
      <c r="S349" s="56">
        <f t="shared" si="241"/>
        <v>15</v>
      </c>
      <c r="T349" s="59">
        <v>3507</v>
      </c>
      <c r="U349" s="59">
        <v>3428</v>
      </c>
      <c r="V349" s="59">
        <f>+T349-U349</f>
        <v>79</v>
      </c>
      <c r="W349" s="109" t="s">
        <v>83</v>
      </c>
      <c r="Y349" s="57">
        <v>2021</v>
      </c>
      <c r="Z349" s="52" t="s">
        <v>45</v>
      </c>
      <c r="AA349" s="58">
        <f>+Tabla5[[#This Row],[Trenes Puntuales]]/Tabla5[[#This Row],[Trenes Programados]]</f>
        <v>0.83176312247644679</v>
      </c>
      <c r="AB349" s="58">
        <f>+Tabla5[[#This Row],[Trenes Puntuales]]/Tabla5[[#This Row],[Trenes Corridos]]</f>
        <v>0.85006877579092155</v>
      </c>
      <c r="AC349" s="58">
        <f>+Tabla5[[#This Row],[Trenes Corridos]]/Tabla5[[#This Row],[Trenes Programados]]</f>
        <v>0.97846567967698517</v>
      </c>
      <c r="AD349" s="59">
        <v>2972</v>
      </c>
      <c r="AE349" s="56">
        <f t="shared" si="243"/>
        <v>64</v>
      </c>
      <c r="AF349" s="59">
        <v>2908</v>
      </c>
      <c r="AG349" s="59">
        <v>2472</v>
      </c>
      <c r="AH349" s="59">
        <f>+AF349-AG349</f>
        <v>436</v>
      </c>
      <c r="AI349" s="109" t="s">
        <v>83</v>
      </c>
      <c r="AK349" s="57">
        <v>2021</v>
      </c>
      <c r="AL349" s="107" t="s">
        <v>45</v>
      </c>
      <c r="AM349" s="58">
        <f>+Tabla6[[#This Row],[Trenes Puntuales]]/Tabla6[[#This Row],[Trenes Programados]]</f>
        <v>0.95529145444255803</v>
      </c>
      <c r="AN349" s="58">
        <f>+Tabla6[[#This Row],[Trenes Puntuales]]/Tabla6[[#This Row],[Trenes Corridos]]</f>
        <v>0.95637393767705381</v>
      </c>
      <c r="AO349" s="58">
        <f>+Tabla6[[#This Row],[Trenes Corridos]]/Tabla6[[#This Row],[Trenes Programados]]</f>
        <v>0.99886813808715336</v>
      </c>
      <c r="AP349" s="59">
        <v>1767</v>
      </c>
      <c r="AQ349" s="56">
        <f>+AP349-AR349</f>
        <v>2</v>
      </c>
      <c r="AR349" s="59">
        <v>1765</v>
      </c>
      <c r="AS349" s="59">
        <v>1688</v>
      </c>
      <c r="AT349" s="59">
        <f>+AR349-AS349</f>
        <v>77</v>
      </c>
      <c r="AU349" s="105" t="s">
        <v>105</v>
      </c>
      <c r="AW349" s="49">
        <v>2021</v>
      </c>
      <c r="AX349" s="57" t="s">
        <v>45</v>
      </c>
      <c r="AY349" s="58">
        <f>+MIT_Vic_Cap[[#This Row],[Trenes Puntuales]]/MIT_Vic_Cap[[#This Row],[Trenes Programados]]</f>
        <v>0.5786290322580645</v>
      </c>
      <c r="AZ349" s="58">
        <f>+MIT_Vic_Cap[[#This Row],[Trenes Puntuales]]/MIT_Vic_Cap[[#This Row],[Trenes Corridos]]</f>
        <v>0.7321428571428571</v>
      </c>
      <c r="BA349" s="58">
        <f>+MIT_Vic_Cap[[#This Row],[Trenes Corridos]]/MIT_Vic_Cap[[#This Row],[Trenes Programados]]</f>
        <v>0.79032258064516125</v>
      </c>
      <c r="BB349" s="59">
        <v>496</v>
      </c>
      <c r="BC349" s="27">
        <f>+MIT_Vic_Cap[[#This Row],[Trenes Programados]]-MIT_Vic_Cap[[#This Row],[Trenes Corridos]]</f>
        <v>104</v>
      </c>
      <c r="BD349" s="59">
        <v>392</v>
      </c>
      <c r="BE349" s="59">
        <v>287</v>
      </c>
      <c r="BF349" s="20">
        <f>+MIT_Vic_Cap[[#This Row],[Trenes Corridos]]-MIT_Vic_Cap[[#This Row],[Trenes Puntuales]]</f>
        <v>105</v>
      </c>
      <c r="BG349" s="109" t="s">
        <v>83</v>
      </c>
      <c r="BI349" s="57">
        <v>2021</v>
      </c>
      <c r="BJ349" s="52" t="s">
        <v>45</v>
      </c>
      <c r="BK349" s="58">
        <f>+Tabla8[[#This Row],[Trenes Puntuales]]/Tabla8[[#This Row],[Trenes Programados]]</f>
        <v>0.36559139784946237</v>
      </c>
      <c r="BL349" s="58">
        <f>+Tabla8[[#This Row],[Trenes Puntuales]]/Tabla8[[#This Row],[Trenes Corridos]]</f>
        <v>0.42105263157894735</v>
      </c>
      <c r="BM349" s="58">
        <f>+Tabla8[[#This Row],[Trenes Corridos]]/Tabla8[[#This Row],[Trenes Programados]]</f>
        <v>0.86827956989247312</v>
      </c>
      <c r="BN349" s="59">
        <v>372</v>
      </c>
      <c r="BO349" s="56">
        <f t="shared" si="245"/>
        <v>49</v>
      </c>
      <c r="BP349" s="59">
        <v>323</v>
      </c>
      <c r="BQ349" s="59">
        <v>136</v>
      </c>
      <c r="BR349" s="59">
        <f>+BP349-BQ349</f>
        <v>187</v>
      </c>
      <c r="BS349" s="109" t="s">
        <v>83</v>
      </c>
    </row>
    <row r="350" spans="1:71">
      <c r="A350" s="118" t="s">
        <v>93</v>
      </c>
      <c r="B350" s="119"/>
      <c r="C350" s="122">
        <f>+MITRE[[#Totals],[Trenes Puntuales]]/MITRE[[#Totals],[Trenes Programados]]</f>
        <v>0.83467558942658049</v>
      </c>
      <c r="D350" s="122">
        <f>+MITRE[[#Totals],[Trenes Puntuales]]/MITRE[[#Totals],[Trenes Corridos]]</f>
        <v>0.881861740073135</v>
      </c>
      <c r="E350" s="122">
        <f>+MITRE[[#Totals],[Trenes Corridos]]/MITRE[[#Totals],[Trenes Programados]]</f>
        <v>0.946492575307053</v>
      </c>
      <c r="F350" s="121">
        <f>SUBTOTAL(109,MITRE[Trenes Programados])</f>
        <v>4702282</v>
      </c>
      <c r="G350" s="121">
        <f>SUBTOTAL(109,MITRE[Trenes Cancelados])</f>
        <v>251607</v>
      </c>
      <c r="H350" s="121">
        <f>SUBTOTAL(109,MITRE[Trenes Corridos])</f>
        <v>4450675</v>
      </c>
      <c r="I350" s="121">
        <f>SUBTOTAL(109,MITRE[Trenes Puntuales])</f>
        <v>3924880</v>
      </c>
      <c r="J350" s="121">
        <f>SUBTOTAL(109,MITRE[Trenes Atrasados])</f>
        <v>525795</v>
      </c>
      <c r="K350" s="120">
        <f>SUBTOTAL(103,MITRE[Observaciones])</f>
        <v>17</v>
      </c>
      <c r="N350" s="41"/>
      <c r="Z350" s="41"/>
    </row>
    <row r="351" spans="1:71">
      <c r="N351" s="41"/>
      <c r="Z351" s="41"/>
    </row>
    <row r="352" spans="1:71">
      <c r="N352" s="41"/>
      <c r="Z352" s="41"/>
    </row>
    <row r="353" spans="10:26">
      <c r="J353" s="153"/>
      <c r="N353" s="41"/>
      <c r="Z353" s="41"/>
    </row>
    <row r="354" spans="10:26">
      <c r="N354" s="41"/>
      <c r="Z354" s="41"/>
    </row>
    <row r="355" spans="10:26">
      <c r="N355" s="41"/>
      <c r="Z355" s="41"/>
    </row>
    <row r="356" spans="10:26">
      <c r="N356" s="41"/>
    </row>
  </sheetData>
  <mergeCells count="2">
    <mergeCell ref="AL1:AT1"/>
    <mergeCell ref="AL2:AT2"/>
  </mergeCells>
  <phoneticPr fontId="0" type="noConversion"/>
  <printOptions horizontalCentered="1"/>
  <pageMargins left="0.59055118110236227" right="0.59055118110236227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Mitre</oddHeader>
  </headerFooter>
  <ignoredErrors>
    <ignoredError sqref="S139:V329 F6:F130 H6:J130 AE139:AH329 AQ139:AT329 BO139:BR329 F337:G337 I337 AF138:AG138 S138:U138 S136:AH137 V138:AE138 AH138 AR138:AS138 AT134:AT138 AQ134:AQ138 BP138:BQ138 BO135:BR137 BO138 BR138 F141:F328 H141:J328 W134:Z134 T134:U134 S134 V134 AD134 S135:AD135 AF134:AG134 AE135:AH135 AE134 AH134 BP134:BQ134 BO134 BR134 F131:J133" calculatedColumn="1"/>
  </ignoredErrors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1:BC350"/>
  <sheetViews>
    <sheetView showGridLines="0" zoomScale="80" zoomScaleNormal="80" workbookViewId="0">
      <pane ySplit="5" topLeftCell="A325" activePane="bottomLeft" state="frozen"/>
      <selection pane="bottomLeft" activeCell="I349" sqref="I349"/>
    </sheetView>
  </sheetViews>
  <sheetFormatPr baseColWidth="10" defaultColWidth="11.5546875" defaultRowHeight="15"/>
  <cols>
    <col min="1" max="1" width="5.77734375" style="21" customWidth="1"/>
    <col min="2" max="2" width="8.77734375" style="21" customWidth="1"/>
    <col min="3" max="10" width="8.77734375" style="32" customWidth="1"/>
    <col min="11" max="11" width="14" style="32" customWidth="1"/>
    <col min="12" max="12" width="7.77734375" style="21" customWidth="1"/>
    <col min="13" max="13" width="5.77734375" style="21" customWidth="1"/>
    <col min="14" max="14" width="8.77734375" style="21" customWidth="1"/>
    <col min="15" max="22" width="8.77734375" style="32" customWidth="1"/>
    <col min="23" max="23" width="14" style="32" customWidth="1"/>
    <col min="24" max="24" width="7.77734375" style="21" customWidth="1"/>
    <col min="25" max="25" width="5.77734375" style="21" customWidth="1"/>
    <col min="26" max="26" width="8.77734375" style="21" customWidth="1"/>
    <col min="27" max="34" width="8.77734375" style="32" customWidth="1"/>
    <col min="35" max="35" width="14" style="32" customWidth="1"/>
    <col min="36" max="36" width="7.77734375" style="21" customWidth="1"/>
    <col min="37" max="37" width="5.77734375" style="21" customWidth="1"/>
    <col min="38" max="38" width="8.77734375" style="21" customWidth="1"/>
    <col min="39" max="46" width="8.77734375" style="32" customWidth="1"/>
    <col min="47" max="47" width="14" style="32" customWidth="1"/>
    <col min="48" max="16384" width="11.5546875" style="21"/>
  </cols>
  <sheetData>
    <row r="1" spans="1:47" s="13" customFormat="1" ht="20.25">
      <c r="A1" s="14" t="s">
        <v>7</v>
      </c>
      <c r="B1" s="14"/>
      <c r="C1" s="70"/>
      <c r="D1" s="70"/>
      <c r="E1" s="70"/>
      <c r="F1" s="70"/>
      <c r="G1" s="70"/>
      <c r="H1" s="70"/>
      <c r="I1" s="70"/>
      <c r="J1" s="71"/>
      <c r="K1" s="71"/>
      <c r="L1" s="14"/>
      <c r="M1" s="14" t="s">
        <v>7</v>
      </c>
      <c r="N1" s="14"/>
      <c r="O1" s="70"/>
      <c r="P1" s="70"/>
      <c r="Q1" s="70"/>
      <c r="R1" s="70"/>
      <c r="S1" s="70"/>
      <c r="T1" s="70"/>
      <c r="U1" s="70"/>
      <c r="V1" s="71"/>
      <c r="W1" s="71"/>
      <c r="X1" s="14"/>
      <c r="Y1" s="14" t="s">
        <v>7</v>
      </c>
      <c r="Z1" s="14"/>
      <c r="AA1" s="70"/>
      <c r="AB1" s="70"/>
      <c r="AC1" s="70"/>
      <c r="AD1" s="70"/>
      <c r="AE1" s="70"/>
      <c r="AF1" s="70"/>
      <c r="AG1" s="70"/>
      <c r="AH1" s="71"/>
      <c r="AI1" s="71"/>
      <c r="AJ1" s="14"/>
      <c r="AK1" s="14" t="s">
        <v>7</v>
      </c>
      <c r="AL1" s="14"/>
      <c r="AM1" s="70"/>
      <c r="AN1" s="70"/>
      <c r="AO1" s="70"/>
      <c r="AP1" s="70"/>
      <c r="AQ1" s="70"/>
      <c r="AR1" s="70"/>
      <c r="AS1" s="70"/>
      <c r="AT1" s="70"/>
      <c r="AU1" s="70"/>
    </row>
    <row r="2" spans="1:47" s="13" customFormat="1" ht="20.25">
      <c r="A2" s="14" t="s">
        <v>6</v>
      </c>
      <c r="B2" s="14"/>
      <c r="C2" s="70"/>
      <c r="D2" s="70"/>
      <c r="E2" s="70"/>
      <c r="F2" s="70"/>
      <c r="G2" s="70"/>
      <c r="H2" s="70"/>
      <c r="I2" s="70"/>
      <c r="J2" s="71"/>
      <c r="K2" s="71"/>
      <c r="L2" s="14"/>
      <c r="M2" s="14" t="s">
        <v>6</v>
      </c>
      <c r="N2" s="14"/>
      <c r="O2" s="70"/>
      <c r="P2" s="70"/>
      <c r="Q2" s="70"/>
      <c r="R2" s="70"/>
      <c r="S2" s="70"/>
      <c r="T2" s="70"/>
      <c r="U2" s="70"/>
      <c r="V2" s="71"/>
      <c r="W2" s="71"/>
      <c r="X2" s="14"/>
      <c r="Y2" s="14" t="s">
        <v>6</v>
      </c>
      <c r="Z2" s="14"/>
      <c r="AA2" s="70"/>
      <c r="AB2" s="70"/>
      <c r="AC2" s="70"/>
      <c r="AD2" s="70"/>
      <c r="AE2" s="70"/>
      <c r="AF2" s="70"/>
      <c r="AG2" s="70"/>
      <c r="AH2" s="71"/>
      <c r="AI2" s="71"/>
      <c r="AJ2" s="14"/>
      <c r="AK2" s="14" t="s">
        <v>6</v>
      </c>
      <c r="AL2" s="14"/>
      <c r="AM2" s="70"/>
      <c r="AN2" s="70"/>
      <c r="AO2" s="70"/>
      <c r="AP2" s="70"/>
      <c r="AQ2" s="70"/>
      <c r="AR2" s="70"/>
      <c r="AS2" s="70"/>
      <c r="AT2" s="70"/>
      <c r="AU2" s="70"/>
    </row>
    <row r="3" spans="1:47" s="16" customFormat="1" ht="15.75">
      <c r="A3" s="16" t="s">
        <v>37</v>
      </c>
      <c r="B3" s="17"/>
      <c r="C3" s="72"/>
      <c r="D3" s="72"/>
      <c r="E3" s="72"/>
      <c r="F3" s="72"/>
      <c r="G3" s="72"/>
      <c r="H3" s="72"/>
      <c r="I3" s="72"/>
      <c r="J3" s="72"/>
      <c r="K3" s="72"/>
      <c r="L3" s="60"/>
      <c r="M3" s="18" t="s">
        <v>11</v>
      </c>
      <c r="N3" s="17"/>
      <c r="O3" s="72"/>
      <c r="P3" s="72"/>
      <c r="Q3" s="72"/>
      <c r="R3" s="72"/>
      <c r="S3" s="72"/>
      <c r="T3" s="72"/>
      <c r="U3" s="72"/>
      <c r="V3" s="72"/>
      <c r="W3" s="72"/>
      <c r="X3" s="60"/>
      <c r="Y3" s="18" t="s">
        <v>12</v>
      </c>
      <c r="Z3" s="17"/>
      <c r="AA3" s="72"/>
      <c r="AB3" s="72"/>
      <c r="AC3" s="72"/>
      <c r="AD3" s="72"/>
      <c r="AE3" s="72"/>
      <c r="AF3" s="72"/>
      <c r="AG3" s="72"/>
      <c r="AH3" s="72"/>
      <c r="AI3" s="72"/>
      <c r="AJ3" s="60"/>
      <c r="AK3" s="18" t="s">
        <v>13</v>
      </c>
      <c r="AL3" s="17"/>
      <c r="AM3" s="72"/>
      <c r="AN3" s="72"/>
      <c r="AO3" s="72"/>
      <c r="AP3" s="72"/>
      <c r="AQ3" s="72"/>
      <c r="AR3" s="72"/>
      <c r="AS3" s="72"/>
      <c r="AT3" s="75"/>
      <c r="AU3" s="75"/>
    </row>
    <row r="4" spans="1:47" s="3" customFormat="1" ht="12.75">
      <c r="B4" s="19"/>
      <c r="C4" s="24"/>
      <c r="D4" s="24"/>
      <c r="E4" s="24"/>
      <c r="F4" s="24"/>
      <c r="G4" s="24"/>
      <c r="H4" s="24"/>
      <c r="I4" s="24"/>
      <c r="J4" s="24"/>
      <c r="K4" s="24"/>
      <c r="L4" s="1"/>
      <c r="M4" s="61"/>
      <c r="N4" s="19"/>
      <c r="O4" s="24"/>
      <c r="P4" s="24"/>
      <c r="Q4" s="24"/>
      <c r="R4" s="24"/>
      <c r="S4" s="24"/>
      <c r="T4" s="24"/>
      <c r="U4" s="24"/>
      <c r="V4" s="24"/>
      <c r="W4" s="24"/>
      <c r="X4" s="1"/>
      <c r="Y4" s="61"/>
      <c r="Z4" s="19"/>
      <c r="AA4" s="24"/>
      <c r="AB4" s="24"/>
      <c r="AC4" s="24"/>
      <c r="AD4" s="24"/>
      <c r="AE4" s="24"/>
      <c r="AF4" s="24"/>
      <c r="AG4" s="24"/>
      <c r="AH4" s="24"/>
      <c r="AI4" s="24"/>
      <c r="AJ4" s="1"/>
      <c r="AK4" s="61"/>
      <c r="AL4" s="19"/>
      <c r="AM4" s="24"/>
      <c r="AN4" s="24"/>
      <c r="AO4" s="24"/>
      <c r="AP4" s="24"/>
      <c r="AQ4" s="24"/>
      <c r="AR4" s="24"/>
      <c r="AS4" s="24"/>
      <c r="AT4" s="24"/>
      <c r="AU4" s="29"/>
    </row>
    <row r="5" spans="1:47" s="3" customFormat="1" ht="46.5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  <c r="L5" s="22"/>
      <c r="M5" s="78" t="s">
        <v>34</v>
      </c>
      <c r="N5" s="78" t="s">
        <v>33</v>
      </c>
      <c r="O5" s="78" t="s">
        <v>8</v>
      </c>
      <c r="P5" s="78" t="s">
        <v>10</v>
      </c>
      <c r="Q5" s="78" t="s">
        <v>9</v>
      </c>
      <c r="R5" s="78" t="s">
        <v>54</v>
      </c>
      <c r="S5" s="78" t="s">
        <v>55</v>
      </c>
      <c r="T5" s="78" t="s">
        <v>27</v>
      </c>
      <c r="U5" s="78" t="s">
        <v>56</v>
      </c>
      <c r="V5" s="78" t="s">
        <v>57</v>
      </c>
      <c r="W5" s="78" t="s">
        <v>36</v>
      </c>
      <c r="X5" s="28"/>
      <c r="Y5" s="78" t="s">
        <v>34</v>
      </c>
      <c r="Z5" s="78" t="s">
        <v>33</v>
      </c>
      <c r="AA5" s="78" t="s">
        <v>8</v>
      </c>
      <c r="AB5" s="78" t="s">
        <v>10</v>
      </c>
      <c r="AC5" s="78" t="s">
        <v>9</v>
      </c>
      <c r="AD5" s="78" t="s">
        <v>54</v>
      </c>
      <c r="AE5" s="78" t="s">
        <v>55</v>
      </c>
      <c r="AF5" s="78" t="s">
        <v>27</v>
      </c>
      <c r="AG5" s="78" t="s">
        <v>56</v>
      </c>
      <c r="AH5" s="78" t="s">
        <v>57</v>
      </c>
      <c r="AI5" s="78" t="s">
        <v>36</v>
      </c>
      <c r="AJ5" s="28"/>
      <c r="AK5" s="78" t="s">
        <v>34</v>
      </c>
      <c r="AL5" s="78" t="s">
        <v>33</v>
      </c>
      <c r="AM5" s="78" t="s">
        <v>8</v>
      </c>
      <c r="AN5" s="78" t="s">
        <v>10</v>
      </c>
      <c r="AO5" s="78" t="s">
        <v>9</v>
      </c>
      <c r="AP5" s="78" t="s">
        <v>54</v>
      </c>
      <c r="AQ5" s="78" t="s">
        <v>55</v>
      </c>
      <c r="AR5" s="78" t="s">
        <v>27</v>
      </c>
      <c r="AS5" s="78" t="s">
        <v>56</v>
      </c>
      <c r="AT5" s="78" t="s">
        <v>57</v>
      </c>
      <c r="AU5" s="78" t="s">
        <v>36</v>
      </c>
    </row>
    <row r="6" spans="1:47" s="3" customFormat="1" ht="12.75">
      <c r="A6" s="62">
        <v>1993</v>
      </c>
      <c r="B6" s="63" t="s">
        <v>38</v>
      </c>
      <c r="C6" s="35">
        <f t="shared" ref="C6" si="0">I6/F6</f>
        <v>0.75028405504355511</v>
      </c>
      <c r="D6" s="35">
        <f t="shared" ref="D6" si="1">I6/H6</f>
        <v>0.85547718439614218</v>
      </c>
      <c r="E6" s="35">
        <f t="shared" ref="E6" si="2">H6/F6</f>
        <v>0.87703572781214489</v>
      </c>
      <c r="F6" s="20">
        <v>7921</v>
      </c>
      <c r="G6" s="20">
        <f t="shared" ref="G6:G69" si="3">F6-H6</f>
        <v>974</v>
      </c>
      <c r="H6" s="20">
        <v>6947</v>
      </c>
      <c r="I6" s="20">
        <v>5943</v>
      </c>
      <c r="J6" s="20">
        <f t="shared" ref="J6:J69" si="4">H6-I6</f>
        <v>1004</v>
      </c>
      <c r="K6" s="20"/>
      <c r="L6" s="5"/>
      <c r="M6" s="62"/>
      <c r="N6" s="63"/>
      <c r="O6" s="30"/>
      <c r="P6" s="30"/>
      <c r="Q6" s="30"/>
      <c r="R6" s="20"/>
      <c r="S6" s="20"/>
      <c r="T6" s="20"/>
      <c r="U6" s="20"/>
      <c r="V6" s="20"/>
      <c r="W6" s="20"/>
      <c r="X6" s="5"/>
      <c r="Y6" s="62"/>
      <c r="Z6" s="63"/>
      <c r="AA6" s="30"/>
      <c r="AB6" s="30"/>
      <c r="AC6" s="30"/>
      <c r="AD6" s="20"/>
      <c r="AE6" s="20"/>
      <c r="AF6" s="20"/>
      <c r="AG6" s="20"/>
      <c r="AH6" s="20"/>
      <c r="AI6" s="20"/>
      <c r="AJ6" s="5"/>
      <c r="AK6" s="62"/>
      <c r="AL6" s="63"/>
      <c r="AM6" s="30"/>
      <c r="AN6" s="30"/>
      <c r="AO6" s="30"/>
      <c r="AP6" s="20"/>
      <c r="AQ6" s="20"/>
      <c r="AR6" s="20"/>
      <c r="AS6" s="20"/>
      <c r="AT6" s="20"/>
      <c r="AU6" s="29"/>
    </row>
    <row r="7" spans="1:47" s="3" customFormat="1" ht="12.75">
      <c r="A7" s="64">
        <v>1993</v>
      </c>
      <c r="B7" s="65" t="s">
        <v>39</v>
      </c>
      <c r="C7" s="35">
        <f t="shared" ref="C7:C9" si="5">I7/F7</f>
        <v>0.74830316742081449</v>
      </c>
      <c r="D7" s="35">
        <f t="shared" ref="D7:D9" si="6">I7/H7</f>
        <v>0.84</v>
      </c>
      <c r="E7" s="35">
        <f t="shared" ref="E7:E9" si="7">H7/F7</f>
        <v>0.89083710407239824</v>
      </c>
      <c r="F7" s="20">
        <v>7072</v>
      </c>
      <c r="G7" s="20">
        <f t="shared" si="3"/>
        <v>772</v>
      </c>
      <c r="H7" s="20">
        <v>6300</v>
      </c>
      <c r="I7" s="20">
        <v>5292</v>
      </c>
      <c r="J7" s="20">
        <f t="shared" si="4"/>
        <v>1008</v>
      </c>
      <c r="K7" s="20"/>
      <c r="L7" s="5"/>
      <c r="M7" s="64"/>
      <c r="N7" s="65"/>
      <c r="O7" s="30"/>
      <c r="P7" s="30"/>
      <c r="Q7" s="30"/>
      <c r="R7" s="20"/>
      <c r="S7" s="20"/>
      <c r="T7" s="20"/>
      <c r="U7" s="20"/>
      <c r="V7" s="20"/>
      <c r="W7" s="20"/>
      <c r="X7" s="5"/>
      <c r="Y7" s="64"/>
      <c r="Z7" s="65"/>
      <c r="AA7" s="30"/>
      <c r="AB7" s="30"/>
      <c r="AC7" s="30"/>
      <c r="AD7" s="20"/>
      <c r="AE7" s="20"/>
      <c r="AF7" s="20"/>
      <c r="AG7" s="20"/>
      <c r="AH7" s="20"/>
      <c r="AI7" s="20"/>
      <c r="AJ7" s="5"/>
      <c r="AK7" s="64"/>
      <c r="AL7" s="65"/>
      <c r="AM7" s="30"/>
      <c r="AN7" s="30"/>
      <c r="AO7" s="30"/>
      <c r="AP7" s="20"/>
      <c r="AQ7" s="20"/>
      <c r="AR7" s="20"/>
      <c r="AS7" s="20"/>
      <c r="AT7" s="20"/>
      <c r="AU7" s="29"/>
    </row>
    <row r="8" spans="1:47" s="3" customFormat="1" ht="12.75">
      <c r="A8" s="62">
        <v>1993</v>
      </c>
      <c r="B8" s="63" t="s">
        <v>40</v>
      </c>
      <c r="C8" s="35">
        <f t="shared" si="5"/>
        <v>0.69900142653352348</v>
      </c>
      <c r="D8" s="35">
        <f t="shared" si="6"/>
        <v>0.77923955472025441</v>
      </c>
      <c r="E8" s="35">
        <f t="shared" si="7"/>
        <v>0.89703021657372584</v>
      </c>
      <c r="F8" s="20">
        <v>7711</v>
      </c>
      <c r="G8" s="20">
        <f t="shared" si="3"/>
        <v>794</v>
      </c>
      <c r="H8" s="20">
        <v>6917</v>
      </c>
      <c r="I8" s="20">
        <v>5390</v>
      </c>
      <c r="J8" s="20">
        <f t="shared" si="4"/>
        <v>1527</v>
      </c>
      <c r="K8" s="20"/>
      <c r="L8" s="5"/>
      <c r="M8" s="62"/>
      <c r="N8" s="63"/>
      <c r="O8" s="30"/>
      <c r="P8" s="30"/>
      <c r="Q8" s="30"/>
      <c r="R8" s="20"/>
      <c r="S8" s="20"/>
      <c r="T8" s="20"/>
      <c r="U8" s="20"/>
      <c r="V8" s="20"/>
      <c r="W8" s="20"/>
      <c r="X8" s="5"/>
      <c r="Y8" s="62"/>
      <c r="Z8" s="63"/>
      <c r="AA8" s="30"/>
      <c r="AB8" s="30"/>
      <c r="AC8" s="30"/>
      <c r="AD8" s="20"/>
      <c r="AE8" s="20"/>
      <c r="AF8" s="20"/>
      <c r="AG8" s="20"/>
      <c r="AH8" s="20"/>
      <c r="AI8" s="20"/>
      <c r="AJ8" s="5"/>
      <c r="AK8" s="62"/>
      <c r="AL8" s="63"/>
      <c r="AM8" s="30"/>
      <c r="AN8" s="30"/>
      <c r="AO8" s="30"/>
      <c r="AP8" s="20"/>
      <c r="AQ8" s="20"/>
      <c r="AR8" s="20"/>
      <c r="AS8" s="20"/>
      <c r="AT8" s="20"/>
      <c r="AU8" s="29"/>
    </row>
    <row r="9" spans="1:47" s="3" customFormat="1" ht="12.75">
      <c r="A9" s="64">
        <v>1993</v>
      </c>
      <c r="B9" s="65" t="s">
        <v>41</v>
      </c>
      <c r="C9" s="35">
        <f t="shared" si="5"/>
        <v>0.69958960328317377</v>
      </c>
      <c r="D9" s="35">
        <f t="shared" si="6"/>
        <v>0.77673147023086275</v>
      </c>
      <c r="E9" s="35">
        <f t="shared" si="7"/>
        <v>0.90068399452804382</v>
      </c>
      <c r="F9" s="20">
        <v>7310</v>
      </c>
      <c r="G9" s="20">
        <f t="shared" si="3"/>
        <v>726</v>
      </c>
      <c r="H9" s="20">
        <v>6584</v>
      </c>
      <c r="I9" s="20">
        <v>5114</v>
      </c>
      <c r="J9" s="20">
        <f t="shared" si="4"/>
        <v>1470</v>
      </c>
      <c r="K9" s="20"/>
      <c r="L9" s="5"/>
      <c r="M9" s="64"/>
      <c r="N9" s="65"/>
      <c r="O9" s="30"/>
      <c r="P9" s="30"/>
      <c r="Q9" s="30"/>
      <c r="R9" s="20"/>
      <c r="S9" s="20"/>
      <c r="T9" s="20"/>
      <c r="U9" s="20"/>
      <c r="V9" s="20"/>
      <c r="W9" s="20"/>
      <c r="X9" s="5"/>
      <c r="Y9" s="64"/>
      <c r="Z9" s="65"/>
      <c r="AA9" s="30"/>
      <c r="AB9" s="30"/>
      <c r="AC9" s="30"/>
      <c r="AD9" s="20"/>
      <c r="AE9" s="20"/>
      <c r="AF9" s="20"/>
      <c r="AG9" s="20"/>
      <c r="AH9" s="20"/>
      <c r="AI9" s="20"/>
      <c r="AJ9" s="5"/>
      <c r="AK9" s="64"/>
      <c r="AL9" s="65"/>
      <c r="AM9" s="30"/>
      <c r="AN9" s="30"/>
      <c r="AO9" s="30"/>
      <c r="AP9" s="20"/>
      <c r="AQ9" s="20"/>
      <c r="AR9" s="20"/>
      <c r="AS9" s="20"/>
      <c r="AT9" s="20"/>
      <c r="AU9" s="29"/>
    </row>
    <row r="10" spans="1:47" s="3" customFormat="1" ht="12.75">
      <c r="A10" s="62">
        <v>1993</v>
      </c>
      <c r="B10" s="63" t="s">
        <v>42</v>
      </c>
      <c r="C10" s="35">
        <f t="shared" ref="C10:C73" si="8">I10/F10</f>
        <v>0.74184300341296927</v>
      </c>
      <c r="D10" s="35">
        <f t="shared" ref="D10:D73" si="9">I10/H10</f>
        <v>0.79958799293702176</v>
      </c>
      <c r="E10" s="35">
        <f t="shared" ref="E10:E73" si="10">H10/F10</f>
        <v>0.92778156996587036</v>
      </c>
      <c r="F10" s="20">
        <v>7325</v>
      </c>
      <c r="G10" s="20">
        <f t="shared" si="3"/>
        <v>529</v>
      </c>
      <c r="H10" s="20">
        <v>6796</v>
      </c>
      <c r="I10" s="20">
        <v>5434</v>
      </c>
      <c r="J10" s="20">
        <f t="shared" si="4"/>
        <v>1362</v>
      </c>
      <c r="K10" s="20"/>
      <c r="L10" s="5"/>
      <c r="M10" s="62"/>
      <c r="N10" s="63"/>
      <c r="O10" s="30"/>
      <c r="P10" s="30"/>
      <c r="Q10" s="30"/>
      <c r="R10" s="20"/>
      <c r="S10" s="20"/>
      <c r="T10" s="20"/>
      <c r="U10" s="20"/>
      <c r="V10" s="20"/>
      <c r="W10" s="20"/>
      <c r="X10" s="5"/>
      <c r="Y10" s="62"/>
      <c r="Z10" s="63"/>
      <c r="AA10" s="30"/>
      <c r="AB10" s="30"/>
      <c r="AC10" s="30"/>
      <c r="AD10" s="20"/>
      <c r="AE10" s="20"/>
      <c r="AF10" s="20"/>
      <c r="AG10" s="20"/>
      <c r="AH10" s="20"/>
      <c r="AI10" s="20"/>
      <c r="AJ10" s="5"/>
      <c r="AK10" s="62"/>
      <c r="AL10" s="63"/>
      <c r="AM10" s="30"/>
      <c r="AN10" s="30"/>
      <c r="AO10" s="30"/>
      <c r="AP10" s="20"/>
      <c r="AQ10" s="20"/>
      <c r="AR10" s="20"/>
      <c r="AS10" s="20"/>
      <c r="AT10" s="20"/>
      <c r="AU10" s="29"/>
    </row>
    <row r="11" spans="1:47" s="3" customFormat="1" ht="12.75">
      <c r="A11" s="64">
        <v>1993</v>
      </c>
      <c r="B11" s="65" t="s">
        <v>43</v>
      </c>
      <c r="C11" s="35">
        <f t="shared" si="8"/>
        <v>0.71604431678292979</v>
      </c>
      <c r="D11" s="35">
        <f t="shared" si="9"/>
        <v>0.79619771863117872</v>
      </c>
      <c r="E11" s="35">
        <f t="shared" si="10"/>
        <v>0.89932977704828343</v>
      </c>
      <c r="F11" s="20">
        <v>7311</v>
      </c>
      <c r="G11" s="20">
        <f t="shared" si="3"/>
        <v>736</v>
      </c>
      <c r="H11" s="20">
        <v>6575</v>
      </c>
      <c r="I11" s="20">
        <v>5235</v>
      </c>
      <c r="J11" s="20">
        <f t="shared" si="4"/>
        <v>1340</v>
      </c>
      <c r="K11" s="20"/>
      <c r="L11" s="5"/>
      <c r="M11" s="64"/>
      <c r="N11" s="65"/>
      <c r="O11" s="30"/>
      <c r="P11" s="30"/>
      <c r="Q11" s="30"/>
      <c r="R11" s="20"/>
      <c r="S11" s="20"/>
      <c r="T11" s="20"/>
      <c r="U11" s="20"/>
      <c r="V11" s="20"/>
      <c r="W11" s="20"/>
      <c r="X11" s="5"/>
      <c r="Y11" s="64"/>
      <c r="Z11" s="65"/>
      <c r="AA11" s="30"/>
      <c r="AB11" s="30"/>
      <c r="AC11" s="30"/>
      <c r="AD11" s="20"/>
      <c r="AE11" s="20"/>
      <c r="AF11" s="20"/>
      <c r="AG11" s="20"/>
      <c r="AH11" s="20"/>
      <c r="AI11" s="20"/>
      <c r="AJ11" s="5"/>
      <c r="AK11" s="64"/>
      <c r="AL11" s="65"/>
      <c r="AM11" s="30"/>
      <c r="AN11" s="30"/>
      <c r="AO11" s="30"/>
      <c r="AP11" s="20"/>
      <c r="AQ11" s="20"/>
      <c r="AR11" s="20"/>
      <c r="AS11" s="20"/>
      <c r="AT11" s="20"/>
      <c r="AU11" s="29"/>
    </row>
    <row r="12" spans="1:47" s="3" customFormat="1" ht="12.75">
      <c r="A12" s="62">
        <v>1993</v>
      </c>
      <c r="B12" s="63" t="s">
        <v>44</v>
      </c>
      <c r="C12" s="35">
        <f t="shared" si="8"/>
        <v>0.68574456809750928</v>
      </c>
      <c r="D12" s="35">
        <f t="shared" si="9"/>
        <v>0.77196122296793435</v>
      </c>
      <c r="E12" s="35">
        <f t="shared" si="10"/>
        <v>0.88831478537360886</v>
      </c>
      <c r="F12" s="20">
        <v>7548</v>
      </c>
      <c r="G12" s="20">
        <f t="shared" si="3"/>
        <v>843</v>
      </c>
      <c r="H12" s="20">
        <v>6705</v>
      </c>
      <c r="I12" s="20">
        <v>5176</v>
      </c>
      <c r="J12" s="20">
        <f t="shared" si="4"/>
        <v>1529</v>
      </c>
      <c r="K12" s="20"/>
      <c r="L12" s="5"/>
      <c r="M12" s="62"/>
      <c r="N12" s="63"/>
      <c r="O12" s="30"/>
      <c r="P12" s="30"/>
      <c r="Q12" s="30"/>
      <c r="R12" s="20"/>
      <c r="S12" s="20"/>
      <c r="T12" s="20"/>
      <c r="U12" s="20"/>
      <c r="V12" s="20"/>
      <c r="W12" s="20"/>
      <c r="X12" s="5"/>
      <c r="Y12" s="62"/>
      <c r="Z12" s="63"/>
      <c r="AA12" s="30"/>
      <c r="AB12" s="30"/>
      <c r="AC12" s="30"/>
      <c r="AD12" s="20"/>
      <c r="AE12" s="20"/>
      <c r="AF12" s="20"/>
      <c r="AG12" s="20"/>
      <c r="AH12" s="20"/>
      <c r="AI12" s="20"/>
      <c r="AJ12" s="5"/>
      <c r="AK12" s="62"/>
      <c r="AL12" s="63"/>
      <c r="AM12" s="30"/>
      <c r="AN12" s="30"/>
      <c r="AO12" s="30"/>
      <c r="AP12" s="20"/>
      <c r="AQ12" s="20"/>
      <c r="AR12" s="20"/>
      <c r="AS12" s="20"/>
      <c r="AT12" s="20"/>
      <c r="AU12" s="29"/>
    </row>
    <row r="13" spans="1:47" s="3" customFormat="1" ht="12.75">
      <c r="A13" s="64">
        <v>1993</v>
      </c>
      <c r="B13" s="65" t="s">
        <v>45</v>
      </c>
      <c r="C13" s="35">
        <f t="shared" si="8"/>
        <v>0.71974778642339687</v>
      </c>
      <c r="D13" s="35">
        <f t="shared" si="9"/>
        <v>0.79540400296515934</v>
      </c>
      <c r="E13" s="35">
        <f t="shared" si="10"/>
        <v>0.90488328414274211</v>
      </c>
      <c r="F13" s="20">
        <v>7454</v>
      </c>
      <c r="G13" s="20">
        <f t="shared" si="3"/>
        <v>709</v>
      </c>
      <c r="H13" s="20">
        <v>6745</v>
      </c>
      <c r="I13" s="20">
        <v>5365</v>
      </c>
      <c r="J13" s="20">
        <f t="shared" si="4"/>
        <v>1380</v>
      </c>
      <c r="K13" s="20"/>
      <c r="L13" s="5"/>
      <c r="M13" s="64"/>
      <c r="N13" s="65"/>
      <c r="O13" s="30"/>
      <c r="P13" s="30"/>
      <c r="Q13" s="30"/>
      <c r="R13" s="20"/>
      <c r="S13" s="20"/>
      <c r="T13" s="20"/>
      <c r="U13" s="20"/>
      <c r="V13" s="20"/>
      <c r="W13" s="20"/>
      <c r="X13" s="5"/>
      <c r="Y13" s="64"/>
      <c r="Z13" s="65"/>
      <c r="AA13" s="30"/>
      <c r="AB13" s="30"/>
      <c r="AC13" s="30"/>
      <c r="AD13" s="20"/>
      <c r="AE13" s="20"/>
      <c r="AF13" s="20"/>
      <c r="AG13" s="20"/>
      <c r="AH13" s="20"/>
      <c r="AI13" s="20"/>
      <c r="AJ13" s="5"/>
      <c r="AK13" s="64"/>
      <c r="AL13" s="65"/>
      <c r="AM13" s="30"/>
      <c r="AN13" s="30"/>
      <c r="AO13" s="30"/>
      <c r="AP13" s="20"/>
      <c r="AQ13" s="20"/>
      <c r="AR13" s="20"/>
      <c r="AS13" s="20"/>
      <c r="AT13" s="20"/>
      <c r="AU13" s="29"/>
    </row>
    <row r="14" spans="1:47" s="3" customFormat="1" ht="12.75">
      <c r="A14" s="62">
        <v>1993</v>
      </c>
      <c r="B14" s="63" t="s">
        <v>46</v>
      </c>
      <c r="C14" s="35">
        <f t="shared" si="8"/>
        <v>0.78824952944339877</v>
      </c>
      <c r="D14" s="35">
        <f t="shared" si="9"/>
        <v>0.8561623831775701</v>
      </c>
      <c r="E14" s="35">
        <f t="shared" si="10"/>
        <v>0.92067760150578115</v>
      </c>
      <c r="F14" s="20">
        <v>7438</v>
      </c>
      <c r="G14" s="20">
        <f t="shared" si="3"/>
        <v>590</v>
      </c>
      <c r="H14" s="20">
        <v>6848</v>
      </c>
      <c r="I14" s="20">
        <v>5863</v>
      </c>
      <c r="J14" s="20">
        <f t="shared" si="4"/>
        <v>985</v>
      </c>
      <c r="K14" s="20"/>
      <c r="L14" s="5"/>
      <c r="M14" s="62"/>
      <c r="N14" s="63"/>
      <c r="O14" s="30"/>
      <c r="P14" s="30"/>
      <c r="Q14" s="30"/>
      <c r="R14" s="20"/>
      <c r="S14" s="20"/>
      <c r="T14" s="20"/>
      <c r="U14" s="20"/>
      <c r="V14" s="20"/>
      <c r="W14" s="20"/>
      <c r="X14" s="5"/>
      <c r="Y14" s="62"/>
      <c r="Z14" s="63"/>
      <c r="AA14" s="30"/>
      <c r="AB14" s="30"/>
      <c r="AC14" s="30"/>
      <c r="AD14" s="20"/>
      <c r="AE14" s="20"/>
      <c r="AF14" s="20"/>
      <c r="AG14" s="20"/>
      <c r="AH14" s="20"/>
      <c r="AI14" s="20"/>
      <c r="AJ14" s="5"/>
      <c r="AK14" s="62"/>
      <c r="AL14" s="63"/>
      <c r="AM14" s="30"/>
      <c r="AN14" s="30"/>
      <c r="AO14" s="30"/>
      <c r="AP14" s="20"/>
      <c r="AQ14" s="20"/>
      <c r="AR14" s="20"/>
      <c r="AS14" s="20"/>
      <c r="AT14" s="20"/>
      <c r="AU14" s="29"/>
    </row>
    <row r="15" spans="1:47" s="3" customFormat="1" ht="12.75">
      <c r="A15" s="64">
        <v>1993</v>
      </c>
      <c r="B15" s="65" t="s">
        <v>47</v>
      </c>
      <c r="C15" s="35">
        <f t="shared" si="8"/>
        <v>0.81461507347984363</v>
      </c>
      <c r="D15" s="35">
        <f t="shared" si="9"/>
        <v>0.85909284800227503</v>
      </c>
      <c r="E15" s="35">
        <f t="shared" si="10"/>
        <v>0.94822704597546181</v>
      </c>
      <c r="F15" s="20">
        <v>7417</v>
      </c>
      <c r="G15" s="20">
        <f t="shared" si="3"/>
        <v>384</v>
      </c>
      <c r="H15" s="20">
        <v>7033</v>
      </c>
      <c r="I15" s="20">
        <v>6042</v>
      </c>
      <c r="J15" s="20">
        <f t="shared" si="4"/>
        <v>991</v>
      </c>
      <c r="K15" s="20"/>
      <c r="L15" s="5"/>
      <c r="M15" s="64"/>
      <c r="N15" s="65"/>
      <c r="O15" s="30"/>
      <c r="P15" s="30"/>
      <c r="Q15" s="30"/>
      <c r="R15" s="20"/>
      <c r="S15" s="20"/>
      <c r="T15" s="20"/>
      <c r="U15" s="20"/>
      <c r="V15" s="20"/>
      <c r="W15" s="20"/>
      <c r="X15" s="5"/>
      <c r="Y15" s="64"/>
      <c r="Z15" s="65"/>
      <c r="AA15" s="30"/>
      <c r="AB15" s="30"/>
      <c r="AC15" s="30"/>
      <c r="AD15" s="20"/>
      <c r="AE15" s="20"/>
      <c r="AF15" s="20"/>
      <c r="AG15" s="20"/>
      <c r="AH15" s="20"/>
      <c r="AI15" s="20"/>
      <c r="AJ15" s="5"/>
      <c r="AK15" s="64"/>
      <c r="AL15" s="65"/>
      <c r="AM15" s="30"/>
      <c r="AN15" s="30"/>
      <c r="AO15" s="30"/>
      <c r="AP15" s="20"/>
      <c r="AQ15" s="20"/>
      <c r="AR15" s="20"/>
      <c r="AS15" s="20"/>
      <c r="AT15" s="20"/>
      <c r="AU15" s="29"/>
    </row>
    <row r="16" spans="1:47" s="3" customFormat="1" ht="12.75">
      <c r="A16" s="62">
        <v>1993</v>
      </c>
      <c r="B16" s="63" t="s">
        <v>48</v>
      </c>
      <c r="C16" s="35">
        <f t="shared" si="8"/>
        <v>0.76741996233521659</v>
      </c>
      <c r="D16" s="35">
        <f t="shared" si="9"/>
        <v>0.84959046909903202</v>
      </c>
      <c r="E16" s="35">
        <f t="shared" si="10"/>
        <v>0.90328221684153887</v>
      </c>
      <c r="F16" s="20">
        <v>7434</v>
      </c>
      <c r="G16" s="20">
        <f t="shared" si="3"/>
        <v>719</v>
      </c>
      <c r="H16" s="20">
        <v>6715</v>
      </c>
      <c r="I16" s="20">
        <v>5705</v>
      </c>
      <c r="J16" s="20">
        <f t="shared" si="4"/>
        <v>1010</v>
      </c>
      <c r="K16" s="20"/>
      <c r="L16" s="5"/>
      <c r="M16" s="62"/>
      <c r="N16" s="63"/>
      <c r="O16" s="30"/>
      <c r="P16" s="30"/>
      <c r="Q16" s="30"/>
      <c r="R16" s="20"/>
      <c r="S16" s="20"/>
      <c r="T16" s="20"/>
      <c r="U16" s="20"/>
      <c r="V16" s="20"/>
      <c r="W16" s="20"/>
      <c r="X16" s="5"/>
      <c r="Y16" s="62"/>
      <c r="Z16" s="63"/>
      <c r="AA16" s="30"/>
      <c r="AB16" s="30"/>
      <c r="AC16" s="30"/>
      <c r="AD16" s="20"/>
      <c r="AE16" s="20"/>
      <c r="AF16" s="20"/>
      <c r="AG16" s="20"/>
      <c r="AH16" s="20"/>
      <c r="AI16" s="20"/>
      <c r="AJ16" s="5"/>
      <c r="AK16" s="62"/>
      <c r="AL16" s="63"/>
      <c r="AM16" s="30"/>
      <c r="AN16" s="30"/>
      <c r="AO16" s="30"/>
      <c r="AP16" s="20"/>
      <c r="AQ16" s="20"/>
      <c r="AR16" s="20"/>
      <c r="AS16" s="20"/>
      <c r="AT16" s="20"/>
      <c r="AU16" s="29"/>
    </row>
    <row r="17" spans="1:47" s="3" customFormat="1" ht="12.75">
      <c r="A17" s="64">
        <v>1993</v>
      </c>
      <c r="B17" s="65" t="s">
        <v>49</v>
      </c>
      <c r="C17" s="35">
        <f t="shared" si="8"/>
        <v>0.65417981072555209</v>
      </c>
      <c r="D17" s="35">
        <f t="shared" si="9"/>
        <v>0.80326016785022591</v>
      </c>
      <c r="E17" s="35">
        <f t="shared" si="10"/>
        <v>0.8144058885383807</v>
      </c>
      <c r="F17" s="20">
        <v>7608</v>
      </c>
      <c r="G17" s="20">
        <f t="shared" si="3"/>
        <v>1412</v>
      </c>
      <c r="H17" s="20">
        <v>6196</v>
      </c>
      <c r="I17" s="20">
        <v>4977</v>
      </c>
      <c r="J17" s="20">
        <f t="shared" si="4"/>
        <v>1219</v>
      </c>
      <c r="K17" s="20"/>
      <c r="L17" s="5"/>
      <c r="M17" s="64"/>
      <c r="N17" s="65"/>
      <c r="O17" s="30"/>
      <c r="P17" s="30"/>
      <c r="Q17" s="30"/>
      <c r="R17" s="20"/>
      <c r="S17" s="20"/>
      <c r="T17" s="20"/>
      <c r="U17" s="20"/>
      <c r="V17" s="20"/>
      <c r="W17" s="20"/>
      <c r="X17" s="5"/>
      <c r="Y17" s="64"/>
      <c r="Z17" s="65"/>
      <c r="AA17" s="30"/>
      <c r="AB17" s="30"/>
      <c r="AC17" s="30"/>
      <c r="AD17" s="20"/>
      <c r="AE17" s="20"/>
      <c r="AF17" s="20"/>
      <c r="AG17" s="20"/>
      <c r="AH17" s="20"/>
      <c r="AI17" s="20"/>
      <c r="AJ17" s="5"/>
      <c r="AK17" s="64"/>
      <c r="AL17" s="65"/>
      <c r="AM17" s="30"/>
      <c r="AN17" s="30"/>
      <c r="AO17" s="30"/>
      <c r="AP17" s="20"/>
      <c r="AQ17" s="20"/>
      <c r="AR17" s="20"/>
      <c r="AS17" s="20"/>
      <c r="AT17" s="20"/>
      <c r="AU17" s="29"/>
    </row>
    <row r="18" spans="1:47" s="3" customFormat="1" ht="12.75">
      <c r="A18" s="62">
        <v>1994</v>
      </c>
      <c r="B18" s="63" t="s">
        <v>38</v>
      </c>
      <c r="C18" s="35">
        <f t="shared" si="8"/>
        <v>0.73781715666532421</v>
      </c>
      <c r="D18" s="35">
        <f t="shared" si="9"/>
        <v>0.85301878007139531</v>
      </c>
      <c r="E18" s="35">
        <f t="shared" si="10"/>
        <v>0.8649483152100953</v>
      </c>
      <c r="F18" s="20">
        <v>7449</v>
      </c>
      <c r="G18" s="20">
        <f t="shared" si="3"/>
        <v>1006</v>
      </c>
      <c r="H18" s="20">
        <v>6443</v>
      </c>
      <c r="I18" s="20">
        <v>5496</v>
      </c>
      <c r="J18" s="20">
        <f t="shared" si="4"/>
        <v>947</v>
      </c>
      <c r="K18" s="20"/>
      <c r="L18" s="5"/>
      <c r="M18" s="62"/>
      <c r="N18" s="63"/>
      <c r="O18" s="30"/>
      <c r="P18" s="30"/>
      <c r="Q18" s="30"/>
      <c r="R18" s="20"/>
      <c r="S18" s="20"/>
      <c r="T18" s="20"/>
      <c r="U18" s="20"/>
      <c r="V18" s="20"/>
      <c r="W18" s="20"/>
      <c r="X18" s="5"/>
      <c r="Y18" s="62"/>
      <c r="Z18" s="63"/>
      <c r="AA18" s="30"/>
      <c r="AB18" s="30"/>
      <c r="AC18" s="30"/>
      <c r="AD18" s="20"/>
      <c r="AE18" s="20"/>
      <c r="AF18" s="20"/>
      <c r="AG18" s="20"/>
      <c r="AH18" s="20"/>
      <c r="AI18" s="20"/>
      <c r="AJ18" s="5"/>
      <c r="AK18" s="62"/>
      <c r="AL18" s="63"/>
      <c r="AM18" s="30"/>
      <c r="AN18" s="30"/>
      <c r="AO18" s="30"/>
      <c r="AP18" s="20"/>
      <c r="AQ18" s="20"/>
      <c r="AR18" s="20"/>
      <c r="AS18" s="20"/>
      <c r="AT18" s="20"/>
      <c r="AU18" s="29"/>
    </row>
    <row r="19" spans="1:47" s="3" customFormat="1" ht="12.75">
      <c r="A19" s="64">
        <v>1994</v>
      </c>
      <c r="B19" s="65" t="s">
        <v>39</v>
      </c>
      <c r="C19" s="35">
        <f t="shared" si="8"/>
        <v>0.75377248984329659</v>
      </c>
      <c r="D19" s="35">
        <f t="shared" si="9"/>
        <v>0.83885031487162931</v>
      </c>
      <c r="E19" s="35">
        <f t="shared" si="10"/>
        <v>0.8985780615206036</v>
      </c>
      <c r="F19" s="20">
        <v>6892</v>
      </c>
      <c r="G19" s="20">
        <f t="shared" si="3"/>
        <v>699</v>
      </c>
      <c r="H19" s="20">
        <v>6193</v>
      </c>
      <c r="I19" s="20">
        <v>5195</v>
      </c>
      <c r="J19" s="20">
        <f t="shared" si="4"/>
        <v>998</v>
      </c>
      <c r="K19" s="20"/>
      <c r="L19" s="5"/>
      <c r="M19" s="64"/>
      <c r="N19" s="65"/>
      <c r="O19" s="30"/>
      <c r="P19" s="30"/>
      <c r="Q19" s="30"/>
      <c r="R19" s="20"/>
      <c r="S19" s="20"/>
      <c r="T19" s="20"/>
      <c r="U19" s="20"/>
      <c r="V19" s="20"/>
      <c r="W19" s="20"/>
      <c r="X19" s="5"/>
      <c r="Y19" s="64"/>
      <c r="Z19" s="65"/>
      <c r="AA19" s="30"/>
      <c r="AB19" s="30"/>
      <c r="AC19" s="30"/>
      <c r="AD19" s="20"/>
      <c r="AE19" s="20"/>
      <c r="AF19" s="20"/>
      <c r="AG19" s="20"/>
      <c r="AH19" s="20"/>
      <c r="AI19" s="20"/>
      <c r="AJ19" s="5"/>
      <c r="AK19" s="64"/>
      <c r="AL19" s="65"/>
      <c r="AM19" s="30"/>
      <c r="AN19" s="30"/>
      <c r="AO19" s="30"/>
      <c r="AP19" s="20"/>
      <c r="AQ19" s="20"/>
      <c r="AR19" s="20"/>
      <c r="AS19" s="20"/>
      <c r="AT19" s="20"/>
      <c r="AU19" s="29"/>
    </row>
    <row r="20" spans="1:47" s="3" customFormat="1" ht="12.75">
      <c r="A20" s="62">
        <v>1994</v>
      </c>
      <c r="B20" s="63" t="s">
        <v>40</v>
      </c>
      <c r="C20" s="35">
        <f t="shared" si="8"/>
        <v>0.52214573321210545</v>
      </c>
      <c r="D20" s="35">
        <f t="shared" si="9"/>
        <v>0.62792877225866917</v>
      </c>
      <c r="E20" s="35">
        <f t="shared" si="10"/>
        <v>0.83153656319002467</v>
      </c>
      <c r="F20" s="20">
        <v>7699</v>
      </c>
      <c r="G20" s="20">
        <f t="shared" si="3"/>
        <v>1297</v>
      </c>
      <c r="H20" s="20">
        <v>6402</v>
      </c>
      <c r="I20" s="20">
        <v>4020</v>
      </c>
      <c r="J20" s="20">
        <f t="shared" si="4"/>
        <v>2382</v>
      </c>
      <c r="K20" s="20"/>
      <c r="L20" s="5"/>
      <c r="M20" s="62"/>
      <c r="N20" s="63"/>
      <c r="O20" s="30"/>
      <c r="P20" s="30"/>
      <c r="Q20" s="30"/>
      <c r="R20" s="20"/>
      <c r="S20" s="20"/>
      <c r="T20" s="20"/>
      <c r="U20" s="20"/>
      <c r="V20" s="20"/>
      <c r="W20" s="20"/>
      <c r="X20" s="5"/>
      <c r="Y20" s="62"/>
      <c r="Z20" s="63"/>
      <c r="AA20" s="30"/>
      <c r="AB20" s="30"/>
      <c r="AC20" s="30"/>
      <c r="AD20" s="20"/>
      <c r="AE20" s="20"/>
      <c r="AF20" s="20"/>
      <c r="AG20" s="20"/>
      <c r="AH20" s="20"/>
      <c r="AI20" s="20"/>
      <c r="AJ20" s="5"/>
      <c r="AK20" s="62"/>
      <c r="AL20" s="63"/>
      <c r="AM20" s="30"/>
      <c r="AN20" s="30"/>
      <c r="AO20" s="30"/>
      <c r="AP20" s="20"/>
      <c r="AQ20" s="20"/>
      <c r="AR20" s="20"/>
      <c r="AS20" s="20"/>
      <c r="AT20" s="20"/>
      <c r="AU20" s="29"/>
    </row>
    <row r="21" spans="1:47" s="3" customFormat="1" ht="12.75">
      <c r="A21" s="64">
        <v>1994</v>
      </c>
      <c r="B21" s="65" t="s">
        <v>41</v>
      </c>
      <c r="C21" s="35">
        <f t="shared" si="8"/>
        <v>0.49174690508940855</v>
      </c>
      <c r="D21" s="35">
        <f t="shared" si="9"/>
        <v>0.62951223807008272</v>
      </c>
      <c r="E21" s="35">
        <f t="shared" si="10"/>
        <v>0.78115543328748283</v>
      </c>
      <c r="F21" s="20">
        <v>7270</v>
      </c>
      <c r="G21" s="20">
        <f t="shared" si="3"/>
        <v>1591</v>
      </c>
      <c r="H21" s="20">
        <v>5679</v>
      </c>
      <c r="I21" s="20">
        <v>3575</v>
      </c>
      <c r="J21" s="20">
        <f t="shared" si="4"/>
        <v>2104</v>
      </c>
      <c r="K21" s="20"/>
      <c r="L21" s="5"/>
      <c r="M21" s="64"/>
      <c r="N21" s="65"/>
      <c r="O21" s="30"/>
      <c r="P21" s="30"/>
      <c r="Q21" s="30"/>
      <c r="R21" s="20"/>
      <c r="S21" s="20"/>
      <c r="T21" s="20"/>
      <c r="U21" s="20"/>
      <c r="V21" s="20"/>
      <c r="W21" s="20"/>
      <c r="X21" s="5"/>
      <c r="Y21" s="64"/>
      <c r="Z21" s="65"/>
      <c r="AA21" s="30"/>
      <c r="AB21" s="30"/>
      <c r="AC21" s="30"/>
      <c r="AD21" s="20"/>
      <c r="AE21" s="20"/>
      <c r="AF21" s="20"/>
      <c r="AG21" s="20"/>
      <c r="AH21" s="20"/>
      <c r="AI21" s="20"/>
      <c r="AJ21" s="5"/>
      <c r="AK21" s="64"/>
      <c r="AL21" s="65"/>
      <c r="AM21" s="30"/>
      <c r="AN21" s="30"/>
      <c r="AO21" s="30"/>
      <c r="AP21" s="20"/>
      <c r="AQ21" s="20"/>
      <c r="AR21" s="20"/>
      <c r="AS21" s="20"/>
      <c r="AT21" s="20"/>
      <c r="AU21" s="29"/>
    </row>
    <row r="22" spans="1:47" s="3" customFormat="1" ht="12.75">
      <c r="A22" s="62">
        <v>1994</v>
      </c>
      <c r="B22" s="63" t="s">
        <v>42</v>
      </c>
      <c r="C22" s="35">
        <f t="shared" si="8"/>
        <v>0.47414372061786436</v>
      </c>
      <c r="D22" s="35">
        <f t="shared" si="9"/>
        <v>0.6089356563739865</v>
      </c>
      <c r="E22" s="35">
        <f t="shared" si="10"/>
        <v>0.77864338482202822</v>
      </c>
      <c r="F22" s="20">
        <v>7445</v>
      </c>
      <c r="G22" s="20">
        <f t="shared" si="3"/>
        <v>1648</v>
      </c>
      <c r="H22" s="20">
        <v>5797</v>
      </c>
      <c r="I22" s="20">
        <v>3530</v>
      </c>
      <c r="J22" s="20">
        <f t="shared" si="4"/>
        <v>2267</v>
      </c>
      <c r="K22" s="20"/>
      <c r="L22" s="5"/>
      <c r="M22" s="62"/>
      <c r="N22" s="63"/>
      <c r="O22" s="30"/>
      <c r="P22" s="30"/>
      <c r="Q22" s="30"/>
      <c r="R22" s="20"/>
      <c r="S22" s="20"/>
      <c r="T22" s="20"/>
      <c r="U22" s="20"/>
      <c r="V22" s="20"/>
      <c r="W22" s="20"/>
      <c r="X22" s="5"/>
      <c r="Y22" s="62"/>
      <c r="Z22" s="63"/>
      <c r="AA22" s="30"/>
      <c r="AB22" s="30"/>
      <c r="AC22" s="30"/>
      <c r="AD22" s="20"/>
      <c r="AE22" s="20"/>
      <c r="AF22" s="20"/>
      <c r="AG22" s="20"/>
      <c r="AH22" s="20"/>
      <c r="AI22" s="20"/>
      <c r="AJ22" s="5"/>
      <c r="AK22" s="62"/>
      <c r="AL22" s="63"/>
      <c r="AM22" s="30"/>
      <c r="AN22" s="30"/>
      <c r="AO22" s="30"/>
      <c r="AP22" s="20"/>
      <c r="AQ22" s="20"/>
      <c r="AR22" s="20"/>
      <c r="AS22" s="20"/>
      <c r="AT22" s="20"/>
      <c r="AU22" s="29"/>
    </row>
    <row r="23" spans="1:47" s="3" customFormat="1" ht="12.75">
      <c r="A23" s="64">
        <v>1994</v>
      </c>
      <c r="B23" s="65" t="s">
        <v>43</v>
      </c>
      <c r="C23" s="35">
        <f t="shared" si="8"/>
        <v>0.66945373467112601</v>
      </c>
      <c r="D23" s="35">
        <f t="shared" si="9"/>
        <v>0.78075735413619374</v>
      </c>
      <c r="E23" s="35">
        <f t="shared" si="10"/>
        <v>0.85744147157190631</v>
      </c>
      <c r="F23" s="20">
        <v>7176</v>
      </c>
      <c r="G23" s="20">
        <f t="shared" si="3"/>
        <v>1023</v>
      </c>
      <c r="H23" s="20">
        <v>6153</v>
      </c>
      <c r="I23" s="20">
        <v>4804</v>
      </c>
      <c r="J23" s="20">
        <f t="shared" si="4"/>
        <v>1349</v>
      </c>
      <c r="K23" s="20"/>
      <c r="L23" s="5"/>
      <c r="M23" s="64"/>
      <c r="N23" s="65"/>
      <c r="O23" s="30"/>
      <c r="P23" s="30"/>
      <c r="Q23" s="30"/>
      <c r="R23" s="20"/>
      <c r="S23" s="20"/>
      <c r="T23" s="20"/>
      <c r="U23" s="20"/>
      <c r="V23" s="20"/>
      <c r="W23" s="20"/>
      <c r="X23" s="5"/>
      <c r="Y23" s="64"/>
      <c r="Z23" s="65"/>
      <c r="AA23" s="30"/>
      <c r="AB23" s="30"/>
      <c r="AC23" s="30"/>
      <c r="AD23" s="20"/>
      <c r="AE23" s="20"/>
      <c r="AF23" s="20"/>
      <c r="AG23" s="20"/>
      <c r="AH23" s="20"/>
      <c r="AI23" s="20"/>
      <c r="AJ23" s="5"/>
      <c r="AK23" s="64"/>
      <c r="AL23" s="65"/>
      <c r="AM23" s="30"/>
      <c r="AN23" s="30"/>
      <c r="AO23" s="30"/>
      <c r="AP23" s="20"/>
      <c r="AQ23" s="20"/>
      <c r="AR23" s="20"/>
      <c r="AS23" s="20"/>
      <c r="AT23" s="20"/>
      <c r="AU23" s="29"/>
    </row>
    <row r="24" spans="1:47" s="3" customFormat="1" ht="12.75">
      <c r="A24" s="62">
        <v>1994</v>
      </c>
      <c r="B24" s="63" t="s">
        <v>44</v>
      </c>
      <c r="C24" s="35">
        <f t="shared" si="8"/>
        <v>0.70785762256548024</v>
      </c>
      <c r="D24" s="35">
        <f t="shared" si="9"/>
        <v>0.81629491945477073</v>
      </c>
      <c r="E24" s="35">
        <f t="shared" si="10"/>
        <v>0.86715916722632636</v>
      </c>
      <c r="F24" s="20">
        <v>7445</v>
      </c>
      <c r="G24" s="20">
        <f t="shared" si="3"/>
        <v>989</v>
      </c>
      <c r="H24" s="20">
        <v>6456</v>
      </c>
      <c r="I24" s="20">
        <v>5270</v>
      </c>
      <c r="J24" s="20">
        <f t="shared" si="4"/>
        <v>1186</v>
      </c>
      <c r="K24" s="20"/>
      <c r="L24" s="5"/>
      <c r="M24" s="62"/>
      <c r="N24" s="63"/>
      <c r="O24" s="30"/>
      <c r="P24" s="30"/>
      <c r="Q24" s="30"/>
      <c r="R24" s="20"/>
      <c r="S24" s="20"/>
      <c r="T24" s="20"/>
      <c r="U24" s="20"/>
      <c r="V24" s="20"/>
      <c r="W24" s="20"/>
      <c r="X24" s="5"/>
      <c r="Y24" s="62"/>
      <c r="Z24" s="63"/>
      <c r="AA24" s="30"/>
      <c r="AB24" s="30"/>
      <c r="AC24" s="30"/>
      <c r="AD24" s="20"/>
      <c r="AE24" s="20"/>
      <c r="AF24" s="20"/>
      <c r="AG24" s="20"/>
      <c r="AH24" s="20"/>
      <c r="AI24" s="20"/>
      <c r="AJ24" s="5"/>
      <c r="AK24" s="62"/>
      <c r="AL24" s="63"/>
      <c r="AM24" s="30"/>
      <c r="AN24" s="30"/>
      <c r="AO24" s="30"/>
      <c r="AP24" s="20"/>
      <c r="AQ24" s="20"/>
      <c r="AR24" s="20"/>
      <c r="AS24" s="20"/>
      <c r="AT24" s="20"/>
      <c r="AU24" s="29"/>
    </row>
    <row r="25" spans="1:47" s="3" customFormat="1" ht="12.75">
      <c r="A25" s="64">
        <v>1994</v>
      </c>
      <c r="B25" s="65" t="s">
        <v>45</v>
      </c>
      <c r="C25" s="35">
        <f t="shared" si="8"/>
        <v>0.69572107765451663</v>
      </c>
      <c r="D25" s="35">
        <f t="shared" si="9"/>
        <v>0.79794001817631022</v>
      </c>
      <c r="E25" s="35">
        <f t="shared" si="10"/>
        <v>0.87189646064447968</v>
      </c>
      <c r="F25" s="20">
        <v>7572</v>
      </c>
      <c r="G25" s="20">
        <f t="shared" si="3"/>
        <v>970</v>
      </c>
      <c r="H25" s="20">
        <v>6602</v>
      </c>
      <c r="I25" s="20">
        <v>5268</v>
      </c>
      <c r="J25" s="20">
        <f t="shared" si="4"/>
        <v>1334</v>
      </c>
      <c r="K25" s="20"/>
      <c r="L25" s="5"/>
      <c r="M25" s="64"/>
      <c r="N25" s="65"/>
      <c r="O25" s="30"/>
      <c r="P25" s="30"/>
      <c r="Q25" s="30"/>
      <c r="R25" s="20"/>
      <c r="S25" s="20"/>
      <c r="T25" s="20"/>
      <c r="U25" s="20"/>
      <c r="V25" s="20"/>
      <c r="W25" s="20"/>
      <c r="X25" s="5"/>
      <c r="Y25" s="64"/>
      <c r="Z25" s="65"/>
      <c r="AA25" s="30"/>
      <c r="AB25" s="30"/>
      <c r="AC25" s="30"/>
      <c r="AD25" s="20"/>
      <c r="AE25" s="20"/>
      <c r="AF25" s="20"/>
      <c r="AG25" s="20"/>
      <c r="AH25" s="20"/>
      <c r="AI25" s="20"/>
      <c r="AJ25" s="5"/>
      <c r="AK25" s="64"/>
      <c r="AL25" s="65"/>
      <c r="AM25" s="30"/>
      <c r="AN25" s="30"/>
      <c r="AO25" s="30"/>
      <c r="AP25" s="20"/>
      <c r="AQ25" s="20"/>
      <c r="AR25" s="20"/>
      <c r="AS25" s="20"/>
      <c r="AT25" s="20"/>
      <c r="AU25" s="29"/>
    </row>
    <row r="26" spans="1:47" s="3" customFormat="1" ht="12.75">
      <c r="A26" s="62">
        <v>1994</v>
      </c>
      <c r="B26" s="63" t="s">
        <v>46</v>
      </c>
      <c r="C26" s="35">
        <f t="shared" si="8"/>
        <v>0.73135935397039031</v>
      </c>
      <c r="D26" s="35">
        <f t="shared" si="9"/>
        <v>0.84707716289945445</v>
      </c>
      <c r="E26" s="35">
        <f t="shared" si="10"/>
        <v>0.86339165545087482</v>
      </c>
      <c r="F26" s="20">
        <v>7430</v>
      </c>
      <c r="G26" s="20">
        <f t="shared" si="3"/>
        <v>1015</v>
      </c>
      <c r="H26" s="20">
        <v>6415</v>
      </c>
      <c r="I26" s="20">
        <v>5434</v>
      </c>
      <c r="J26" s="20">
        <f t="shared" si="4"/>
        <v>981</v>
      </c>
      <c r="K26" s="20"/>
      <c r="L26" s="5"/>
      <c r="M26" s="62"/>
      <c r="N26" s="63"/>
      <c r="O26" s="30"/>
      <c r="P26" s="30"/>
      <c r="Q26" s="30"/>
      <c r="R26" s="20"/>
      <c r="S26" s="20"/>
      <c r="T26" s="20"/>
      <c r="U26" s="20"/>
      <c r="V26" s="20"/>
      <c r="W26" s="20"/>
      <c r="X26" s="5"/>
      <c r="Y26" s="62"/>
      <c r="Z26" s="63"/>
      <c r="AA26" s="30"/>
      <c r="AB26" s="30"/>
      <c r="AC26" s="30"/>
      <c r="AD26" s="20"/>
      <c r="AE26" s="20"/>
      <c r="AF26" s="20"/>
      <c r="AG26" s="20"/>
      <c r="AH26" s="20"/>
      <c r="AI26" s="20"/>
      <c r="AJ26" s="5"/>
      <c r="AK26" s="62"/>
      <c r="AL26" s="63"/>
      <c r="AM26" s="30"/>
      <c r="AN26" s="30"/>
      <c r="AO26" s="30"/>
      <c r="AP26" s="20"/>
      <c r="AQ26" s="20"/>
      <c r="AR26" s="20"/>
      <c r="AS26" s="20"/>
      <c r="AT26" s="20"/>
      <c r="AU26" s="29"/>
    </row>
    <row r="27" spans="1:47" s="3" customFormat="1" ht="12.75">
      <c r="A27" s="64">
        <v>1994</v>
      </c>
      <c r="B27" s="65" t="s">
        <v>47</v>
      </c>
      <c r="C27" s="35">
        <f t="shared" si="8"/>
        <v>0.71073934160820296</v>
      </c>
      <c r="D27" s="35">
        <f t="shared" si="9"/>
        <v>0.83938814531548755</v>
      </c>
      <c r="E27" s="35">
        <f t="shared" si="10"/>
        <v>0.84673502428494329</v>
      </c>
      <c r="F27" s="20">
        <v>7412</v>
      </c>
      <c r="G27" s="20">
        <f t="shared" si="3"/>
        <v>1136</v>
      </c>
      <c r="H27" s="20">
        <v>6276</v>
      </c>
      <c r="I27" s="20">
        <v>5268</v>
      </c>
      <c r="J27" s="20">
        <f t="shared" si="4"/>
        <v>1008</v>
      </c>
      <c r="K27" s="20"/>
      <c r="L27" s="5"/>
      <c r="M27" s="64"/>
      <c r="N27" s="65"/>
      <c r="O27" s="30"/>
      <c r="P27" s="30"/>
      <c r="Q27" s="30"/>
      <c r="R27" s="20"/>
      <c r="S27" s="20"/>
      <c r="T27" s="20"/>
      <c r="U27" s="20"/>
      <c r="V27" s="20"/>
      <c r="W27" s="20"/>
      <c r="X27" s="5"/>
      <c r="Y27" s="64"/>
      <c r="Z27" s="65"/>
      <c r="AA27" s="30"/>
      <c r="AB27" s="30"/>
      <c r="AC27" s="30"/>
      <c r="AD27" s="20"/>
      <c r="AE27" s="20"/>
      <c r="AF27" s="20"/>
      <c r="AG27" s="20"/>
      <c r="AH27" s="20"/>
      <c r="AI27" s="20"/>
      <c r="AJ27" s="5"/>
      <c r="AK27" s="64"/>
      <c r="AL27" s="65"/>
      <c r="AM27" s="30"/>
      <c r="AN27" s="30"/>
      <c r="AO27" s="30"/>
      <c r="AP27" s="20"/>
      <c r="AQ27" s="20"/>
      <c r="AR27" s="20"/>
      <c r="AS27" s="20"/>
      <c r="AT27" s="20"/>
      <c r="AU27" s="29"/>
    </row>
    <row r="28" spans="1:47" s="3" customFormat="1" ht="12.75">
      <c r="A28" s="62">
        <v>1994</v>
      </c>
      <c r="B28" s="63" t="s">
        <v>48</v>
      </c>
      <c r="C28" s="35">
        <f t="shared" si="8"/>
        <v>0.70201884253028268</v>
      </c>
      <c r="D28" s="35">
        <f t="shared" si="9"/>
        <v>0.81614770771397283</v>
      </c>
      <c r="E28" s="35">
        <f t="shared" si="10"/>
        <v>0.86016150740242259</v>
      </c>
      <c r="F28" s="20">
        <v>7430</v>
      </c>
      <c r="G28" s="20">
        <f t="shared" si="3"/>
        <v>1039</v>
      </c>
      <c r="H28" s="20">
        <v>6391</v>
      </c>
      <c r="I28" s="20">
        <v>5216</v>
      </c>
      <c r="J28" s="20">
        <f t="shared" si="4"/>
        <v>1175</v>
      </c>
      <c r="K28" s="20"/>
      <c r="L28" s="5"/>
      <c r="M28" s="62"/>
      <c r="N28" s="63"/>
      <c r="O28" s="30"/>
      <c r="P28" s="30"/>
      <c r="Q28" s="30"/>
      <c r="R28" s="20"/>
      <c r="S28" s="20"/>
      <c r="T28" s="20"/>
      <c r="U28" s="20"/>
      <c r="V28" s="20"/>
      <c r="W28" s="20"/>
      <c r="X28" s="5"/>
      <c r="Y28" s="62"/>
      <c r="Z28" s="63"/>
      <c r="AA28" s="30"/>
      <c r="AB28" s="30"/>
      <c r="AC28" s="30"/>
      <c r="AD28" s="20"/>
      <c r="AE28" s="20"/>
      <c r="AF28" s="20"/>
      <c r="AG28" s="20"/>
      <c r="AH28" s="20"/>
      <c r="AI28" s="20"/>
      <c r="AJ28" s="5"/>
      <c r="AK28" s="62"/>
      <c r="AL28" s="63"/>
      <c r="AM28" s="30"/>
      <c r="AN28" s="30"/>
      <c r="AO28" s="30"/>
      <c r="AP28" s="20"/>
      <c r="AQ28" s="20"/>
      <c r="AR28" s="20"/>
      <c r="AS28" s="20"/>
      <c r="AT28" s="20"/>
      <c r="AU28" s="29"/>
    </row>
    <row r="29" spans="1:47" s="3" customFormat="1" ht="12.75">
      <c r="A29" s="64">
        <v>1994</v>
      </c>
      <c r="B29" s="65" t="s">
        <v>49</v>
      </c>
      <c r="C29" s="35">
        <f t="shared" si="8"/>
        <v>0.60793008999608711</v>
      </c>
      <c r="D29" s="35">
        <f t="shared" si="9"/>
        <v>0.75579698394681372</v>
      </c>
      <c r="E29" s="35">
        <f t="shared" si="10"/>
        <v>0.80435633233337678</v>
      </c>
      <c r="F29" s="20">
        <v>7667</v>
      </c>
      <c r="G29" s="20">
        <f t="shared" si="3"/>
        <v>1500</v>
      </c>
      <c r="H29" s="20">
        <v>6167</v>
      </c>
      <c r="I29" s="20">
        <v>4661</v>
      </c>
      <c r="J29" s="20">
        <f t="shared" si="4"/>
        <v>1506</v>
      </c>
      <c r="K29" s="20"/>
      <c r="L29" s="5"/>
      <c r="M29" s="64"/>
      <c r="N29" s="65"/>
      <c r="O29" s="30"/>
      <c r="P29" s="30"/>
      <c r="Q29" s="30"/>
      <c r="R29" s="20"/>
      <c r="S29" s="20"/>
      <c r="T29" s="20"/>
      <c r="U29" s="20"/>
      <c r="V29" s="20"/>
      <c r="W29" s="20"/>
      <c r="X29" s="5"/>
      <c r="Y29" s="64"/>
      <c r="Z29" s="65"/>
      <c r="AA29" s="30"/>
      <c r="AB29" s="30"/>
      <c r="AC29" s="30"/>
      <c r="AD29" s="20"/>
      <c r="AE29" s="20"/>
      <c r="AF29" s="20"/>
      <c r="AG29" s="20"/>
      <c r="AH29" s="20"/>
      <c r="AI29" s="20"/>
      <c r="AJ29" s="5"/>
      <c r="AK29" s="64"/>
      <c r="AL29" s="65"/>
      <c r="AM29" s="30"/>
      <c r="AN29" s="30"/>
      <c r="AO29" s="30"/>
      <c r="AP29" s="20"/>
      <c r="AQ29" s="20"/>
      <c r="AR29" s="20"/>
      <c r="AS29" s="20"/>
      <c r="AT29" s="20"/>
      <c r="AU29" s="29"/>
    </row>
    <row r="30" spans="1:47" s="3" customFormat="1" ht="12.75">
      <c r="A30" s="62">
        <v>1995</v>
      </c>
      <c r="B30" s="63" t="s">
        <v>38</v>
      </c>
      <c r="C30" s="35">
        <f t="shared" si="8"/>
        <v>0.67326994189117806</v>
      </c>
      <c r="D30" s="35">
        <f t="shared" si="9"/>
        <v>0.79222999222999224</v>
      </c>
      <c r="E30" s="35">
        <f t="shared" si="10"/>
        <v>0.84984152139461178</v>
      </c>
      <c r="F30" s="20">
        <v>7572</v>
      </c>
      <c r="G30" s="20">
        <f t="shared" si="3"/>
        <v>1137</v>
      </c>
      <c r="H30" s="20">
        <v>6435</v>
      </c>
      <c r="I30" s="20">
        <v>5098</v>
      </c>
      <c r="J30" s="20">
        <f t="shared" si="4"/>
        <v>1337</v>
      </c>
      <c r="K30" s="20"/>
      <c r="L30" s="5"/>
      <c r="M30" s="62"/>
      <c r="N30" s="63"/>
      <c r="O30" s="30"/>
      <c r="P30" s="30"/>
      <c r="Q30" s="30"/>
      <c r="R30" s="20"/>
      <c r="S30" s="20"/>
      <c r="T30" s="20"/>
      <c r="U30" s="20"/>
      <c r="V30" s="20"/>
      <c r="W30" s="20"/>
      <c r="X30" s="5"/>
      <c r="Y30" s="62"/>
      <c r="Z30" s="63"/>
      <c r="AA30" s="30"/>
      <c r="AB30" s="30"/>
      <c r="AC30" s="30"/>
      <c r="AD30" s="20"/>
      <c r="AE30" s="20"/>
      <c r="AF30" s="20"/>
      <c r="AG30" s="20"/>
      <c r="AH30" s="20"/>
      <c r="AI30" s="20"/>
      <c r="AJ30" s="5"/>
      <c r="AK30" s="62"/>
      <c r="AL30" s="63"/>
      <c r="AM30" s="30"/>
      <c r="AN30" s="30"/>
      <c r="AO30" s="30"/>
      <c r="AP30" s="20"/>
      <c r="AQ30" s="20"/>
      <c r="AR30" s="20"/>
      <c r="AS30" s="20"/>
      <c r="AT30" s="20"/>
      <c r="AU30" s="29"/>
    </row>
    <row r="31" spans="1:47" s="3" customFormat="1" ht="12.75">
      <c r="A31" s="64">
        <v>1995</v>
      </c>
      <c r="B31" s="65" t="s">
        <v>39</v>
      </c>
      <c r="C31" s="35">
        <f t="shared" si="8"/>
        <v>0.73708647707486941</v>
      </c>
      <c r="D31" s="35">
        <f t="shared" si="9"/>
        <v>0.84008599305440712</v>
      </c>
      <c r="E31" s="35">
        <f t="shared" si="10"/>
        <v>0.87739408009286124</v>
      </c>
      <c r="F31" s="20">
        <v>6892</v>
      </c>
      <c r="G31" s="20">
        <f t="shared" si="3"/>
        <v>845</v>
      </c>
      <c r="H31" s="20">
        <v>6047</v>
      </c>
      <c r="I31" s="20">
        <v>5080</v>
      </c>
      <c r="J31" s="20">
        <f t="shared" si="4"/>
        <v>967</v>
      </c>
      <c r="K31" s="20"/>
      <c r="L31" s="5"/>
      <c r="M31" s="64"/>
      <c r="N31" s="65"/>
      <c r="O31" s="30"/>
      <c r="P31" s="30"/>
      <c r="Q31" s="30"/>
      <c r="R31" s="20"/>
      <c r="S31" s="20"/>
      <c r="T31" s="20"/>
      <c r="U31" s="20"/>
      <c r="V31" s="20"/>
      <c r="W31" s="20"/>
      <c r="X31" s="5"/>
      <c r="Y31" s="64"/>
      <c r="Z31" s="65"/>
      <c r="AA31" s="30"/>
      <c r="AB31" s="30"/>
      <c r="AC31" s="30"/>
      <c r="AD31" s="20"/>
      <c r="AE31" s="20"/>
      <c r="AF31" s="20"/>
      <c r="AG31" s="20"/>
      <c r="AH31" s="20"/>
      <c r="AI31" s="20"/>
      <c r="AJ31" s="5"/>
      <c r="AK31" s="64"/>
      <c r="AL31" s="65"/>
      <c r="AM31" s="30"/>
      <c r="AN31" s="30"/>
      <c r="AO31" s="30"/>
      <c r="AP31" s="20"/>
      <c r="AQ31" s="20"/>
      <c r="AR31" s="20"/>
      <c r="AS31" s="20"/>
      <c r="AT31" s="20"/>
      <c r="AU31" s="29"/>
    </row>
    <row r="32" spans="1:47" s="3" customFormat="1" ht="12.75">
      <c r="A32" s="62">
        <v>1995</v>
      </c>
      <c r="B32" s="63" t="s">
        <v>40</v>
      </c>
      <c r="C32" s="35">
        <f t="shared" si="8"/>
        <v>0.68385504610988435</v>
      </c>
      <c r="D32" s="35">
        <f t="shared" si="9"/>
        <v>0.7899474868717179</v>
      </c>
      <c r="E32" s="35">
        <f t="shared" si="10"/>
        <v>0.86569684374594102</v>
      </c>
      <c r="F32" s="20">
        <v>7699</v>
      </c>
      <c r="G32" s="20">
        <f t="shared" si="3"/>
        <v>1034</v>
      </c>
      <c r="H32" s="20">
        <v>6665</v>
      </c>
      <c r="I32" s="20">
        <v>5265</v>
      </c>
      <c r="J32" s="20">
        <f t="shared" si="4"/>
        <v>1400</v>
      </c>
      <c r="K32" s="20"/>
      <c r="L32" s="5"/>
      <c r="M32" s="62"/>
      <c r="N32" s="63"/>
      <c r="O32" s="30"/>
      <c r="P32" s="30"/>
      <c r="Q32" s="30"/>
      <c r="R32" s="20"/>
      <c r="S32" s="20"/>
      <c r="T32" s="20"/>
      <c r="U32" s="20"/>
      <c r="V32" s="20"/>
      <c r="W32" s="20"/>
      <c r="X32" s="5"/>
      <c r="Y32" s="62"/>
      <c r="Z32" s="63"/>
      <c r="AA32" s="30"/>
      <c r="AB32" s="30"/>
      <c r="AC32" s="30"/>
      <c r="AD32" s="20"/>
      <c r="AE32" s="20"/>
      <c r="AF32" s="20"/>
      <c r="AG32" s="20"/>
      <c r="AH32" s="20"/>
      <c r="AI32" s="20"/>
      <c r="AJ32" s="5"/>
      <c r="AK32" s="62"/>
      <c r="AL32" s="63"/>
      <c r="AM32" s="30"/>
      <c r="AN32" s="30"/>
      <c r="AO32" s="30"/>
      <c r="AP32" s="20"/>
      <c r="AQ32" s="20"/>
      <c r="AR32" s="20"/>
      <c r="AS32" s="20"/>
      <c r="AT32" s="20"/>
      <c r="AU32" s="29"/>
    </row>
    <row r="33" spans="1:47" s="3" customFormat="1" ht="12.75">
      <c r="A33" s="64">
        <v>1995</v>
      </c>
      <c r="B33" s="65" t="s">
        <v>41</v>
      </c>
      <c r="C33" s="35">
        <f t="shared" si="8"/>
        <v>0.6535069298614028</v>
      </c>
      <c r="D33" s="35">
        <f t="shared" si="9"/>
        <v>0.78506559031281531</v>
      </c>
      <c r="E33" s="35">
        <f t="shared" si="10"/>
        <v>0.83242335153296931</v>
      </c>
      <c r="F33" s="20">
        <v>7143</v>
      </c>
      <c r="G33" s="20">
        <f t="shared" si="3"/>
        <v>1197</v>
      </c>
      <c r="H33" s="20">
        <v>5946</v>
      </c>
      <c r="I33" s="20">
        <v>4668</v>
      </c>
      <c r="J33" s="20">
        <f t="shared" si="4"/>
        <v>1278</v>
      </c>
      <c r="K33" s="20"/>
      <c r="L33" s="5"/>
      <c r="M33" s="64"/>
      <c r="N33" s="65"/>
      <c r="O33" s="30"/>
      <c r="P33" s="30"/>
      <c r="Q33" s="30"/>
      <c r="R33" s="20"/>
      <c r="S33" s="20"/>
      <c r="T33" s="20"/>
      <c r="U33" s="20"/>
      <c r="V33" s="20"/>
      <c r="W33" s="20"/>
      <c r="X33" s="5"/>
      <c r="Y33" s="64"/>
      <c r="Z33" s="65"/>
      <c r="AA33" s="30"/>
      <c r="AB33" s="30"/>
      <c r="AC33" s="30"/>
      <c r="AD33" s="20"/>
      <c r="AE33" s="20"/>
      <c r="AF33" s="20"/>
      <c r="AG33" s="20"/>
      <c r="AH33" s="20"/>
      <c r="AI33" s="20"/>
      <c r="AJ33" s="5"/>
      <c r="AK33" s="64"/>
      <c r="AL33" s="65"/>
      <c r="AM33" s="30"/>
      <c r="AN33" s="30"/>
      <c r="AO33" s="30"/>
      <c r="AP33" s="20"/>
      <c r="AQ33" s="20"/>
      <c r="AR33" s="20"/>
      <c r="AS33" s="20"/>
      <c r="AT33" s="20"/>
      <c r="AU33" s="29"/>
    </row>
    <row r="34" spans="1:47" s="3" customFormat="1" ht="12.75">
      <c r="A34" s="62">
        <v>1995</v>
      </c>
      <c r="B34" s="63" t="s">
        <v>42</v>
      </c>
      <c r="C34" s="35">
        <f t="shared" si="8"/>
        <v>0.67334334835586718</v>
      </c>
      <c r="D34" s="35">
        <f t="shared" si="9"/>
        <v>0.78254122211445198</v>
      </c>
      <c r="E34" s="35">
        <f t="shared" si="10"/>
        <v>0.86045735269571022</v>
      </c>
      <c r="F34" s="20">
        <f>4651+880+460</f>
        <v>5991</v>
      </c>
      <c r="G34" s="20">
        <f t="shared" si="3"/>
        <v>836</v>
      </c>
      <c r="H34" s="20">
        <f>4405+540+210</f>
        <v>5155</v>
      </c>
      <c r="I34" s="20">
        <f>3563+337+134</f>
        <v>4034</v>
      </c>
      <c r="J34" s="20">
        <f t="shared" si="4"/>
        <v>1121</v>
      </c>
      <c r="K34" s="20"/>
      <c r="L34" s="5"/>
      <c r="M34" s="62"/>
      <c r="N34" s="63"/>
      <c r="O34" s="30"/>
      <c r="P34" s="30"/>
      <c r="Q34" s="30"/>
      <c r="R34" s="20"/>
      <c r="S34" s="20"/>
      <c r="T34" s="20"/>
      <c r="U34" s="20"/>
      <c r="V34" s="20"/>
      <c r="W34" s="20"/>
      <c r="X34" s="5"/>
      <c r="Y34" s="62"/>
      <c r="Z34" s="63"/>
      <c r="AA34" s="30"/>
      <c r="AB34" s="30"/>
      <c r="AC34" s="30"/>
      <c r="AD34" s="20"/>
      <c r="AE34" s="20"/>
      <c r="AF34" s="20"/>
      <c r="AG34" s="20"/>
      <c r="AH34" s="20"/>
      <c r="AI34" s="20"/>
      <c r="AJ34" s="5"/>
      <c r="AK34" s="62"/>
      <c r="AL34" s="63"/>
      <c r="AM34" s="30"/>
      <c r="AN34" s="30"/>
      <c r="AO34" s="30"/>
      <c r="AP34" s="20"/>
      <c r="AQ34" s="20"/>
      <c r="AR34" s="20"/>
      <c r="AS34" s="20"/>
      <c r="AT34" s="20"/>
      <c r="AU34" s="29"/>
    </row>
    <row r="35" spans="1:47" s="3" customFormat="1" ht="12.75">
      <c r="A35" s="64">
        <v>1995</v>
      </c>
      <c r="B35" s="65" t="s">
        <v>43</v>
      </c>
      <c r="C35" s="35">
        <f t="shared" si="8"/>
        <v>0.79657447704618844</v>
      </c>
      <c r="D35" s="35">
        <f t="shared" si="9"/>
        <v>0.81569867740080504</v>
      </c>
      <c r="E35" s="35">
        <f t="shared" si="10"/>
        <v>0.97655482240628944</v>
      </c>
      <c r="F35" s="20">
        <v>7123</v>
      </c>
      <c r="G35" s="20">
        <f t="shared" si="3"/>
        <v>167</v>
      </c>
      <c r="H35" s="20">
        <v>6956</v>
      </c>
      <c r="I35" s="20">
        <v>5674</v>
      </c>
      <c r="J35" s="20">
        <f t="shared" si="4"/>
        <v>1282</v>
      </c>
      <c r="K35" s="20"/>
      <c r="L35" s="5"/>
      <c r="M35" s="64"/>
      <c r="N35" s="65"/>
      <c r="O35" s="30"/>
      <c r="P35" s="30"/>
      <c r="Q35" s="30"/>
      <c r="R35" s="20"/>
      <c r="S35" s="20"/>
      <c r="T35" s="20"/>
      <c r="U35" s="20"/>
      <c r="V35" s="20"/>
      <c r="W35" s="20"/>
      <c r="X35" s="5"/>
      <c r="Y35" s="64"/>
      <c r="Z35" s="65"/>
      <c r="AA35" s="30"/>
      <c r="AB35" s="30"/>
      <c r="AC35" s="30"/>
      <c r="AD35" s="20"/>
      <c r="AE35" s="20"/>
      <c r="AF35" s="20"/>
      <c r="AG35" s="20"/>
      <c r="AH35" s="20"/>
      <c r="AI35" s="20"/>
      <c r="AJ35" s="5"/>
      <c r="AK35" s="64"/>
      <c r="AL35" s="65"/>
      <c r="AM35" s="30"/>
      <c r="AN35" s="30"/>
      <c r="AO35" s="30"/>
      <c r="AP35" s="20"/>
      <c r="AQ35" s="20"/>
      <c r="AR35" s="20"/>
      <c r="AS35" s="20"/>
      <c r="AT35" s="20"/>
      <c r="AU35" s="29"/>
    </row>
    <row r="36" spans="1:47" s="3" customFormat="1" ht="12.75">
      <c r="A36" s="62">
        <v>1995</v>
      </c>
      <c r="B36" s="63" t="s">
        <v>44</v>
      </c>
      <c r="C36" s="35">
        <f t="shared" si="8"/>
        <v>0.8263852242744063</v>
      </c>
      <c r="D36" s="35">
        <f t="shared" si="9"/>
        <v>0.84523006341924167</v>
      </c>
      <c r="E36" s="35">
        <f t="shared" si="10"/>
        <v>0.97770448548812661</v>
      </c>
      <c r="F36" s="20">
        <v>7580</v>
      </c>
      <c r="G36" s="20">
        <f t="shared" si="3"/>
        <v>169</v>
      </c>
      <c r="H36" s="20">
        <v>7411</v>
      </c>
      <c r="I36" s="20">
        <v>6264</v>
      </c>
      <c r="J36" s="20">
        <f t="shared" si="4"/>
        <v>1147</v>
      </c>
      <c r="K36" s="20"/>
      <c r="L36" s="5"/>
      <c r="M36" s="62"/>
      <c r="N36" s="63"/>
      <c r="O36" s="30"/>
      <c r="P36" s="30"/>
      <c r="Q36" s="30"/>
      <c r="R36" s="20"/>
      <c r="S36" s="20"/>
      <c r="T36" s="20"/>
      <c r="U36" s="20"/>
      <c r="V36" s="20"/>
      <c r="W36" s="20"/>
      <c r="X36" s="5"/>
      <c r="Y36" s="62"/>
      <c r="Z36" s="63"/>
      <c r="AA36" s="30"/>
      <c r="AB36" s="30"/>
      <c r="AC36" s="30"/>
      <c r="AD36" s="20"/>
      <c r="AE36" s="20"/>
      <c r="AF36" s="20"/>
      <c r="AG36" s="20"/>
      <c r="AH36" s="20"/>
      <c r="AI36" s="20"/>
      <c r="AJ36" s="5"/>
      <c r="AK36" s="62"/>
      <c r="AL36" s="63"/>
      <c r="AM36" s="30"/>
      <c r="AN36" s="30"/>
      <c r="AO36" s="30"/>
      <c r="AP36" s="20"/>
      <c r="AQ36" s="20"/>
      <c r="AR36" s="20"/>
      <c r="AS36" s="20"/>
      <c r="AT36" s="20"/>
      <c r="AU36" s="29"/>
    </row>
    <row r="37" spans="1:47" s="3" customFormat="1" ht="12.75">
      <c r="A37" s="64">
        <v>1995</v>
      </c>
      <c r="B37" s="65" t="s">
        <v>45</v>
      </c>
      <c r="C37" s="35">
        <f t="shared" si="8"/>
        <v>0.91318327974276525</v>
      </c>
      <c r="D37" s="35">
        <f t="shared" si="9"/>
        <v>0.92508143322475567</v>
      </c>
      <c r="E37" s="35">
        <f t="shared" si="10"/>
        <v>0.98713826366559487</v>
      </c>
      <c r="F37" s="20">
        <v>7464</v>
      </c>
      <c r="G37" s="20">
        <f t="shared" si="3"/>
        <v>96</v>
      </c>
      <c r="H37" s="20">
        <v>7368</v>
      </c>
      <c r="I37" s="20">
        <v>6816</v>
      </c>
      <c r="J37" s="20">
        <f t="shared" si="4"/>
        <v>552</v>
      </c>
      <c r="K37" s="20"/>
      <c r="L37" s="5"/>
      <c r="M37" s="64"/>
      <c r="N37" s="65"/>
      <c r="O37" s="30"/>
      <c r="P37" s="30"/>
      <c r="Q37" s="30"/>
      <c r="R37" s="20"/>
      <c r="S37" s="20"/>
      <c r="T37" s="20"/>
      <c r="U37" s="20"/>
      <c r="V37" s="20"/>
      <c r="W37" s="20"/>
      <c r="X37" s="5"/>
      <c r="Y37" s="64"/>
      <c r="Z37" s="65"/>
      <c r="AA37" s="30"/>
      <c r="AB37" s="30"/>
      <c r="AC37" s="30"/>
      <c r="AD37" s="20"/>
      <c r="AE37" s="20"/>
      <c r="AF37" s="20"/>
      <c r="AG37" s="20"/>
      <c r="AH37" s="20"/>
      <c r="AI37" s="20"/>
      <c r="AJ37" s="5"/>
      <c r="AK37" s="64"/>
      <c r="AL37" s="65"/>
      <c r="AM37" s="30"/>
      <c r="AN37" s="30"/>
      <c r="AO37" s="30"/>
      <c r="AP37" s="20"/>
      <c r="AQ37" s="20"/>
      <c r="AR37" s="20"/>
      <c r="AS37" s="20"/>
      <c r="AT37" s="20"/>
      <c r="AU37" s="29"/>
    </row>
    <row r="38" spans="1:47" s="3" customFormat="1" ht="12.75">
      <c r="A38" s="62">
        <v>1995</v>
      </c>
      <c r="B38" s="63" t="s">
        <v>46</v>
      </c>
      <c r="C38" s="35">
        <f t="shared" si="8"/>
        <v>0.92343642611683852</v>
      </c>
      <c r="D38" s="35">
        <f t="shared" si="9"/>
        <v>0.94793283476788481</v>
      </c>
      <c r="E38" s="35">
        <f t="shared" si="10"/>
        <v>0.97415807560137457</v>
      </c>
      <c r="F38" s="20">
        <f>5767+616+892</f>
        <v>7275</v>
      </c>
      <c r="G38" s="20">
        <f t="shared" si="3"/>
        <v>188</v>
      </c>
      <c r="H38" s="20">
        <f>5612+604+871</f>
        <v>7087</v>
      </c>
      <c r="I38" s="20">
        <f>5324+558+836</f>
        <v>6718</v>
      </c>
      <c r="J38" s="20">
        <f t="shared" si="4"/>
        <v>369</v>
      </c>
      <c r="K38" s="20"/>
      <c r="L38" s="5"/>
      <c r="M38" s="62"/>
      <c r="N38" s="63"/>
      <c r="O38" s="30"/>
      <c r="P38" s="30"/>
      <c r="Q38" s="30"/>
      <c r="R38" s="20"/>
      <c r="S38" s="20"/>
      <c r="T38" s="20"/>
      <c r="U38" s="20"/>
      <c r="V38" s="20"/>
      <c r="W38" s="20"/>
      <c r="X38" s="5"/>
      <c r="Y38" s="62"/>
      <c r="Z38" s="63"/>
      <c r="AA38" s="30"/>
      <c r="AB38" s="30"/>
      <c r="AC38" s="30"/>
      <c r="AD38" s="20"/>
      <c r="AE38" s="20"/>
      <c r="AF38" s="20"/>
      <c r="AG38" s="20"/>
      <c r="AH38" s="20"/>
      <c r="AI38" s="20"/>
      <c r="AJ38" s="5"/>
      <c r="AK38" s="62"/>
      <c r="AL38" s="63"/>
      <c r="AM38" s="30"/>
      <c r="AN38" s="30"/>
      <c r="AO38" s="30"/>
      <c r="AP38" s="20"/>
      <c r="AQ38" s="20"/>
      <c r="AR38" s="20"/>
      <c r="AS38" s="20"/>
      <c r="AT38" s="20"/>
      <c r="AU38" s="29"/>
    </row>
    <row r="39" spans="1:47" s="3" customFormat="1" ht="12.75">
      <c r="A39" s="64">
        <v>1995</v>
      </c>
      <c r="B39" s="65" t="s">
        <v>47</v>
      </c>
      <c r="C39" s="35">
        <f t="shared" si="8"/>
        <v>0.95369739888329019</v>
      </c>
      <c r="D39" s="35">
        <f t="shared" si="9"/>
        <v>0.95760973608642141</v>
      </c>
      <c r="E39" s="35">
        <f t="shared" si="10"/>
        <v>0.99591447637205499</v>
      </c>
      <c r="F39" s="20">
        <v>7343</v>
      </c>
      <c r="G39" s="20">
        <f t="shared" si="3"/>
        <v>30</v>
      </c>
      <c r="H39" s="20">
        <v>7313</v>
      </c>
      <c r="I39" s="20">
        <v>7003</v>
      </c>
      <c r="J39" s="20">
        <f t="shared" si="4"/>
        <v>310</v>
      </c>
      <c r="K39" s="20"/>
      <c r="L39" s="5"/>
      <c r="M39" s="64"/>
      <c r="N39" s="65"/>
      <c r="O39" s="30"/>
      <c r="P39" s="30"/>
      <c r="Q39" s="30"/>
      <c r="R39" s="20"/>
      <c r="S39" s="20"/>
      <c r="T39" s="20"/>
      <c r="U39" s="20"/>
      <c r="V39" s="20"/>
      <c r="W39" s="20"/>
      <c r="X39" s="5"/>
      <c r="Y39" s="64"/>
      <c r="Z39" s="65"/>
      <c r="AA39" s="30"/>
      <c r="AB39" s="30"/>
      <c r="AC39" s="30"/>
      <c r="AD39" s="20"/>
      <c r="AE39" s="20"/>
      <c r="AF39" s="20"/>
      <c r="AG39" s="20"/>
      <c r="AH39" s="20"/>
      <c r="AI39" s="20"/>
      <c r="AJ39" s="5"/>
      <c r="AK39" s="64"/>
      <c r="AL39" s="65"/>
      <c r="AM39" s="30"/>
      <c r="AN39" s="30"/>
      <c r="AO39" s="30"/>
      <c r="AP39" s="20"/>
      <c r="AQ39" s="20"/>
      <c r="AR39" s="20"/>
      <c r="AS39" s="20"/>
      <c r="AT39" s="20"/>
      <c r="AU39" s="29"/>
    </row>
    <row r="40" spans="1:47" s="3" customFormat="1" ht="12.75">
      <c r="A40" s="62">
        <v>1995</v>
      </c>
      <c r="B40" s="63" t="s">
        <v>48</v>
      </c>
      <c r="C40" s="35">
        <f t="shared" si="8"/>
        <v>0.96493150684931506</v>
      </c>
      <c r="D40" s="35">
        <f t="shared" si="9"/>
        <v>0.96864686468646866</v>
      </c>
      <c r="E40" s="35">
        <f t="shared" si="10"/>
        <v>0.99616438356164383</v>
      </c>
      <c r="F40" s="20">
        <v>7300</v>
      </c>
      <c r="G40" s="20">
        <f t="shared" si="3"/>
        <v>28</v>
      </c>
      <c r="H40" s="20">
        <v>7272</v>
      </c>
      <c r="I40" s="20">
        <v>7044</v>
      </c>
      <c r="J40" s="20">
        <f t="shared" si="4"/>
        <v>228</v>
      </c>
      <c r="K40" s="20"/>
      <c r="L40" s="5"/>
      <c r="M40" s="62"/>
      <c r="N40" s="63"/>
      <c r="O40" s="30"/>
      <c r="P40" s="30"/>
      <c r="Q40" s="30"/>
      <c r="R40" s="20"/>
      <c r="S40" s="20"/>
      <c r="T40" s="20"/>
      <c r="U40" s="20"/>
      <c r="V40" s="20"/>
      <c r="W40" s="20"/>
      <c r="X40" s="5"/>
      <c r="Y40" s="62"/>
      <c r="Z40" s="63"/>
      <c r="AA40" s="30"/>
      <c r="AB40" s="30"/>
      <c r="AC40" s="30"/>
      <c r="AD40" s="20"/>
      <c r="AE40" s="20"/>
      <c r="AF40" s="20"/>
      <c r="AG40" s="20"/>
      <c r="AH40" s="20"/>
      <c r="AI40" s="20"/>
      <c r="AJ40" s="5"/>
      <c r="AK40" s="62"/>
      <c r="AL40" s="63"/>
      <c r="AM40" s="30"/>
      <c r="AN40" s="30"/>
      <c r="AO40" s="30"/>
      <c r="AP40" s="20"/>
      <c r="AQ40" s="20"/>
      <c r="AR40" s="20"/>
      <c r="AS40" s="20"/>
      <c r="AT40" s="20"/>
      <c r="AU40" s="29"/>
    </row>
    <row r="41" spans="1:47" s="3" customFormat="1" ht="12.75">
      <c r="A41" s="64">
        <v>1995</v>
      </c>
      <c r="B41" s="65" t="s">
        <v>49</v>
      </c>
      <c r="C41" s="35">
        <f t="shared" si="8"/>
        <v>0.94907778668805132</v>
      </c>
      <c r="D41" s="35">
        <f t="shared" si="9"/>
        <v>0.95533431992466034</v>
      </c>
      <c r="E41" s="35">
        <f t="shared" si="10"/>
        <v>0.99345094894413255</v>
      </c>
      <c r="F41" s="20">
        <v>7482</v>
      </c>
      <c r="G41" s="20">
        <f t="shared" si="3"/>
        <v>49</v>
      </c>
      <c r="H41" s="20">
        <v>7433</v>
      </c>
      <c r="I41" s="20">
        <v>7101</v>
      </c>
      <c r="J41" s="20">
        <f t="shared" si="4"/>
        <v>332</v>
      </c>
      <c r="K41" s="20"/>
      <c r="L41" s="5"/>
      <c r="M41" s="64"/>
      <c r="N41" s="65"/>
      <c r="O41" s="30"/>
      <c r="P41" s="30"/>
      <c r="Q41" s="30"/>
      <c r="R41" s="20"/>
      <c r="S41" s="20"/>
      <c r="T41" s="20"/>
      <c r="U41" s="20"/>
      <c r="V41" s="20"/>
      <c r="W41" s="20"/>
      <c r="X41" s="5"/>
      <c r="Y41" s="64"/>
      <c r="Z41" s="65"/>
      <c r="AA41" s="30"/>
      <c r="AB41" s="30"/>
      <c r="AC41" s="30"/>
      <c r="AD41" s="20"/>
      <c r="AE41" s="20"/>
      <c r="AF41" s="20"/>
      <c r="AG41" s="20"/>
      <c r="AH41" s="20"/>
      <c r="AI41" s="20"/>
      <c r="AJ41" s="5"/>
      <c r="AK41" s="64"/>
      <c r="AL41" s="65"/>
      <c r="AM41" s="30"/>
      <c r="AN41" s="30"/>
      <c r="AO41" s="30"/>
      <c r="AP41" s="20"/>
      <c r="AQ41" s="20"/>
      <c r="AR41" s="20"/>
      <c r="AS41" s="20"/>
      <c r="AT41" s="20"/>
      <c r="AU41" s="29"/>
    </row>
    <row r="42" spans="1:47" s="3" customFormat="1" ht="12.75">
      <c r="A42" s="62">
        <v>1996</v>
      </c>
      <c r="B42" s="63" t="s">
        <v>38</v>
      </c>
      <c r="C42" s="35">
        <f t="shared" si="8"/>
        <v>0.97290703646635845</v>
      </c>
      <c r="D42" s="35">
        <f t="shared" si="9"/>
        <v>0.97856128115717422</v>
      </c>
      <c r="E42" s="35">
        <f t="shared" si="10"/>
        <v>0.99422187981510013</v>
      </c>
      <c r="F42" s="20">
        <f>6102+1686</f>
        <v>7788</v>
      </c>
      <c r="G42" s="20">
        <f t="shared" si="3"/>
        <v>45</v>
      </c>
      <c r="H42" s="20">
        <f>6074+1669</f>
        <v>7743</v>
      </c>
      <c r="I42" s="20">
        <f>5962+1615</f>
        <v>7577</v>
      </c>
      <c r="J42" s="20">
        <f t="shared" si="4"/>
        <v>166</v>
      </c>
      <c r="K42" s="20"/>
      <c r="L42" s="5"/>
      <c r="M42" s="62"/>
      <c r="N42" s="63"/>
      <c r="O42" s="30"/>
      <c r="P42" s="30"/>
      <c r="Q42" s="30"/>
      <c r="R42" s="20"/>
      <c r="S42" s="20"/>
      <c r="T42" s="20"/>
      <c r="U42" s="20"/>
      <c r="V42" s="20"/>
      <c r="W42" s="20"/>
      <c r="X42" s="5"/>
      <c r="Y42" s="62"/>
      <c r="Z42" s="63"/>
      <c r="AA42" s="30"/>
      <c r="AB42" s="30"/>
      <c r="AC42" s="30"/>
      <c r="AD42" s="20"/>
      <c r="AE42" s="20"/>
      <c r="AF42" s="20"/>
      <c r="AG42" s="20"/>
      <c r="AH42" s="20"/>
      <c r="AI42" s="20"/>
      <c r="AJ42" s="5"/>
      <c r="AK42" s="62"/>
      <c r="AL42" s="63"/>
      <c r="AM42" s="30"/>
      <c r="AN42" s="30"/>
      <c r="AO42" s="30"/>
      <c r="AP42" s="20"/>
      <c r="AQ42" s="20"/>
      <c r="AR42" s="20"/>
      <c r="AS42" s="20"/>
      <c r="AT42" s="20"/>
      <c r="AU42" s="29"/>
    </row>
    <row r="43" spans="1:47" s="3" customFormat="1" ht="12.75">
      <c r="A43" s="64">
        <v>1996</v>
      </c>
      <c r="B43" s="65" t="s">
        <v>39</v>
      </c>
      <c r="C43" s="35">
        <f t="shared" si="8"/>
        <v>0.96062992125984248</v>
      </c>
      <c r="D43" s="35">
        <f t="shared" si="9"/>
        <v>0.9671951886276654</v>
      </c>
      <c r="E43" s="35">
        <f t="shared" si="10"/>
        <v>0.99321205538962798</v>
      </c>
      <c r="F43" s="20">
        <v>7366</v>
      </c>
      <c r="G43" s="20">
        <f t="shared" si="3"/>
        <v>50</v>
      </c>
      <c r="H43" s="20">
        <v>7316</v>
      </c>
      <c r="I43" s="20">
        <v>7076</v>
      </c>
      <c r="J43" s="20">
        <f t="shared" si="4"/>
        <v>240</v>
      </c>
      <c r="K43" s="20"/>
      <c r="L43" s="5"/>
      <c r="M43" s="64"/>
      <c r="N43" s="65"/>
      <c r="O43" s="30"/>
      <c r="P43" s="30"/>
      <c r="Q43" s="30"/>
      <c r="R43" s="20"/>
      <c r="S43" s="20"/>
      <c r="T43" s="20"/>
      <c r="U43" s="20"/>
      <c r="V43" s="20"/>
      <c r="W43" s="20"/>
      <c r="X43" s="5"/>
      <c r="Y43" s="64"/>
      <c r="Z43" s="65"/>
      <c r="AA43" s="30"/>
      <c r="AB43" s="30"/>
      <c r="AC43" s="30"/>
      <c r="AD43" s="20"/>
      <c r="AE43" s="20"/>
      <c r="AF43" s="20"/>
      <c r="AG43" s="20"/>
      <c r="AH43" s="20"/>
      <c r="AI43" s="20"/>
      <c r="AJ43" s="5"/>
      <c r="AK43" s="64"/>
      <c r="AL43" s="65"/>
      <c r="AM43" s="30"/>
      <c r="AN43" s="30"/>
      <c r="AO43" s="30"/>
      <c r="AP43" s="20"/>
      <c r="AQ43" s="20"/>
      <c r="AR43" s="20"/>
      <c r="AS43" s="20"/>
      <c r="AT43" s="20"/>
      <c r="AU43" s="29"/>
    </row>
    <row r="44" spans="1:47" s="3" customFormat="1" ht="12.75">
      <c r="A44" s="62">
        <v>1996</v>
      </c>
      <c r="B44" s="63" t="s">
        <v>40</v>
      </c>
      <c r="C44" s="35">
        <f t="shared" si="8"/>
        <v>0.96463603510583373</v>
      </c>
      <c r="D44" s="35">
        <f t="shared" si="9"/>
        <v>0.96926468681104916</v>
      </c>
      <c r="E44" s="35">
        <f t="shared" si="10"/>
        <v>0.99522457408363452</v>
      </c>
      <c r="F44" s="20">
        <v>7748</v>
      </c>
      <c r="G44" s="20">
        <f t="shared" si="3"/>
        <v>37</v>
      </c>
      <c r="H44" s="20">
        <v>7711</v>
      </c>
      <c r="I44" s="20">
        <v>7474</v>
      </c>
      <c r="J44" s="20">
        <f t="shared" si="4"/>
        <v>237</v>
      </c>
      <c r="K44" s="20"/>
      <c r="L44" s="5"/>
      <c r="M44" s="62"/>
      <c r="N44" s="63"/>
      <c r="O44" s="30"/>
      <c r="P44" s="30"/>
      <c r="Q44" s="30"/>
      <c r="R44" s="20"/>
      <c r="S44" s="20"/>
      <c r="T44" s="20"/>
      <c r="U44" s="20"/>
      <c r="V44" s="20"/>
      <c r="W44" s="20"/>
      <c r="X44" s="5"/>
      <c r="Y44" s="62"/>
      <c r="Z44" s="63"/>
      <c r="AA44" s="30"/>
      <c r="AB44" s="30"/>
      <c r="AC44" s="30"/>
      <c r="AD44" s="20"/>
      <c r="AE44" s="20"/>
      <c r="AF44" s="20"/>
      <c r="AG44" s="20"/>
      <c r="AH44" s="20"/>
      <c r="AI44" s="20"/>
      <c r="AJ44" s="5"/>
      <c r="AK44" s="62"/>
      <c r="AL44" s="63"/>
      <c r="AM44" s="30"/>
      <c r="AN44" s="30"/>
      <c r="AO44" s="30"/>
      <c r="AP44" s="20"/>
      <c r="AQ44" s="20"/>
      <c r="AR44" s="20"/>
      <c r="AS44" s="20"/>
      <c r="AT44" s="20"/>
      <c r="AU44" s="29"/>
    </row>
    <row r="45" spans="1:47" s="3" customFormat="1" ht="12.75">
      <c r="A45" s="64">
        <v>1996</v>
      </c>
      <c r="B45" s="65" t="s">
        <v>41</v>
      </c>
      <c r="C45" s="35">
        <f t="shared" si="8"/>
        <v>0.97017707362534944</v>
      </c>
      <c r="D45" s="35">
        <f t="shared" si="9"/>
        <v>0.97328703085347934</v>
      </c>
      <c r="E45" s="35">
        <f t="shared" si="10"/>
        <v>0.99680468645985887</v>
      </c>
      <c r="F45" s="20">
        <v>7511</v>
      </c>
      <c r="G45" s="20">
        <f t="shared" si="3"/>
        <v>24</v>
      </c>
      <c r="H45" s="20">
        <v>7487</v>
      </c>
      <c r="I45" s="20">
        <v>7287</v>
      </c>
      <c r="J45" s="20">
        <f t="shared" si="4"/>
        <v>200</v>
      </c>
      <c r="K45" s="20"/>
      <c r="L45" s="5"/>
      <c r="M45" s="64"/>
      <c r="N45" s="65"/>
      <c r="O45" s="30"/>
      <c r="P45" s="30"/>
      <c r="Q45" s="30"/>
      <c r="R45" s="20"/>
      <c r="S45" s="20"/>
      <c r="T45" s="20"/>
      <c r="U45" s="20"/>
      <c r="V45" s="20"/>
      <c r="W45" s="20"/>
      <c r="X45" s="5"/>
      <c r="Y45" s="64"/>
      <c r="Z45" s="65"/>
      <c r="AA45" s="30"/>
      <c r="AB45" s="30"/>
      <c r="AC45" s="30"/>
      <c r="AD45" s="20"/>
      <c r="AE45" s="20"/>
      <c r="AF45" s="20"/>
      <c r="AG45" s="20"/>
      <c r="AH45" s="20"/>
      <c r="AI45" s="20"/>
      <c r="AJ45" s="5"/>
      <c r="AK45" s="64"/>
      <c r="AL45" s="65"/>
      <c r="AM45" s="30"/>
      <c r="AN45" s="30"/>
      <c r="AO45" s="30"/>
      <c r="AP45" s="20"/>
      <c r="AQ45" s="20"/>
      <c r="AR45" s="20"/>
      <c r="AS45" s="20"/>
      <c r="AT45" s="20"/>
      <c r="AU45" s="29"/>
    </row>
    <row r="46" spans="1:47" s="3" customFormat="1" ht="12.75">
      <c r="A46" s="62">
        <v>1996</v>
      </c>
      <c r="B46" s="63" t="s">
        <v>42</v>
      </c>
      <c r="C46" s="35">
        <f t="shared" si="8"/>
        <v>0.9367285955567104</v>
      </c>
      <c r="D46" s="35">
        <f t="shared" si="9"/>
        <v>0.94186806009144353</v>
      </c>
      <c r="E46" s="35">
        <f t="shared" si="10"/>
        <v>0.99454332856957262</v>
      </c>
      <c r="F46" s="20">
        <v>7697</v>
      </c>
      <c r="G46" s="20">
        <f t="shared" si="3"/>
        <v>42</v>
      </c>
      <c r="H46" s="20">
        <v>7655</v>
      </c>
      <c r="I46" s="20">
        <v>7210</v>
      </c>
      <c r="J46" s="20">
        <f t="shared" si="4"/>
        <v>445</v>
      </c>
      <c r="K46" s="20"/>
      <c r="L46" s="5"/>
      <c r="M46" s="62"/>
      <c r="N46" s="63"/>
      <c r="O46" s="30"/>
      <c r="P46" s="30"/>
      <c r="Q46" s="30"/>
      <c r="R46" s="20"/>
      <c r="S46" s="20"/>
      <c r="T46" s="20"/>
      <c r="U46" s="20"/>
      <c r="V46" s="20"/>
      <c r="W46" s="20"/>
      <c r="X46" s="5"/>
      <c r="Y46" s="62"/>
      <c r="Z46" s="63"/>
      <c r="AA46" s="30"/>
      <c r="AB46" s="30"/>
      <c r="AC46" s="30"/>
      <c r="AD46" s="20"/>
      <c r="AE46" s="20"/>
      <c r="AF46" s="20"/>
      <c r="AG46" s="20"/>
      <c r="AH46" s="20"/>
      <c r="AI46" s="20"/>
      <c r="AJ46" s="5"/>
      <c r="AK46" s="62"/>
      <c r="AL46" s="63"/>
      <c r="AM46" s="30"/>
      <c r="AN46" s="30"/>
      <c r="AO46" s="30"/>
      <c r="AP46" s="20"/>
      <c r="AQ46" s="20"/>
      <c r="AR46" s="20"/>
      <c r="AS46" s="20"/>
      <c r="AT46" s="20"/>
      <c r="AU46" s="29"/>
    </row>
    <row r="47" spans="1:47" s="3" customFormat="1" ht="12.75">
      <c r="A47" s="64">
        <v>1996</v>
      </c>
      <c r="B47" s="65" t="s">
        <v>43</v>
      </c>
      <c r="C47" s="35">
        <f t="shared" si="8"/>
        <v>0.9494882360760335</v>
      </c>
      <c r="D47" s="35">
        <f t="shared" si="9"/>
        <v>0.96020970560559216</v>
      </c>
      <c r="E47" s="35">
        <f t="shared" si="10"/>
        <v>0.98883424165891265</v>
      </c>
      <c r="F47" s="20">
        <v>7523</v>
      </c>
      <c r="G47" s="20">
        <f t="shared" si="3"/>
        <v>84</v>
      </c>
      <c r="H47" s="20">
        <v>7439</v>
      </c>
      <c r="I47" s="20">
        <v>7143</v>
      </c>
      <c r="J47" s="20">
        <f t="shared" si="4"/>
        <v>296</v>
      </c>
      <c r="K47" s="20"/>
      <c r="L47" s="5"/>
      <c r="M47" s="64"/>
      <c r="N47" s="65"/>
      <c r="O47" s="30"/>
      <c r="P47" s="30"/>
      <c r="Q47" s="30"/>
      <c r="R47" s="20"/>
      <c r="S47" s="20"/>
      <c r="T47" s="20"/>
      <c r="U47" s="20"/>
      <c r="V47" s="20"/>
      <c r="W47" s="20"/>
      <c r="X47" s="5"/>
      <c r="Y47" s="64"/>
      <c r="Z47" s="65"/>
      <c r="AA47" s="30"/>
      <c r="AB47" s="30"/>
      <c r="AC47" s="30"/>
      <c r="AD47" s="20"/>
      <c r="AE47" s="20"/>
      <c r="AF47" s="20"/>
      <c r="AG47" s="20"/>
      <c r="AH47" s="20"/>
      <c r="AI47" s="20"/>
      <c r="AJ47" s="5"/>
      <c r="AK47" s="64"/>
      <c r="AL47" s="65"/>
      <c r="AM47" s="30"/>
      <c r="AN47" s="30"/>
      <c r="AO47" s="30"/>
      <c r="AP47" s="20"/>
      <c r="AQ47" s="20"/>
      <c r="AR47" s="20"/>
      <c r="AS47" s="20"/>
      <c r="AT47" s="20"/>
      <c r="AU47" s="29"/>
    </row>
    <row r="48" spans="1:47" s="3" customFormat="1" ht="12.75">
      <c r="A48" s="62">
        <v>1996</v>
      </c>
      <c r="B48" s="63" t="s">
        <v>44</v>
      </c>
      <c r="C48" s="35">
        <f t="shared" si="8"/>
        <v>0.94228356336260977</v>
      </c>
      <c r="D48" s="35">
        <f t="shared" si="9"/>
        <v>0.95172811059907836</v>
      </c>
      <c r="E48" s="35">
        <f t="shared" si="10"/>
        <v>0.99007642294969778</v>
      </c>
      <c r="F48" s="20">
        <v>8767</v>
      </c>
      <c r="G48" s="20">
        <f t="shared" si="3"/>
        <v>87</v>
      </c>
      <c r="H48" s="20">
        <v>8680</v>
      </c>
      <c r="I48" s="20">
        <v>8261</v>
      </c>
      <c r="J48" s="20">
        <f t="shared" si="4"/>
        <v>419</v>
      </c>
      <c r="K48" s="20"/>
      <c r="L48" s="5"/>
      <c r="M48" s="62"/>
      <c r="N48" s="63"/>
      <c r="O48" s="30"/>
      <c r="P48" s="30"/>
      <c r="Q48" s="30"/>
      <c r="R48" s="20"/>
      <c r="S48" s="20"/>
      <c r="T48" s="20"/>
      <c r="U48" s="20"/>
      <c r="V48" s="20"/>
      <c r="W48" s="20"/>
      <c r="X48" s="5"/>
      <c r="Y48" s="62"/>
      <c r="Z48" s="63"/>
      <c r="AA48" s="30"/>
      <c r="AB48" s="30"/>
      <c r="AC48" s="30"/>
      <c r="AD48" s="20"/>
      <c r="AE48" s="20"/>
      <c r="AF48" s="20"/>
      <c r="AG48" s="20"/>
      <c r="AH48" s="20"/>
      <c r="AI48" s="20"/>
      <c r="AJ48" s="5"/>
      <c r="AK48" s="62"/>
      <c r="AL48" s="63"/>
      <c r="AM48" s="30"/>
      <c r="AN48" s="30"/>
      <c r="AO48" s="30"/>
      <c r="AP48" s="20"/>
      <c r="AQ48" s="20"/>
      <c r="AR48" s="20"/>
      <c r="AS48" s="20"/>
      <c r="AT48" s="20"/>
      <c r="AU48" s="29"/>
    </row>
    <row r="49" spans="1:47" s="3" customFormat="1" ht="12.75">
      <c r="A49" s="64">
        <v>1996</v>
      </c>
      <c r="B49" s="65" t="s">
        <v>45</v>
      </c>
      <c r="C49" s="35">
        <f t="shared" si="8"/>
        <v>0.93432017543859647</v>
      </c>
      <c r="D49" s="35">
        <f t="shared" si="9"/>
        <v>0.96631889317305508</v>
      </c>
      <c r="E49" s="35">
        <f t="shared" si="10"/>
        <v>0.96688596491228074</v>
      </c>
      <c r="F49" s="20">
        <v>9120</v>
      </c>
      <c r="G49" s="20">
        <f t="shared" si="3"/>
        <v>302</v>
      </c>
      <c r="H49" s="20">
        <v>8818</v>
      </c>
      <c r="I49" s="20">
        <v>8521</v>
      </c>
      <c r="J49" s="20">
        <f t="shared" si="4"/>
        <v>297</v>
      </c>
      <c r="K49" s="20"/>
      <c r="L49" s="5"/>
      <c r="M49" s="64"/>
      <c r="N49" s="65"/>
      <c r="O49" s="30"/>
      <c r="P49" s="30"/>
      <c r="Q49" s="30"/>
      <c r="R49" s="20"/>
      <c r="S49" s="20"/>
      <c r="T49" s="20"/>
      <c r="U49" s="20"/>
      <c r="V49" s="20"/>
      <c r="W49" s="20"/>
      <c r="X49" s="5"/>
      <c r="Y49" s="64"/>
      <c r="Z49" s="65"/>
      <c r="AA49" s="30"/>
      <c r="AB49" s="30"/>
      <c r="AC49" s="30"/>
      <c r="AD49" s="20"/>
      <c r="AE49" s="20"/>
      <c r="AF49" s="20"/>
      <c r="AG49" s="20"/>
      <c r="AH49" s="20"/>
      <c r="AI49" s="20"/>
      <c r="AJ49" s="5"/>
      <c r="AK49" s="64"/>
      <c r="AL49" s="65"/>
      <c r="AM49" s="30"/>
      <c r="AN49" s="30"/>
      <c r="AO49" s="30"/>
      <c r="AP49" s="20"/>
      <c r="AQ49" s="20"/>
      <c r="AR49" s="20"/>
      <c r="AS49" s="20"/>
      <c r="AT49" s="20"/>
      <c r="AU49" s="29"/>
    </row>
    <row r="50" spans="1:47" s="3" customFormat="1" ht="12.75">
      <c r="A50" s="62">
        <v>1996</v>
      </c>
      <c r="B50" s="63" t="s">
        <v>46</v>
      </c>
      <c r="C50" s="35">
        <f t="shared" si="8"/>
        <v>0.94790960451977402</v>
      </c>
      <c r="D50" s="35">
        <f t="shared" si="9"/>
        <v>0.96926632004621605</v>
      </c>
      <c r="E50" s="35">
        <f t="shared" si="10"/>
        <v>0.97796610169491527</v>
      </c>
      <c r="F50" s="20">
        <v>8850</v>
      </c>
      <c r="G50" s="20">
        <f t="shared" si="3"/>
        <v>195</v>
      </c>
      <c r="H50" s="20">
        <v>8655</v>
      </c>
      <c r="I50" s="20">
        <v>8389</v>
      </c>
      <c r="J50" s="20">
        <f t="shared" si="4"/>
        <v>266</v>
      </c>
      <c r="K50" s="20"/>
      <c r="L50" s="5"/>
      <c r="M50" s="62"/>
      <c r="N50" s="63"/>
      <c r="O50" s="30"/>
      <c r="P50" s="30"/>
      <c r="Q50" s="30"/>
      <c r="R50" s="20"/>
      <c r="S50" s="20"/>
      <c r="T50" s="20"/>
      <c r="U50" s="20"/>
      <c r="V50" s="20"/>
      <c r="W50" s="20"/>
      <c r="X50" s="5"/>
      <c r="Y50" s="62"/>
      <c r="Z50" s="63"/>
      <c r="AA50" s="30"/>
      <c r="AB50" s="30"/>
      <c r="AC50" s="30"/>
      <c r="AD50" s="20"/>
      <c r="AE50" s="20"/>
      <c r="AF50" s="20"/>
      <c r="AG50" s="20"/>
      <c r="AH50" s="20"/>
      <c r="AI50" s="20"/>
      <c r="AJ50" s="5"/>
      <c r="AK50" s="62"/>
      <c r="AL50" s="63"/>
      <c r="AM50" s="30"/>
      <c r="AN50" s="30"/>
      <c r="AO50" s="30"/>
      <c r="AP50" s="20"/>
      <c r="AQ50" s="20"/>
      <c r="AR50" s="20"/>
      <c r="AS50" s="20"/>
      <c r="AT50" s="20"/>
      <c r="AU50" s="29"/>
    </row>
    <row r="51" spans="1:47" s="3" customFormat="1" ht="12.75">
      <c r="A51" s="64">
        <v>1996</v>
      </c>
      <c r="B51" s="65" t="s">
        <v>47</v>
      </c>
      <c r="C51" s="35">
        <f t="shared" si="8"/>
        <v>0.93051948051948052</v>
      </c>
      <c r="D51" s="35">
        <f t="shared" si="9"/>
        <v>0.96911632100991885</v>
      </c>
      <c r="E51" s="35">
        <f t="shared" si="10"/>
        <v>0.96017316017316012</v>
      </c>
      <c r="F51" s="20">
        <v>9240</v>
      </c>
      <c r="G51" s="20">
        <f t="shared" si="3"/>
        <v>368</v>
      </c>
      <c r="H51" s="20">
        <v>8872</v>
      </c>
      <c r="I51" s="20">
        <v>8598</v>
      </c>
      <c r="J51" s="20">
        <f t="shared" si="4"/>
        <v>274</v>
      </c>
      <c r="K51" s="20"/>
      <c r="L51" s="5"/>
      <c r="M51" s="64"/>
      <c r="N51" s="65"/>
      <c r="O51" s="30"/>
      <c r="P51" s="30"/>
      <c r="Q51" s="30"/>
      <c r="R51" s="20"/>
      <c r="S51" s="20"/>
      <c r="T51" s="20"/>
      <c r="U51" s="20"/>
      <c r="V51" s="20"/>
      <c r="W51" s="20"/>
      <c r="X51" s="5"/>
      <c r="Y51" s="64"/>
      <c r="Z51" s="65"/>
      <c r="AA51" s="30"/>
      <c r="AB51" s="30"/>
      <c r="AC51" s="30"/>
      <c r="AD51" s="20"/>
      <c r="AE51" s="20"/>
      <c r="AF51" s="20"/>
      <c r="AG51" s="20"/>
      <c r="AH51" s="20"/>
      <c r="AI51" s="20"/>
      <c r="AJ51" s="5"/>
      <c r="AK51" s="64"/>
      <c r="AL51" s="65"/>
      <c r="AM51" s="30"/>
      <c r="AN51" s="30"/>
      <c r="AO51" s="30"/>
      <c r="AP51" s="20"/>
      <c r="AQ51" s="20"/>
      <c r="AR51" s="20"/>
      <c r="AS51" s="20"/>
      <c r="AT51" s="20"/>
      <c r="AU51" s="29"/>
    </row>
    <row r="52" spans="1:47" s="3" customFormat="1" ht="12.75">
      <c r="A52" s="62">
        <v>1996</v>
      </c>
      <c r="B52" s="63" t="s">
        <v>48</v>
      </c>
      <c r="C52" s="35">
        <f t="shared" si="8"/>
        <v>0.96235660986746852</v>
      </c>
      <c r="D52" s="35">
        <f t="shared" si="9"/>
        <v>0.96731221314228144</v>
      </c>
      <c r="E52" s="35">
        <f t="shared" si="10"/>
        <v>0.99487693507072061</v>
      </c>
      <c r="F52" s="20">
        <v>8979</v>
      </c>
      <c r="G52" s="20">
        <f t="shared" si="3"/>
        <v>46</v>
      </c>
      <c r="H52" s="20">
        <v>8933</v>
      </c>
      <c r="I52" s="20">
        <v>8641</v>
      </c>
      <c r="J52" s="20">
        <f t="shared" si="4"/>
        <v>292</v>
      </c>
      <c r="K52" s="20"/>
      <c r="L52" s="5"/>
      <c r="M52" s="62"/>
      <c r="N52" s="63"/>
      <c r="O52" s="30"/>
      <c r="P52" s="30"/>
      <c r="Q52" s="30"/>
      <c r="R52" s="20"/>
      <c r="S52" s="20"/>
      <c r="T52" s="20"/>
      <c r="U52" s="20"/>
      <c r="V52" s="20"/>
      <c r="W52" s="20"/>
      <c r="X52" s="5"/>
      <c r="Y52" s="62"/>
      <c r="Z52" s="63"/>
      <c r="AA52" s="30"/>
      <c r="AB52" s="30"/>
      <c r="AC52" s="30"/>
      <c r="AD52" s="20"/>
      <c r="AE52" s="20"/>
      <c r="AF52" s="20"/>
      <c r="AG52" s="20"/>
      <c r="AH52" s="20"/>
      <c r="AI52" s="20"/>
      <c r="AJ52" s="5"/>
      <c r="AK52" s="62"/>
      <c r="AL52" s="63"/>
      <c r="AM52" s="30"/>
      <c r="AN52" s="30"/>
      <c r="AO52" s="30"/>
      <c r="AP52" s="20"/>
      <c r="AQ52" s="20"/>
      <c r="AR52" s="20"/>
      <c r="AS52" s="20"/>
      <c r="AT52" s="20"/>
      <c r="AU52" s="29"/>
    </row>
    <row r="53" spans="1:47" s="3" customFormat="1" ht="12.75">
      <c r="A53" s="64">
        <v>1996</v>
      </c>
      <c r="B53" s="65" t="s">
        <v>49</v>
      </c>
      <c r="C53" s="35">
        <f t="shared" si="8"/>
        <v>0.90083962163885645</v>
      </c>
      <c r="D53" s="35">
        <f t="shared" si="9"/>
        <v>0.9648264086511098</v>
      </c>
      <c r="E53" s="35">
        <f t="shared" si="10"/>
        <v>0.93368051865235413</v>
      </c>
      <c r="F53" s="20">
        <v>9409</v>
      </c>
      <c r="G53" s="20">
        <f t="shared" si="3"/>
        <v>624</v>
      </c>
      <c r="H53" s="20">
        <v>8785</v>
      </c>
      <c r="I53" s="20">
        <v>8476</v>
      </c>
      <c r="J53" s="20">
        <f t="shared" si="4"/>
        <v>309</v>
      </c>
      <c r="K53" s="20"/>
      <c r="L53" s="5"/>
      <c r="M53" s="64"/>
      <c r="N53" s="65"/>
      <c r="O53" s="30"/>
      <c r="P53" s="30"/>
      <c r="Q53" s="30"/>
      <c r="R53" s="20"/>
      <c r="S53" s="20"/>
      <c r="T53" s="20"/>
      <c r="U53" s="20"/>
      <c r="V53" s="20"/>
      <c r="W53" s="20"/>
      <c r="X53" s="5"/>
      <c r="Y53" s="64"/>
      <c r="Z53" s="65"/>
      <c r="AA53" s="30"/>
      <c r="AB53" s="30"/>
      <c r="AC53" s="30"/>
      <c r="AD53" s="20"/>
      <c r="AE53" s="20"/>
      <c r="AF53" s="20"/>
      <c r="AG53" s="20"/>
      <c r="AH53" s="20"/>
      <c r="AI53" s="20"/>
      <c r="AJ53" s="5"/>
      <c r="AK53" s="64"/>
      <c r="AL53" s="65"/>
      <c r="AM53" s="30"/>
      <c r="AN53" s="30"/>
      <c r="AO53" s="30"/>
      <c r="AP53" s="20"/>
      <c r="AQ53" s="20"/>
      <c r="AR53" s="20"/>
      <c r="AS53" s="20"/>
      <c r="AT53" s="20"/>
      <c r="AU53" s="29"/>
    </row>
    <row r="54" spans="1:47" s="3" customFormat="1" ht="12.75">
      <c r="A54" s="62">
        <v>1997</v>
      </c>
      <c r="B54" s="63" t="s">
        <v>38</v>
      </c>
      <c r="C54" s="35">
        <f t="shared" si="8"/>
        <v>0.96184403094292281</v>
      </c>
      <c r="D54" s="35">
        <f t="shared" si="9"/>
        <v>0.97138935810810811</v>
      </c>
      <c r="E54" s="35">
        <f t="shared" si="10"/>
        <v>0.99017353125653351</v>
      </c>
      <c r="F54" s="20">
        <v>9566</v>
      </c>
      <c r="G54" s="20">
        <f t="shared" si="3"/>
        <v>94</v>
      </c>
      <c r="H54" s="20">
        <v>9472</v>
      </c>
      <c r="I54" s="20">
        <v>9201</v>
      </c>
      <c r="J54" s="20">
        <f t="shared" si="4"/>
        <v>271</v>
      </c>
      <c r="K54" s="20"/>
      <c r="L54" s="5"/>
      <c r="M54" s="62"/>
      <c r="N54" s="63"/>
      <c r="O54" s="30"/>
      <c r="P54" s="30"/>
      <c r="Q54" s="30"/>
      <c r="R54" s="20"/>
      <c r="S54" s="20"/>
      <c r="T54" s="20"/>
      <c r="U54" s="20"/>
      <c r="V54" s="20"/>
      <c r="W54" s="20"/>
      <c r="X54" s="5"/>
      <c r="Y54" s="62"/>
      <c r="Z54" s="63"/>
      <c r="AA54" s="30"/>
      <c r="AB54" s="30"/>
      <c r="AC54" s="30"/>
      <c r="AD54" s="20"/>
      <c r="AE54" s="20"/>
      <c r="AF54" s="20"/>
      <c r="AG54" s="20"/>
      <c r="AH54" s="20"/>
      <c r="AI54" s="20"/>
      <c r="AJ54" s="5"/>
      <c r="AK54" s="62"/>
      <c r="AL54" s="63"/>
      <c r="AM54" s="30"/>
      <c r="AN54" s="30"/>
      <c r="AO54" s="30"/>
      <c r="AP54" s="20"/>
      <c r="AQ54" s="20"/>
      <c r="AR54" s="20"/>
      <c r="AS54" s="20"/>
      <c r="AT54" s="20"/>
      <c r="AU54" s="29"/>
    </row>
    <row r="55" spans="1:47" s="3" customFormat="1" ht="12.75">
      <c r="A55" s="64">
        <v>1997</v>
      </c>
      <c r="B55" s="65" t="s">
        <v>39</v>
      </c>
      <c r="C55" s="35">
        <f t="shared" si="8"/>
        <v>0.9658620689655173</v>
      </c>
      <c r="D55" s="35">
        <f t="shared" si="9"/>
        <v>0.97144508670520235</v>
      </c>
      <c r="E55" s="35">
        <f t="shared" si="10"/>
        <v>0.99425287356321834</v>
      </c>
      <c r="F55" s="20">
        <v>8700</v>
      </c>
      <c r="G55" s="20">
        <f t="shared" si="3"/>
        <v>50</v>
      </c>
      <c r="H55" s="20">
        <v>8650</v>
      </c>
      <c r="I55" s="20">
        <v>8403</v>
      </c>
      <c r="J55" s="20">
        <f t="shared" si="4"/>
        <v>247</v>
      </c>
      <c r="K55" s="20"/>
      <c r="L55" s="5"/>
      <c r="M55" s="64"/>
      <c r="N55" s="65"/>
      <c r="O55" s="30"/>
      <c r="P55" s="30"/>
      <c r="Q55" s="30"/>
      <c r="R55" s="20"/>
      <c r="S55" s="20"/>
      <c r="T55" s="20"/>
      <c r="U55" s="20"/>
      <c r="V55" s="20"/>
      <c r="W55" s="20"/>
      <c r="X55" s="5"/>
      <c r="Y55" s="64"/>
      <c r="Z55" s="65"/>
      <c r="AA55" s="30"/>
      <c r="AB55" s="30"/>
      <c r="AC55" s="30"/>
      <c r="AD55" s="20"/>
      <c r="AE55" s="20"/>
      <c r="AF55" s="20"/>
      <c r="AG55" s="20"/>
      <c r="AH55" s="20"/>
      <c r="AI55" s="20"/>
      <c r="AJ55" s="5"/>
      <c r="AK55" s="64"/>
      <c r="AL55" s="65"/>
      <c r="AM55" s="30"/>
      <c r="AN55" s="30"/>
      <c r="AO55" s="30"/>
      <c r="AP55" s="20"/>
      <c r="AQ55" s="20"/>
      <c r="AR55" s="20"/>
      <c r="AS55" s="20"/>
      <c r="AT55" s="20"/>
      <c r="AU55" s="29"/>
    </row>
    <row r="56" spans="1:47" s="3" customFormat="1" ht="12.75">
      <c r="A56" s="62">
        <v>1997</v>
      </c>
      <c r="B56" s="63" t="s">
        <v>40</v>
      </c>
      <c r="C56" s="35">
        <f t="shared" si="8"/>
        <v>0.91989304812834227</v>
      </c>
      <c r="D56" s="35">
        <f t="shared" si="9"/>
        <v>0.92883369330453569</v>
      </c>
      <c r="E56" s="35">
        <f t="shared" si="10"/>
        <v>0.99037433155080212</v>
      </c>
      <c r="F56" s="20">
        <v>9350</v>
      </c>
      <c r="G56" s="20">
        <f t="shared" si="3"/>
        <v>90</v>
      </c>
      <c r="H56" s="20">
        <v>9260</v>
      </c>
      <c r="I56" s="20">
        <v>8601</v>
      </c>
      <c r="J56" s="20">
        <f t="shared" si="4"/>
        <v>659</v>
      </c>
      <c r="K56" s="20"/>
      <c r="L56" s="5"/>
      <c r="M56" s="62"/>
      <c r="N56" s="63"/>
      <c r="O56" s="30"/>
      <c r="P56" s="30"/>
      <c r="Q56" s="30"/>
      <c r="R56" s="20"/>
      <c r="S56" s="20"/>
      <c r="T56" s="20"/>
      <c r="U56" s="20"/>
      <c r="V56" s="20"/>
      <c r="W56" s="20"/>
      <c r="X56" s="5"/>
      <c r="Y56" s="62"/>
      <c r="Z56" s="63"/>
      <c r="AA56" s="30"/>
      <c r="AB56" s="30"/>
      <c r="AC56" s="30"/>
      <c r="AD56" s="20"/>
      <c r="AE56" s="20"/>
      <c r="AF56" s="20"/>
      <c r="AG56" s="20"/>
      <c r="AH56" s="20"/>
      <c r="AI56" s="20"/>
      <c r="AJ56" s="5"/>
      <c r="AK56" s="62"/>
      <c r="AL56" s="63"/>
      <c r="AM56" s="30"/>
      <c r="AN56" s="30"/>
      <c r="AO56" s="30"/>
      <c r="AP56" s="20"/>
      <c r="AQ56" s="20"/>
      <c r="AR56" s="20"/>
      <c r="AS56" s="20"/>
      <c r="AT56" s="20"/>
      <c r="AU56" s="29"/>
    </row>
    <row r="57" spans="1:47" s="3" customFormat="1" ht="12.75">
      <c r="A57" s="64">
        <v>1997</v>
      </c>
      <c r="B57" s="65" t="s">
        <v>41</v>
      </c>
      <c r="C57" s="35">
        <f t="shared" si="8"/>
        <v>0.94804779176445486</v>
      </c>
      <c r="D57" s="35">
        <f t="shared" si="9"/>
        <v>0.95241667559747079</v>
      </c>
      <c r="E57" s="35">
        <f t="shared" si="10"/>
        <v>0.99541284403669728</v>
      </c>
      <c r="F57" s="20">
        <v>9374</v>
      </c>
      <c r="G57" s="20">
        <f t="shared" si="3"/>
        <v>43</v>
      </c>
      <c r="H57" s="20">
        <v>9331</v>
      </c>
      <c r="I57" s="20">
        <v>8887</v>
      </c>
      <c r="J57" s="20">
        <f t="shared" si="4"/>
        <v>444</v>
      </c>
      <c r="K57" s="20"/>
      <c r="L57" s="5"/>
      <c r="M57" s="64"/>
      <c r="N57" s="65"/>
      <c r="O57" s="30"/>
      <c r="P57" s="30"/>
      <c r="Q57" s="30"/>
      <c r="R57" s="20"/>
      <c r="S57" s="20"/>
      <c r="T57" s="20"/>
      <c r="U57" s="20"/>
      <c r="V57" s="20"/>
      <c r="W57" s="20"/>
      <c r="X57" s="5"/>
      <c r="Y57" s="64"/>
      <c r="Z57" s="65"/>
      <c r="AA57" s="30"/>
      <c r="AB57" s="30"/>
      <c r="AC57" s="30"/>
      <c r="AD57" s="20"/>
      <c r="AE57" s="20"/>
      <c r="AF57" s="20"/>
      <c r="AG57" s="20"/>
      <c r="AH57" s="20"/>
      <c r="AI57" s="20"/>
      <c r="AJ57" s="5"/>
      <c r="AK57" s="64"/>
      <c r="AL57" s="65"/>
      <c r="AM57" s="30"/>
      <c r="AN57" s="30"/>
      <c r="AO57" s="30"/>
      <c r="AP57" s="20"/>
      <c r="AQ57" s="20"/>
      <c r="AR57" s="20"/>
      <c r="AS57" s="20"/>
      <c r="AT57" s="20"/>
      <c r="AU57" s="29"/>
    </row>
    <row r="58" spans="1:47" s="3" customFormat="1" ht="12.75">
      <c r="A58" s="62">
        <v>1997</v>
      </c>
      <c r="B58" s="63" t="s">
        <v>42</v>
      </c>
      <c r="C58" s="35">
        <f t="shared" si="8"/>
        <v>0.92782745923198318</v>
      </c>
      <c r="D58" s="35">
        <f t="shared" si="9"/>
        <v>0.93849100776843675</v>
      </c>
      <c r="E58" s="35">
        <f t="shared" si="10"/>
        <v>0.98863755917937923</v>
      </c>
      <c r="F58" s="20">
        <v>9505</v>
      </c>
      <c r="G58" s="20">
        <f t="shared" si="3"/>
        <v>108</v>
      </c>
      <c r="H58" s="20">
        <v>9397</v>
      </c>
      <c r="I58" s="20">
        <v>8819</v>
      </c>
      <c r="J58" s="20">
        <f t="shared" si="4"/>
        <v>578</v>
      </c>
      <c r="K58" s="20"/>
      <c r="L58" s="5"/>
      <c r="M58" s="62"/>
      <c r="N58" s="63"/>
      <c r="O58" s="30"/>
      <c r="P58" s="30"/>
      <c r="Q58" s="30"/>
      <c r="R58" s="20"/>
      <c r="S58" s="20"/>
      <c r="T58" s="20"/>
      <c r="U58" s="20"/>
      <c r="V58" s="20"/>
      <c r="W58" s="20"/>
      <c r="X58" s="5"/>
      <c r="Y58" s="62"/>
      <c r="Z58" s="63"/>
      <c r="AA58" s="30"/>
      <c r="AB58" s="30"/>
      <c r="AC58" s="30"/>
      <c r="AD58" s="20"/>
      <c r="AE58" s="20"/>
      <c r="AF58" s="20"/>
      <c r="AG58" s="20"/>
      <c r="AH58" s="20"/>
      <c r="AI58" s="20"/>
      <c r="AJ58" s="5"/>
      <c r="AK58" s="62"/>
      <c r="AL58" s="63"/>
      <c r="AM58" s="30"/>
      <c r="AN58" s="30"/>
      <c r="AO58" s="30"/>
      <c r="AP58" s="20"/>
      <c r="AQ58" s="20"/>
      <c r="AR58" s="20"/>
      <c r="AS58" s="20"/>
      <c r="AT58" s="20"/>
      <c r="AU58" s="29"/>
    </row>
    <row r="59" spans="1:47" s="3" customFormat="1" ht="12.75">
      <c r="A59" s="64">
        <v>1997</v>
      </c>
      <c r="B59" s="65" t="s">
        <v>43</v>
      </c>
      <c r="C59" s="35">
        <f t="shared" si="8"/>
        <v>0.95737254072350331</v>
      </c>
      <c r="D59" s="35">
        <f t="shared" si="9"/>
        <v>0.96042020373514436</v>
      </c>
      <c r="E59" s="35">
        <f t="shared" si="10"/>
        <v>0.99682674000423099</v>
      </c>
      <c r="F59" s="20">
        <v>9454</v>
      </c>
      <c r="G59" s="20">
        <f t="shared" si="3"/>
        <v>30</v>
      </c>
      <c r="H59" s="20">
        <v>9424</v>
      </c>
      <c r="I59" s="20">
        <v>9051</v>
      </c>
      <c r="J59" s="20">
        <f t="shared" si="4"/>
        <v>373</v>
      </c>
      <c r="K59" s="20"/>
      <c r="L59" s="5"/>
      <c r="M59" s="64"/>
      <c r="N59" s="65"/>
      <c r="O59" s="30"/>
      <c r="P59" s="30"/>
      <c r="Q59" s="30"/>
      <c r="R59" s="20"/>
      <c r="S59" s="20"/>
      <c r="T59" s="20"/>
      <c r="U59" s="20"/>
      <c r="V59" s="20"/>
      <c r="W59" s="20"/>
      <c r="X59" s="5"/>
      <c r="Y59" s="64"/>
      <c r="Z59" s="65"/>
      <c r="AA59" s="30"/>
      <c r="AB59" s="30"/>
      <c r="AC59" s="30"/>
      <c r="AD59" s="20"/>
      <c r="AE59" s="20"/>
      <c r="AF59" s="20"/>
      <c r="AG59" s="20"/>
      <c r="AH59" s="20"/>
      <c r="AI59" s="20"/>
      <c r="AJ59" s="5"/>
      <c r="AK59" s="64"/>
      <c r="AL59" s="65"/>
      <c r="AM59" s="30"/>
      <c r="AN59" s="30"/>
      <c r="AO59" s="30"/>
      <c r="AP59" s="20"/>
      <c r="AQ59" s="20"/>
      <c r="AR59" s="20"/>
      <c r="AS59" s="20"/>
      <c r="AT59" s="20"/>
      <c r="AU59" s="29"/>
    </row>
    <row r="60" spans="1:47" s="3" customFormat="1" ht="12.75">
      <c r="A60" s="62">
        <v>1997</v>
      </c>
      <c r="B60" s="63" t="s">
        <v>44</v>
      </c>
      <c r="C60" s="35">
        <f t="shared" si="8"/>
        <v>0.95023205292781676</v>
      </c>
      <c r="D60" s="35">
        <f t="shared" si="9"/>
        <v>0.95456799920642799</v>
      </c>
      <c r="E60" s="35">
        <f t="shared" si="10"/>
        <v>0.99545768737039597</v>
      </c>
      <c r="F60" s="20">
        <v>10127</v>
      </c>
      <c r="G60" s="20">
        <f t="shared" si="3"/>
        <v>46</v>
      </c>
      <c r="H60" s="20">
        <v>10081</v>
      </c>
      <c r="I60" s="20">
        <v>9623</v>
      </c>
      <c r="J60" s="20">
        <f t="shared" si="4"/>
        <v>458</v>
      </c>
      <c r="K60" s="20"/>
      <c r="L60" s="5"/>
      <c r="M60" s="62"/>
      <c r="N60" s="63"/>
      <c r="O60" s="30"/>
      <c r="P60" s="30"/>
      <c r="Q60" s="30"/>
      <c r="R60" s="20"/>
      <c r="S60" s="20"/>
      <c r="T60" s="20"/>
      <c r="U60" s="20"/>
      <c r="V60" s="20"/>
      <c r="W60" s="20"/>
      <c r="X60" s="5"/>
      <c r="Y60" s="62"/>
      <c r="Z60" s="63"/>
      <c r="AA60" s="30"/>
      <c r="AB60" s="30"/>
      <c r="AC60" s="30"/>
      <c r="AD60" s="20"/>
      <c r="AE60" s="20"/>
      <c r="AF60" s="20"/>
      <c r="AG60" s="20"/>
      <c r="AH60" s="20"/>
      <c r="AI60" s="20"/>
      <c r="AJ60" s="5"/>
      <c r="AK60" s="62"/>
      <c r="AL60" s="63"/>
      <c r="AM60" s="30"/>
      <c r="AN60" s="30"/>
      <c r="AO60" s="30"/>
      <c r="AP60" s="20"/>
      <c r="AQ60" s="20"/>
      <c r="AR60" s="20"/>
      <c r="AS60" s="20"/>
      <c r="AT60" s="20"/>
      <c r="AU60" s="29"/>
    </row>
    <row r="61" spans="1:47" s="3" customFormat="1" ht="12.75">
      <c r="A61" s="64">
        <v>1997</v>
      </c>
      <c r="B61" s="65" t="s">
        <v>45</v>
      </c>
      <c r="C61" s="35">
        <f t="shared" si="8"/>
        <v>0.95090909090909093</v>
      </c>
      <c r="D61" s="35">
        <f t="shared" si="9"/>
        <v>0.96802056555269922</v>
      </c>
      <c r="E61" s="35">
        <f t="shared" si="10"/>
        <v>0.98232323232323238</v>
      </c>
      <c r="F61" s="20">
        <v>9900</v>
      </c>
      <c r="G61" s="20">
        <f t="shared" si="3"/>
        <v>175</v>
      </c>
      <c r="H61" s="20">
        <v>9725</v>
      </c>
      <c r="I61" s="20">
        <v>9414</v>
      </c>
      <c r="J61" s="20">
        <f t="shared" si="4"/>
        <v>311</v>
      </c>
      <c r="K61" s="20"/>
      <c r="L61" s="5"/>
      <c r="M61" s="64"/>
      <c r="N61" s="65"/>
      <c r="O61" s="30"/>
      <c r="P61" s="30"/>
      <c r="Q61" s="30"/>
      <c r="R61" s="20"/>
      <c r="S61" s="20"/>
      <c r="T61" s="20"/>
      <c r="U61" s="20"/>
      <c r="V61" s="20"/>
      <c r="W61" s="20"/>
      <c r="X61" s="5"/>
      <c r="Y61" s="64"/>
      <c r="Z61" s="65"/>
      <c r="AA61" s="30"/>
      <c r="AB61" s="30"/>
      <c r="AC61" s="30"/>
      <c r="AD61" s="20"/>
      <c r="AE61" s="20"/>
      <c r="AF61" s="20"/>
      <c r="AG61" s="20"/>
      <c r="AH61" s="20"/>
      <c r="AI61" s="20"/>
      <c r="AJ61" s="5"/>
      <c r="AK61" s="64"/>
      <c r="AL61" s="65"/>
      <c r="AM61" s="30"/>
      <c r="AN61" s="30"/>
      <c r="AO61" s="30"/>
      <c r="AP61" s="20"/>
      <c r="AQ61" s="20"/>
      <c r="AR61" s="20"/>
      <c r="AS61" s="20"/>
      <c r="AT61" s="20"/>
      <c r="AU61" s="29"/>
    </row>
    <row r="62" spans="1:47" s="3" customFormat="1" ht="12.75">
      <c r="A62" s="62">
        <v>1997</v>
      </c>
      <c r="B62" s="63" t="s">
        <v>46</v>
      </c>
      <c r="C62" s="35">
        <f t="shared" si="8"/>
        <v>0.95716589397298935</v>
      </c>
      <c r="D62" s="35">
        <f t="shared" si="9"/>
        <v>0.96172151898734182</v>
      </c>
      <c r="E62" s="35">
        <f t="shared" si="10"/>
        <v>0.99526305180407171</v>
      </c>
      <c r="F62" s="20">
        <v>9922</v>
      </c>
      <c r="G62" s="20">
        <f t="shared" si="3"/>
        <v>47</v>
      </c>
      <c r="H62" s="20">
        <v>9875</v>
      </c>
      <c r="I62" s="20">
        <v>9497</v>
      </c>
      <c r="J62" s="20">
        <f t="shared" si="4"/>
        <v>378</v>
      </c>
      <c r="K62" s="20"/>
      <c r="L62" s="5"/>
      <c r="M62" s="62"/>
      <c r="N62" s="63"/>
      <c r="O62" s="30"/>
      <c r="P62" s="30"/>
      <c r="Q62" s="30"/>
      <c r="R62" s="20"/>
      <c r="S62" s="20"/>
      <c r="T62" s="20"/>
      <c r="U62" s="20"/>
      <c r="V62" s="20"/>
      <c r="W62" s="20"/>
      <c r="X62" s="5"/>
      <c r="Y62" s="62"/>
      <c r="Z62" s="63"/>
      <c r="AA62" s="30"/>
      <c r="AB62" s="30"/>
      <c r="AC62" s="30"/>
      <c r="AD62" s="20"/>
      <c r="AE62" s="20"/>
      <c r="AF62" s="20"/>
      <c r="AG62" s="20"/>
      <c r="AH62" s="20"/>
      <c r="AI62" s="20"/>
      <c r="AJ62" s="5"/>
      <c r="AK62" s="62"/>
      <c r="AL62" s="63"/>
      <c r="AM62" s="30"/>
      <c r="AN62" s="30"/>
      <c r="AO62" s="30"/>
      <c r="AP62" s="20"/>
      <c r="AQ62" s="20"/>
      <c r="AR62" s="20"/>
      <c r="AS62" s="20"/>
      <c r="AT62" s="20"/>
      <c r="AU62" s="29"/>
    </row>
    <row r="63" spans="1:47" s="3" customFormat="1" ht="12.75">
      <c r="A63" s="64">
        <v>1997</v>
      </c>
      <c r="B63" s="65" t="s">
        <v>47</v>
      </c>
      <c r="C63" s="35">
        <f t="shared" si="8"/>
        <v>0.95108431391617232</v>
      </c>
      <c r="D63" s="35">
        <f t="shared" si="9"/>
        <v>0.95901157089625422</v>
      </c>
      <c r="E63" s="35">
        <f t="shared" si="10"/>
        <v>0.99173392978702712</v>
      </c>
      <c r="F63" s="20">
        <v>10283</v>
      </c>
      <c r="G63" s="20">
        <f t="shared" si="3"/>
        <v>85</v>
      </c>
      <c r="H63" s="20">
        <v>10198</v>
      </c>
      <c r="I63" s="20">
        <v>9780</v>
      </c>
      <c r="J63" s="20">
        <f t="shared" si="4"/>
        <v>418</v>
      </c>
      <c r="K63" s="20"/>
      <c r="L63" s="5"/>
      <c r="M63" s="64"/>
      <c r="N63" s="65"/>
      <c r="O63" s="30"/>
      <c r="P63" s="30"/>
      <c r="Q63" s="30"/>
      <c r="R63" s="20"/>
      <c r="S63" s="20"/>
      <c r="T63" s="20"/>
      <c r="U63" s="20"/>
      <c r="V63" s="20"/>
      <c r="W63" s="20"/>
      <c r="X63" s="5"/>
      <c r="Y63" s="64"/>
      <c r="Z63" s="65"/>
      <c r="AA63" s="30"/>
      <c r="AB63" s="30"/>
      <c r="AC63" s="30"/>
      <c r="AD63" s="20"/>
      <c r="AE63" s="20"/>
      <c r="AF63" s="20"/>
      <c r="AG63" s="20"/>
      <c r="AH63" s="20"/>
      <c r="AI63" s="20"/>
      <c r="AJ63" s="5"/>
      <c r="AK63" s="64"/>
      <c r="AL63" s="65"/>
      <c r="AM63" s="30"/>
      <c r="AN63" s="30"/>
      <c r="AO63" s="30"/>
      <c r="AP63" s="20"/>
      <c r="AQ63" s="20"/>
      <c r="AR63" s="20"/>
      <c r="AS63" s="20"/>
      <c r="AT63" s="20"/>
      <c r="AU63" s="29"/>
    </row>
    <row r="64" spans="1:47" s="3" customFormat="1" ht="12.75">
      <c r="A64" s="62">
        <v>1997</v>
      </c>
      <c r="B64" s="63" t="s">
        <v>48</v>
      </c>
      <c r="C64" s="35">
        <f t="shared" si="8"/>
        <v>0.96369262506446618</v>
      </c>
      <c r="D64" s="35">
        <f t="shared" si="9"/>
        <v>0.96898983613358225</v>
      </c>
      <c r="E64" s="35">
        <f t="shared" si="10"/>
        <v>0.99453326456936564</v>
      </c>
      <c r="F64" s="20">
        <v>9695</v>
      </c>
      <c r="G64" s="20">
        <f t="shared" si="3"/>
        <v>53</v>
      </c>
      <c r="H64" s="20">
        <v>9642</v>
      </c>
      <c r="I64" s="20">
        <v>9343</v>
      </c>
      <c r="J64" s="20">
        <f t="shared" si="4"/>
        <v>299</v>
      </c>
      <c r="K64" s="20"/>
      <c r="L64" s="5"/>
      <c r="M64" s="62"/>
      <c r="N64" s="63"/>
      <c r="O64" s="30"/>
      <c r="P64" s="30"/>
      <c r="Q64" s="30"/>
      <c r="R64" s="20"/>
      <c r="S64" s="20"/>
      <c r="T64" s="20"/>
      <c r="U64" s="20"/>
      <c r="V64" s="20"/>
      <c r="W64" s="20"/>
      <c r="X64" s="5"/>
      <c r="Y64" s="62"/>
      <c r="Z64" s="63"/>
      <c r="AA64" s="30"/>
      <c r="AB64" s="30"/>
      <c r="AC64" s="30"/>
      <c r="AD64" s="20"/>
      <c r="AE64" s="20"/>
      <c r="AF64" s="20"/>
      <c r="AG64" s="20"/>
      <c r="AH64" s="20"/>
      <c r="AI64" s="20"/>
      <c r="AJ64" s="5"/>
      <c r="AK64" s="62"/>
      <c r="AL64" s="63"/>
      <c r="AM64" s="30"/>
      <c r="AN64" s="30"/>
      <c r="AO64" s="30"/>
      <c r="AP64" s="20"/>
      <c r="AQ64" s="20"/>
      <c r="AR64" s="20"/>
      <c r="AS64" s="20"/>
      <c r="AT64" s="20"/>
      <c r="AU64" s="29"/>
    </row>
    <row r="65" spans="1:47" s="3" customFormat="1" ht="12.75">
      <c r="A65" s="64">
        <v>1997</v>
      </c>
      <c r="B65" s="65" t="s">
        <v>49</v>
      </c>
      <c r="C65" s="35">
        <f t="shared" si="8"/>
        <v>0.94012636646274195</v>
      </c>
      <c r="D65" s="35">
        <f t="shared" si="9"/>
        <v>0.94840145690004052</v>
      </c>
      <c r="E65" s="35">
        <f t="shared" si="10"/>
        <v>0.99127469662019863</v>
      </c>
      <c r="F65" s="20">
        <v>9971</v>
      </c>
      <c r="G65" s="20">
        <f t="shared" si="3"/>
        <v>87</v>
      </c>
      <c r="H65" s="20">
        <v>9884</v>
      </c>
      <c r="I65" s="20">
        <v>9374</v>
      </c>
      <c r="J65" s="20">
        <f t="shared" si="4"/>
        <v>510</v>
      </c>
      <c r="K65" s="20"/>
      <c r="L65" s="5"/>
      <c r="M65" s="64"/>
      <c r="N65" s="65"/>
      <c r="O65" s="30"/>
      <c r="P65" s="30"/>
      <c r="Q65" s="30"/>
      <c r="R65" s="20"/>
      <c r="S65" s="20"/>
      <c r="T65" s="20"/>
      <c r="U65" s="20"/>
      <c r="V65" s="20"/>
      <c r="W65" s="20"/>
      <c r="X65" s="5"/>
      <c r="Y65" s="64"/>
      <c r="Z65" s="65"/>
      <c r="AA65" s="30"/>
      <c r="AB65" s="30"/>
      <c r="AC65" s="30"/>
      <c r="AD65" s="20"/>
      <c r="AE65" s="20"/>
      <c r="AF65" s="20"/>
      <c r="AG65" s="20"/>
      <c r="AH65" s="20"/>
      <c r="AI65" s="20"/>
      <c r="AJ65" s="5"/>
      <c r="AK65" s="64"/>
      <c r="AL65" s="65"/>
      <c r="AM65" s="30"/>
      <c r="AN65" s="30"/>
      <c r="AO65" s="30"/>
      <c r="AP65" s="20"/>
      <c r="AQ65" s="20"/>
      <c r="AR65" s="20"/>
      <c r="AS65" s="20"/>
      <c r="AT65" s="20"/>
      <c r="AU65" s="29"/>
    </row>
    <row r="66" spans="1:47" s="3" customFormat="1" ht="12.75">
      <c r="A66" s="62">
        <v>1998</v>
      </c>
      <c r="B66" s="63" t="s">
        <v>38</v>
      </c>
      <c r="C66" s="35">
        <f t="shared" si="8"/>
        <v>0.94779236276849643</v>
      </c>
      <c r="D66" s="35">
        <f t="shared" si="9"/>
        <v>0.95520144317498501</v>
      </c>
      <c r="E66" s="35">
        <f t="shared" si="10"/>
        <v>0.99224343675417659</v>
      </c>
      <c r="F66" s="20">
        <v>10056</v>
      </c>
      <c r="G66" s="20">
        <f t="shared" si="3"/>
        <v>78</v>
      </c>
      <c r="H66" s="20">
        <v>9978</v>
      </c>
      <c r="I66" s="20">
        <v>9531</v>
      </c>
      <c r="J66" s="20">
        <f t="shared" si="4"/>
        <v>447</v>
      </c>
      <c r="K66" s="20"/>
      <c r="L66" s="5"/>
      <c r="M66" s="62"/>
      <c r="N66" s="63"/>
      <c r="O66" s="30"/>
      <c r="P66" s="30"/>
      <c r="Q66" s="30"/>
      <c r="R66" s="20"/>
      <c r="S66" s="20"/>
      <c r="T66" s="20"/>
      <c r="U66" s="20"/>
      <c r="V66" s="20"/>
      <c r="W66" s="20"/>
      <c r="X66" s="5"/>
      <c r="Y66" s="62"/>
      <c r="Z66" s="63"/>
      <c r="AA66" s="30"/>
      <c r="AB66" s="30"/>
      <c r="AC66" s="30"/>
      <c r="AD66" s="20"/>
      <c r="AE66" s="20"/>
      <c r="AF66" s="20"/>
      <c r="AG66" s="20"/>
      <c r="AH66" s="20"/>
      <c r="AI66" s="20"/>
      <c r="AJ66" s="5"/>
      <c r="AK66" s="62"/>
      <c r="AL66" s="63"/>
      <c r="AM66" s="30"/>
      <c r="AN66" s="30"/>
      <c r="AO66" s="30"/>
      <c r="AP66" s="20"/>
      <c r="AQ66" s="20"/>
      <c r="AR66" s="20"/>
      <c r="AS66" s="20"/>
      <c r="AT66" s="20"/>
      <c r="AU66" s="29"/>
    </row>
    <row r="67" spans="1:47" s="3" customFormat="1" ht="12.75">
      <c r="A67" s="64">
        <v>1998</v>
      </c>
      <c r="B67" s="65" t="s">
        <v>39</v>
      </c>
      <c r="C67" s="35">
        <f t="shared" si="8"/>
        <v>0.96347826086956523</v>
      </c>
      <c r="D67" s="35">
        <f t="shared" si="9"/>
        <v>0.97171672878754656</v>
      </c>
      <c r="E67" s="35">
        <f t="shared" si="10"/>
        <v>0.99152173913043473</v>
      </c>
      <c r="F67" s="20">
        <v>9200</v>
      </c>
      <c r="G67" s="20">
        <f t="shared" si="3"/>
        <v>78</v>
      </c>
      <c r="H67" s="20">
        <v>9122</v>
      </c>
      <c r="I67" s="20">
        <v>8864</v>
      </c>
      <c r="J67" s="20">
        <f t="shared" si="4"/>
        <v>258</v>
      </c>
      <c r="K67" s="20"/>
      <c r="L67" s="5"/>
      <c r="M67" s="64"/>
      <c r="N67" s="65"/>
      <c r="O67" s="30"/>
      <c r="P67" s="30"/>
      <c r="Q67" s="30"/>
      <c r="R67" s="20"/>
      <c r="S67" s="20"/>
      <c r="T67" s="20"/>
      <c r="U67" s="20"/>
      <c r="V67" s="20"/>
      <c r="W67" s="20"/>
      <c r="X67" s="5"/>
      <c r="Y67" s="64"/>
      <c r="Z67" s="65"/>
      <c r="AA67" s="30"/>
      <c r="AB67" s="30"/>
      <c r="AC67" s="30"/>
      <c r="AD67" s="20"/>
      <c r="AE67" s="20"/>
      <c r="AF67" s="20"/>
      <c r="AG67" s="20"/>
      <c r="AH67" s="20"/>
      <c r="AI67" s="20"/>
      <c r="AJ67" s="5"/>
      <c r="AK67" s="64"/>
      <c r="AL67" s="65"/>
      <c r="AM67" s="30"/>
      <c r="AN67" s="30"/>
      <c r="AO67" s="30"/>
      <c r="AP67" s="20"/>
      <c r="AQ67" s="20"/>
      <c r="AR67" s="20"/>
      <c r="AS67" s="20"/>
      <c r="AT67" s="20"/>
      <c r="AU67" s="29"/>
    </row>
    <row r="68" spans="1:47" s="3" customFormat="1" ht="12.75">
      <c r="A68" s="62">
        <v>1998</v>
      </c>
      <c r="B68" s="63" t="s">
        <v>40</v>
      </c>
      <c r="C68" s="35">
        <f t="shared" si="8"/>
        <v>0.94855337217339786</v>
      </c>
      <c r="D68" s="35">
        <f t="shared" si="9"/>
        <v>0.95563072025467566</v>
      </c>
      <c r="E68" s="35">
        <f t="shared" si="10"/>
        <v>0.99259405549521085</v>
      </c>
      <c r="F68" s="20">
        <v>10127</v>
      </c>
      <c r="G68" s="20">
        <f t="shared" si="3"/>
        <v>75</v>
      </c>
      <c r="H68" s="20">
        <v>10052</v>
      </c>
      <c r="I68" s="20">
        <v>9606</v>
      </c>
      <c r="J68" s="20">
        <f t="shared" si="4"/>
        <v>446</v>
      </c>
      <c r="K68" s="20"/>
      <c r="L68" s="5"/>
      <c r="M68" s="62"/>
      <c r="N68" s="63"/>
      <c r="O68" s="30"/>
      <c r="P68" s="30"/>
      <c r="Q68" s="30"/>
      <c r="R68" s="20"/>
      <c r="S68" s="20"/>
      <c r="T68" s="20"/>
      <c r="U68" s="20"/>
      <c r="V68" s="20"/>
      <c r="W68" s="20"/>
      <c r="X68" s="5"/>
      <c r="Y68" s="62"/>
      <c r="Z68" s="63"/>
      <c r="AA68" s="30"/>
      <c r="AB68" s="30"/>
      <c r="AC68" s="30"/>
      <c r="AD68" s="20"/>
      <c r="AE68" s="20"/>
      <c r="AF68" s="20"/>
      <c r="AG68" s="20"/>
      <c r="AH68" s="20"/>
      <c r="AI68" s="20"/>
      <c r="AJ68" s="5"/>
      <c r="AK68" s="62"/>
      <c r="AL68" s="63"/>
      <c r="AM68" s="30"/>
      <c r="AN68" s="30"/>
      <c r="AO68" s="30"/>
      <c r="AP68" s="20"/>
      <c r="AQ68" s="20"/>
      <c r="AR68" s="20"/>
      <c r="AS68" s="20"/>
      <c r="AT68" s="20"/>
      <c r="AU68" s="29"/>
    </row>
    <row r="69" spans="1:47" s="3" customFormat="1" ht="12.75">
      <c r="A69" s="64">
        <v>1998</v>
      </c>
      <c r="B69" s="65" t="s">
        <v>41</v>
      </c>
      <c r="C69" s="35">
        <f t="shared" si="8"/>
        <v>0.92187180012287528</v>
      </c>
      <c r="D69" s="35">
        <f t="shared" si="9"/>
        <v>0.9323736536868269</v>
      </c>
      <c r="E69" s="35">
        <f t="shared" si="10"/>
        <v>0.98873643252099119</v>
      </c>
      <c r="F69" s="20">
        <v>9766</v>
      </c>
      <c r="G69" s="20">
        <f t="shared" si="3"/>
        <v>110</v>
      </c>
      <c r="H69" s="20">
        <v>9656</v>
      </c>
      <c r="I69" s="20">
        <v>9003</v>
      </c>
      <c r="J69" s="20">
        <f t="shared" si="4"/>
        <v>653</v>
      </c>
      <c r="K69" s="20"/>
      <c r="L69" s="5"/>
      <c r="M69" s="64"/>
      <c r="N69" s="65"/>
      <c r="O69" s="30"/>
      <c r="P69" s="30"/>
      <c r="Q69" s="30"/>
      <c r="R69" s="20"/>
      <c r="S69" s="20"/>
      <c r="T69" s="20"/>
      <c r="U69" s="20"/>
      <c r="V69" s="20"/>
      <c r="W69" s="20"/>
      <c r="X69" s="5"/>
      <c r="Y69" s="64"/>
      <c r="Z69" s="65"/>
      <c r="AA69" s="30"/>
      <c r="AB69" s="30"/>
      <c r="AC69" s="30"/>
      <c r="AD69" s="20"/>
      <c r="AE69" s="20"/>
      <c r="AF69" s="20"/>
      <c r="AG69" s="20"/>
      <c r="AH69" s="20"/>
      <c r="AI69" s="20"/>
      <c r="AJ69" s="5"/>
      <c r="AK69" s="64"/>
      <c r="AL69" s="65"/>
      <c r="AM69" s="30"/>
      <c r="AN69" s="30"/>
      <c r="AO69" s="30"/>
      <c r="AP69" s="20"/>
      <c r="AQ69" s="20"/>
      <c r="AR69" s="20"/>
      <c r="AS69" s="20"/>
      <c r="AT69" s="20"/>
      <c r="AU69" s="29"/>
    </row>
    <row r="70" spans="1:47" s="3" customFormat="1" ht="12.75">
      <c r="A70" s="62">
        <v>1998</v>
      </c>
      <c r="B70" s="63" t="s">
        <v>42</v>
      </c>
      <c r="C70" s="35">
        <f t="shared" si="8"/>
        <v>0.97075123152709364</v>
      </c>
      <c r="D70" s="35">
        <f t="shared" si="9"/>
        <v>0.97435105067985162</v>
      </c>
      <c r="E70" s="35">
        <f t="shared" si="10"/>
        <v>0.99630541871921185</v>
      </c>
      <c r="F70" s="20">
        <v>9744</v>
      </c>
      <c r="G70" s="20">
        <f t="shared" ref="G70:G130" si="11">F70-H70</f>
        <v>36</v>
      </c>
      <c r="H70" s="20">
        <v>9708</v>
      </c>
      <c r="I70" s="20">
        <v>9459</v>
      </c>
      <c r="J70" s="20">
        <f t="shared" ref="J70:J130" si="12">H70-I70</f>
        <v>249</v>
      </c>
      <c r="K70" s="20"/>
      <c r="L70" s="5"/>
      <c r="M70" s="62"/>
      <c r="N70" s="63"/>
      <c r="O70" s="30"/>
      <c r="P70" s="30"/>
      <c r="Q70" s="30"/>
      <c r="R70" s="20"/>
      <c r="S70" s="20"/>
      <c r="T70" s="20"/>
      <c r="U70" s="20"/>
      <c r="V70" s="20"/>
      <c r="W70" s="20"/>
      <c r="X70" s="5"/>
      <c r="Y70" s="62"/>
      <c r="Z70" s="63"/>
      <c r="AA70" s="30"/>
      <c r="AB70" s="30"/>
      <c r="AC70" s="30"/>
      <c r="AD70" s="20"/>
      <c r="AE70" s="20"/>
      <c r="AF70" s="20"/>
      <c r="AG70" s="20"/>
      <c r="AH70" s="20"/>
      <c r="AI70" s="20"/>
      <c r="AJ70" s="5"/>
      <c r="AK70" s="62"/>
      <c r="AL70" s="63"/>
      <c r="AM70" s="30"/>
      <c r="AN70" s="30"/>
      <c r="AO70" s="30"/>
      <c r="AP70" s="20"/>
      <c r="AQ70" s="20"/>
      <c r="AR70" s="20"/>
      <c r="AS70" s="20"/>
      <c r="AT70" s="20"/>
      <c r="AU70" s="29"/>
    </row>
    <row r="71" spans="1:47" s="3" customFormat="1" ht="12.75">
      <c r="A71" s="64">
        <v>1998</v>
      </c>
      <c r="B71" s="65" t="s">
        <v>43</v>
      </c>
      <c r="C71" s="35">
        <f t="shared" si="8"/>
        <v>0.96930280957336112</v>
      </c>
      <c r="D71" s="35">
        <f t="shared" si="9"/>
        <v>0.97315085666527368</v>
      </c>
      <c r="E71" s="35">
        <f t="shared" si="10"/>
        <v>0.99604578563995838</v>
      </c>
      <c r="F71" s="20">
        <v>9610</v>
      </c>
      <c r="G71" s="20">
        <f t="shared" si="11"/>
        <v>38</v>
      </c>
      <c r="H71" s="20">
        <v>9572</v>
      </c>
      <c r="I71" s="20">
        <v>9315</v>
      </c>
      <c r="J71" s="20">
        <f t="shared" si="12"/>
        <v>257</v>
      </c>
      <c r="K71" s="20"/>
      <c r="L71" s="5"/>
      <c r="M71" s="64"/>
      <c r="N71" s="65"/>
      <c r="O71" s="30"/>
      <c r="P71" s="30"/>
      <c r="Q71" s="30"/>
      <c r="R71" s="20"/>
      <c r="S71" s="20"/>
      <c r="T71" s="20"/>
      <c r="U71" s="20"/>
      <c r="V71" s="20"/>
      <c r="W71" s="20"/>
      <c r="X71" s="5"/>
      <c r="Y71" s="64"/>
      <c r="Z71" s="65"/>
      <c r="AA71" s="30"/>
      <c r="AB71" s="30"/>
      <c r="AC71" s="30"/>
      <c r="AD71" s="20"/>
      <c r="AE71" s="20"/>
      <c r="AF71" s="20"/>
      <c r="AG71" s="20"/>
      <c r="AH71" s="20"/>
      <c r="AI71" s="20"/>
      <c r="AJ71" s="5"/>
      <c r="AK71" s="64"/>
      <c r="AL71" s="65"/>
      <c r="AM71" s="30"/>
      <c r="AN71" s="30"/>
      <c r="AO71" s="30"/>
      <c r="AP71" s="20"/>
      <c r="AQ71" s="20"/>
      <c r="AR71" s="20"/>
      <c r="AS71" s="20"/>
      <c r="AT71" s="20"/>
      <c r="AU71" s="29"/>
    </row>
    <row r="72" spans="1:47" s="3" customFormat="1" ht="12.75">
      <c r="A72" s="62">
        <v>1998</v>
      </c>
      <c r="B72" s="63" t="s">
        <v>44</v>
      </c>
      <c r="C72" s="35">
        <f t="shared" si="8"/>
        <v>0.94963957736743354</v>
      </c>
      <c r="D72" s="35">
        <f t="shared" si="9"/>
        <v>0.9593017456359102</v>
      </c>
      <c r="E72" s="35">
        <f t="shared" si="10"/>
        <v>0.98992791547348669</v>
      </c>
      <c r="F72" s="20">
        <v>10127</v>
      </c>
      <c r="G72" s="20">
        <f t="shared" si="11"/>
        <v>102</v>
      </c>
      <c r="H72" s="20">
        <v>10025</v>
      </c>
      <c r="I72" s="20">
        <v>9617</v>
      </c>
      <c r="J72" s="20">
        <f t="shared" si="12"/>
        <v>408</v>
      </c>
      <c r="K72" s="20"/>
      <c r="L72" s="5"/>
      <c r="M72" s="62"/>
      <c r="N72" s="63"/>
      <c r="O72" s="30"/>
      <c r="P72" s="30"/>
      <c r="Q72" s="30"/>
      <c r="R72" s="20"/>
      <c r="S72" s="20"/>
      <c r="T72" s="20"/>
      <c r="U72" s="20"/>
      <c r="V72" s="20"/>
      <c r="W72" s="20"/>
      <c r="X72" s="5"/>
      <c r="Y72" s="62"/>
      <c r="Z72" s="63"/>
      <c r="AA72" s="30"/>
      <c r="AB72" s="30"/>
      <c r="AC72" s="30"/>
      <c r="AD72" s="20"/>
      <c r="AE72" s="20"/>
      <c r="AF72" s="20"/>
      <c r="AG72" s="20"/>
      <c r="AH72" s="20"/>
      <c r="AI72" s="20"/>
      <c r="AJ72" s="5"/>
      <c r="AK72" s="62"/>
      <c r="AL72" s="63"/>
      <c r="AM72" s="30"/>
      <c r="AN72" s="30"/>
      <c r="AO72" s="30"/>
      <c r="AP72" s="20"/>
      <c r="AQ72" s="20"/>
      <c r="AR72" s="20"/>
      <c r="AS72" s="20"/>
      <c r="AT72" s="20"/>
      <c r="AU72" s="29"/>
    </row>
    <row r="73" spans="1:47" s="3" customFormat="1" ht="12.75">
      <c r="A73" s="64">
        <v>1998</v>
      </c>
      <c r="B73" s="65" t="s">
        <v>45</v>
      </c>
      <c r="C73" s="35">
        <f t="shared" si="8"/>
        <v>0.97282828282828282</v>
      </c>
      <c r="D73" s="35">
        <f t="shared" si="9"/>
        <v>0.97667579353006795</v>
      </c>
      <c r="E73" s="35">
        <f t="shared" si="10"/>
        <v>0.99606060606060609</v>
      </c>
      <c r="F73" s="20">
        <v>9900</v>
      </c>
      <c r="G73" s="20">
        <f t="shared" si="11"/>
        <v>39</v>
      </c>
      <c r="H73" s="20">
        <v>9861</v>
      </c>
      <c r="I73" s="20">
        <v>9631</v>
      </c>
      <c r="J73" s="20">
        <f t="shared" si="12"/>
        <v>230</v>
      </c>
      <c r="K73" s="20"/>
      <c r="L73" s="5"/>
      <c r="M73" s="64"/>
      <c r="N73" s="65"/>
      <c r="O73" s="30"/>
      <c r="P73" s="30"/>
      <c r="Q73" s="30"/>
      <c r="R73" s="20"/>
      <c r="S73" s="20"/>
      <c r="T73" s="20"/>
      <c r="U73" s="20"/>
      <c r="V73" s="20"/>
      <c r="W73" s="20"/>
      <c r="X73" s="5"/>
      <c r="Y73" s="64"/>
      <c r="Z73" s="65"/>
      <c r="AA73" s="30"/>
      <c r="AB73" s="30"/>
      <c r="AC73" s="30"/>
      <c r="AD73" s="20"/>
      <c r="AE73" s="20"/>
      <c r="AF73" s="20"/>
      <c r="AG73" s="20"/>
      <c r="AH73" s="20"/>
      <c r="AI73" s="20"/>
      <c r="AJ73" s="5"/>
      <c r="AK73" s="64"/>
      <c r="AL73" s="65"/>
      <c r="AM73" s="30"/>
      <c r="AN73" s="30"/>
      <c r="AO73" s="30"/>
      <c r="AP73" s="20"/>
      <c r="AQ73" s="20"/>
      <c r="AR73" s="20"/>
      <c r="AS73" s="20"/>
      <c r="AT73" s="20"/>
      <c r="AU73" s="29"/>
    </row>
    <row r="74" spans="1:47" s="3" customFormat="1" ht="12.75">
      <c r="A74" s="62">
        <v>1998</v>
      </c>
      <c r="B74" s="63" t="s">
        <v>46</v>
      </c>
      <c r="C74" s="35">
        <f t="shared" ref="C74:C137" si="13">I74/F74</f>
        <v>0.95837532755492849</v>
      </c>
      <c r="D74" s="35">
        <f t="shared" ref="D74:D137" si="14">I74/H74</f>
        <v>0.97298680036836183</v>
      </c>
      <c r="E74" s="35">
        <f t="shared" ref="E74:E137" si="15">H74/F74</f>
        <v>0.98498286635758925</v>
      </c>
      <c r="F74" s="20">
        <v>9922</v>
      </c>
      <c r="G74" s="20">
        <f t="shared" si="11"/>
        <v>149</v>
      </c>
      <c r="H74" s="20">
        <v>9773</v>
      </c>
      <c r="I74" s="20">
        <v>9509</v>
      </c>
      <c r="J74" s="20">
        <f t="shared" si="12"/>
        <v>264</v>
      </c>
      <c r="K74" s="20"/>
      <c r="L74" s="5"/>
      <c r="M74" s="62"/>
      <c r="N74" s="63"/>
      <c r="O74" s="30"/>
      <c r="P74" s="30"/>
      <c r="Q74" s="30"/>
      <c r="R74" s="20"/>
      <c r="S74" s="20"/>
      <c r="T74" s="20"/>
      <c r="U74" s="20"/>
      <c r="V74" s="20"/>
      <c r="W74" s="20"/>
      <c r="X74" s="5"/>
      <c r="Y74" s="62"/>
      <c r="Z74" s="63"/>
      <c r="AA74" s="30"/>
      <c r="AB74" s="30"/>
      <c r="AC74" s="30"/>
      <c r="AD74" s="20"/>
      <c r="AE74" s="20"/>
      <c r="AF74" s="20"/>
      <c r="AG74" s="20"/>
      <c r="AH74" s="20"/>
      <c r="AI74" s="20"/>
      <c r="AJ74" s="5"/>
      <c r="AK74" s="62"/>
      <c r="AL74" s="63"/>
      <c r="AM74" s="30"/>
      <c r="AN74" s="30"/>
      <c r="AO74" s="30"/>
      <c r="AP74" s="20"/>
      <c r="AQ74" s="20"/>
      <c r="AR74" s="20"/>
      <c r="AS74" s="20"/>
      <c r="AT74" s="20"/>
      <c r="AU74" s="29"/>
    </row>
    <row r="75" spans="1:47" s="3" customFormat="1" ht="12.75">
      <c r="A75" s="64">
        <v>1998</v>
      </c>
      <c r="B75" s="65" t="s">
        <v>47</v>
      </c>
      <c r="C75" s="35">
        <f t="shared" si="13"/>
        <v>0.95535003977724742</v>
      </c>
      <c r="D75" s="35">
        <f t="shared" si="14"/>
        <v>0.9699141847551741</v>
      </c>
      <c r="E75" s="35">
        <f t="shared" si="15"/>
        <v>0.98498408910103419</v>
      </c>
      <c r="F75" s="20">
        <v>10056</v>
      </c>
      <c r="G75" s="20">
        <f t="shared" si="11"/>
        <v>151</v>
      </c>
      <c r="H75" s="20">
        <v>9905</v>
      </c>
      <c r="I75" s="20">
        <v>9607</v>
      </c>
      <c r="J75" s="20">
        <f t="shared" si="12"/>
        <v>298</v>
      </c>
      <c r="K75" s="20"/>
      <c r="L75" s="5"/>
      <c r="M75" s="64"/>
      <c r="N75" s="65"/>
      <c r="O75" s="30"/>
      <c r="P75" s="30"/>
      <c r="Q75" s="30"/>
      <c r="R75" s="20"/>
      <c r="S75" s="20"/>
      <c r="T75" s="20"/>
      <c r="U75" s="20"/>
      <c r="V75" s="20"/>
      <c r="W75" s="20"/>
      <c r="X75" s="5"/>
      <c r="Y75" s="64"/>
      <c r="Z75" s="65"/>
      <c r="AA75" s="30"/>
      <c r="AB75" s="30"/>
      <c r="AC75" s="30"/>
      <c r="AD75" s="20"/>
      <c r="AE75" s="20"/>
      <c r="AF75" s="20"/>
      <c r="AG75" s="20"/>
      <c r="AH75" s="20"/>
      <c r="AI75" s="20"/>
      <c r="AJ75" s="5"/>
      <c r="AK75" s="64"/>
      <c r="AL75" s="65"/>
      <c r="AM75" s="30"/>
      <c r="AN75" s="30"/>
      <c r="AO75" s="30"/>
      <c r="AP75" s="20"/>
      <c r="AQ75" s="20"/>
      <c r="AR75" s="20"/>
      <c r="AS75" s="20"/>
      <c r="AT75" s="20"/>
      <c r="AU75" s="29"/>
    </row>
    <row r="76" spans="1:47" s="3" customFormat="1" ht="12.75">
      <c r="A76" s="62">
        <v>1998</v>
      </c>
      <c r="B76" s="63" t="s">
        <v>48</v>
      </c>
      <c r="C76" s="35">
        <f t="shared" si="13"/>
        <v>0.96047511775547822</v>
      </c>
      <c r="D76" s="35">
        <f t="shared" si="14"/>
        <v>0.96760883020425004</v>
      </c>
      <c r="E76" s="35">
        <f t="shared" si="15"/>
        <v>0.99262748310464877</v>
      </c>
      <c r="F76" s="20">
        <v>9766</v>
      </c>
      <c r="G76" s="20">
        <f t="shared" si="11"/>
        <v>72</v>
      </c>
      <c r="H76" s="20">
        <v>9694</v>
      </c>
      <c r="I76" s="20">
        <v>9380</v>
      </c>
      <c r="J76" s="20">
        <f t="shared" si="12"/>
        <v>314</v>
      </c>
      <c r="K76" s="20"/>
      <c r="L76" s="5"/>
      <c r="M76" s="62"/>
      <c r="N76" s="63"/>
      <c r="O76" s="30"/>
      <c r="P76" s="30"/>
      <c r="Q76" s="30"/>
      <c r="R76" s="20"/>
      <c r="S76" s="20"/>
      <c r="T76" s="20"/>
      <c r="U76" s="20"/>
      <c r="V76" s="20"/>
      <c r="W76" s="20"/>
      <c r="X76" s="5"/>
      <c r="Y76" s="62"/>
      <c r="Z76" s="63"/>
      <c r="AA76" s="30"/>
      <c r="AB76" s="30"/>
      <c r="AC76" s="30"/>
      <c r="AD76" s="20"/>
      <c r="AE76" s="20"/>
      <c r="AF76" s="20"/>
      <c r="AG76" s="20"/>
      <c r="AH76" s="20"/>
      <c r="AI76" s="20"/>
      <c r="AJ76" s="5"/>
      <c r="AK76" s="62"/>
      <c r="AL76" s="63"/>
      <c r="AM76" s="30"/>
      <c r="AN76" s="30"/>
      <c r="AO76" s="30"/>
      <c r="AP76" s="20"/>
      <c r="AQ76" s="20"/>
      <c r="AR76" s="20"/>
      <c r="AS76" s="20"/>
      <c r="AT76" s="20"/>
      <c r="AU76" s="29"/>
    </row>
    <row r="77" spans="1:47" s="3" customFormat="1" ht="12.75">
      <c r="A77" s="64">
        <v>1998</v>
      </c>
      <c r="B77" s="65" t="s">
        <v>49</v>
      </c>
      <c r="C77" s="35">
        <f t="shared" si="13"/>
        <v>0.91846354427840737</v>
      </c>
      <c r="D77" s="35">
        <f t="shared" si="14"/>
        <v>0.96187375275706333</v>
      </c>
      <c r="E77" s="35">
        <f t="shared" si="15"/>
        <v>0.95486912044930294</v>
      </c>
      <c r="F77" s="20">
        <v>9971</v>
      </c>
      <c r="G77" s="20">
        <f t="shared" si="11"/>
        <v>450</v>
      </c>
      <c r="H77" s="20">
        <v>9521</v>
      </c>
      <c r="I77" s="20">
        <v>9158</v>
      </c>
      <c r="J77" s="20">
        <f t="shared" si="12"/>
        <v>363</v>
      </c>
      <c r="K77" s="20"/>
      <c r="L77" s="5"/>
      <c r="M77" s="64"/>
      <c r="N77" s="65"/>
      <c r="O77" s="30"/>
      <c r="P77" s="30"/>
      <c r="Q77" s="30"/>
      <c r="R77" s="20"/>
      <c r="S77" s="20"/>
      <c r="T77" s="20"/>
      <c r="U77" s="20"/>
      <c r="V77" s="20"/>
      <c r="W77" s="20"/>
      <c r="X77" s="5"/>
      <c r="Y77" s="64"/>
      <c r="Z77" s="65"/>
      <c r="AA77" s="30"/>
      <c r="AB77" s="30"/>
      <c r="AC77" s="30"/>
      <c r="AD77" s="20"/>
      <c r="AE77" s="20"/>
      <c r="AF77" s="20"/>
      <c r="AG77" s="20"/>
      <c r="AH77" s="20"/>
      <c r="AI77" s="20"/>
      <c r="AJ77" s="5"/>
      <c r="AK77" s="64"/>
      <c r="AL77" s="65"/>
      <c r="AM77" s="30"/>
      <c r="AN77" s="30"/>
      <c r="AO77" s="30"/>
      <c r="AP77" s="20"/>
      <c r="AQ77" s="20"/>
      <c r="AR77" s="20"/>
      <c r="AS77" s="20"/>
      <c r="AT77" s="20"/>
      <c r="AU77" s="29"/>
    </row>
    <row r="78" spans="1:47" s="3" customFormat="1" ht="12.75">
      <c r="A78" s="62">
        <v>1999</v>
      </c>
      <c r="B78" s="63" t="s">
        <v>38</v>
      </c>
      <c r="C78" s="35">
        <f t="shared" si="13"/>
        <v>0.97636363636363632</v>
      </c>
      <c r="D78" s="35">
        <f t="shared" si="14"/>
        <v>0.9830163734363877</v>
      </c>
      <c r="E78" s="35">
        <f t="shared" si="15"/>
        <v>0.99323232323232324</v>
      </c>
      <c r="F78" s="20">
        <v>9900</v>
      </c>
      <c r="G78" s="20">
        <f t="shared" si="11"/>
        <v>67</v>
      </c>
      <c r="H78" s="20">
        <v>9833</v>
      </c>
      <c r="I78" s="20">
        <v>9666</v>
      </c>
      <c r="J78" s="20">
        <f t="shared" si="12"/>
        <v>167</v>
      </c>
      <c r="K78" s="20"/>
      <c r="L78" s="5"/>
      <c r="M78" s="62"/>
      <c r="N78" s="63"/>
      <c r="O78" s="30"/>
      <c r="P78" s="30"/>
      <c r="Q78" s="30"/>
      <c r="R78" s="20"/>
      <c r="S78" s="20"/>
      <c r="T78" s="20"/>
      <c r="U78" s="20"/>
      <c r="V78" s="20"/>
      <c r="W78" s="20"/>
      <c r="X78" s="5"/>
      <c r="Y78" s="62"/>
      <c r="Z78" s="63"/>
      <c r="AA78" s="30"/>
      <c r="AB78" s="30"/>
      <c r="AC78" s="30"/>
      <c r="AD78" s="20"/>
      <c r="AE78" s="20"/>
      <c r="AF78" s="20"/>
      <c r="AG78" s="20"/>
      <c r="AH78" s="20"/>
      <c r="AI78" s="20"/>
      <c r="AJ78" s="5"/>
      <c r="AK78" s="62"/>
      <c r="AL78" s="63"/>
      <c r="AM78" s="30"/>
      <c r="AN78" s="30"/>
      <c r="AO78" s="30"/>
      <c r="AP78" s="20"/>
      <c r="AQ78" s="20"/>
      <c r="AR78" s="20"/>
      <c r="AS78" s="20"/>
      <c r="AT78" s="20"/>
      <c r="AU78" s="29"/>
    </row>
    <row r="79" spans="1:47" s="3" customFormat="1" ht="12.75">
      <c r="A79" s="64">
        <v>1999</v>
      </c>
      <c r="B79" s="65" t="s">
        <v>39</v>
      </c>
      <c r="C79" s="35">
        <f t="shared" si="13"/>
        <v>0.96652173913043482</v>
      </c>
      <c r="D79" s="35">
        <f t="shared" si="14"/>
        <v>0.97137863229189425</v>
      </c>
      <c r="E79" s="35">
        <f t="shared" si="15"/>
        <v>0.995</v>
      </c>
      <c r="F79" s="20">
        <v>9200</v>
      </c>
      <c r="G79" s="20">
        <f t="shared" si="11"/>
        <v>46</v>
      </c>
      <c r="H79" s="20">
        <v>9154</v>
      </c>
      <c r="I79" s="20">
        <v>8892</v>
      </c>
      <c r="J79" s="20">
        <f t="shared" si="12"/>
        <v>262</v>
      </c>
      <c r="K79" s="20"/>
      <c r="L79" s="5"/>
      <c r="M79" s="64"/>
      <c r="N79" s="65"/>
      <c r="O79" s="30"/>
      <c r="P79" s="30"/>
      <c r="Q79" s="30"/>
      <c r="R79" s="20"/>
      <c r="S79" s="20"/>
      <c r="T79" s="20"/>
      <c r="U79" s="20"/>
      <c r="V79" s="20"/>
      <c r="W79" s="20"/>
      <c r="X79" s="5"/>
      <c r="Y79" s="64"/>
      <c r="Z79" s="65"/>
      <c r="AA79" s="30"/>
      <c r="AB79" s="30"/>
      <c r="AC79" s="30"/>
      <c r="AD79" s="20"/>
      <c r="AE79" s="20"/>
      <c r="AF79" s="20"/>
      <c r="AG79" s="20"/>
      <c r="AH79" s="20"/>
      <c r="AI79" s="20"/>
      <c r="AJ79" s="5"/>
      <c r="AK79" s="64"/>
      <c r="AL79" s="65"/>
      <c r="AM79" s="30"/>
      <c r="AN79" s="30"/>
      <c r="AO79" s="30"/>
      <c r="AP79" s="20"/>
      <c r="AQ79" s="20"/>
      <c r="AR79" s="20"/>
      <c r="AS79" s="20"/>
      <c r="AT79" s="20"/>
      <c r="AU79" s="29"/>
    </row>
    <row r="80" spans="1:47" s="3" customFormat="1" ht="12.75">
      <c r="A80" s="62">
        <v>1999</v>
      </c>
      <c r="B80" s="63" t="s">
        <v>40</v>
      </c>
      <c r="C80" s="35">
        <f t="shared" si="13"/>
        <v>0.955849460274239</v>
      </c>
      <c r="D80" s="35">
        <f t="shared" si="14"/>
        <v>0.9674212598425197</v>
      </c>
      <c r="E80" s="35">
        <f t="shared" si="15"/>
        <v>0.98803851016240396</v>
      </c>
      <c r="F80" s="20">
        <v>10283</v>
      </c>
      <c r="G80" s="20">
        <f t="shared" si="11"/>
        <v>123</v>
      </c>
      <c r="H80" s="20">
        <v>10160</v>
      </c>
      <c r="I80" s="20">
        <v>9829</v>
      </c>
      <c r="J80" s="20">
        <f t="shared" si="12"/>
        <v>331</v>
      </c>
      <c r="K80" s="20"/>
      <c r="L80" s="5"/>
      <c r="M80" s="62"/>
      <c r="N80" s="63"/>
      <c r="O80" s="30"/>
      <c r="P80" s="30"/>
      <c r="Q80" s="30"/>
      <c r="R80" s="20"/>
      <c r="S80" s="20"/>
      <c r="T80" s="20"/>
      <c r="U80" s="20"/>
      <c r="V80" s="20"/>
      <c r="W80" s="20"/>
      <c r="X80" s="5"/>
      <c r="Y80" s="62"/>
      <c r="Z80" s="63"/>
      <c r="AA80" s="30"/>
      <c r="AB80" s="30"/>
      <c r="AC80" s="30"/>
      <c r="AD80" s="20"/>
      <c r="AE80" s="20"/>
      <c r="AF80" s="20"/>
      <c r="AG80" s="20"/>
      <c r="AH80" s="20"/>
      <c r="AI80" s="20"/>
      <c r="AJ80" s="5"/>
      <c r="AK80" s="62"/>
      <c r="AL80" s="63"/>
      <c r="AM80" s="30"/>
      <c r="AN80" s="30"/>
      <c r="AO80" s="30"/>
      <c r="AP80" s="20"/>
      <c r="AQ80" s="20"/>
      <c r="AR80" s="20"/>
      <c r="AS80" s="20"/>
      <c r="AT80" s="20"/>
      <c r="AU80" s="29"/>
    </row>
    <row r="81" spans="1:47" s="3" customFormat="1" ht="12.75">
      <c r="A81" s="64">
        <v>1999</v>
      </c>
      <c r="B81" s="65" t="s">
        <v>41</v>
      </c>
      <c r="C81" s="35">
        <f t="shared" si="13"/>
        <v>0.95368746776689017</v>
      </c>
      <c r="D81" s="35">
        <f t="shared" si="14"/>
        <v>0.96826892868363179</v>
      </c>
      <c r="E81" s="35">
        <f t="shared" si="15"/>
        <v>0.98494069107787519</v>
      </c>
      <c r="F81" s="20">
        <v>9695</v>
      </c>
      <c r="G81" s="20">
        <f t="shared" si="11"/>
        <v>146</v>
      </c>
      <c r="H81" s="20">
        <v>9549</v>
      </c>
      <c r="I81" s="20">
        <v>9246</v>
      </c>
      <c r="J81" s="20">
        <f t="shared" si="12"/>
        <v>303</v>
      </c>
      <c r="K81" s="20"/>
      <c r="L81" s="5"/>
      <c r="M81" s="64"/>
      <c r="N81" s="65"/>
      <c r="O81" s="30"/>
      <c r="P81" s="30"/>
      <c r="Q81" s="30"/>
      <c r="R81" s="20"/>
      <c r="S81" s="20"/>
      <c r="T81" s="20"/>
      <c r="U81" s="20"/>
      <c r="V81" s="20"/>
      <c r="W81" s="20"/>
      <c r="X81" s="5"/>
      <c r="Y81" s="64"/>
      <c r="Z81" s="65"/>
      <c r="AA81" s="30"/>
      <c r="AB81" s="30"/>
      <c r="AC81" s="30"/>
      <c r="AD81" s="20"/>
      <c r="AE81" s="20"/>
      <c r="AF81" s="20"/>
      <c r="AG81" s="20"/>
      <c r="AH81" s="20"/>
      <c r="AI81" s="20"/>
      <c r="AJ81" s="5"/>
      <c r="AK81" s="64"/>
      <c r="AL81" s="65"/>
      <c r="AM81" s="30"/>
      <c r="AN81" s="30"/>
      <c r="AO81" s="30"/>
      <c r="AP81" s="20"/>
      <c r="AQ81" s="20"/>
      <c r="AR81" s="20"/>
      <c r="AS81" s="20"/>
      <c r="AT81" s="20"/>
      <c r="AU81" s="29"/>
    </row>
    <row r="82" spans="1:47" s="3" customFormat="1" ht="12.75">
      <c r="A82" s="62">
        <v>1999</v>
      </c>
      <c r="B82" s="63" t="s">
        <v>42</v>
      </c>
      <c r="C82" s="35">
        <f t="shared" si="13"/>
        <v>0.95445746306673462</v>
      </c>
      <c r="D82" s="35">
        <f t="shared" si="14"/>
        <v>0.96190573980901528</v>
      </c>
      <c r="E82" s="35">
        <f t="shared" si="15"/>
        <v>0.9922567498726439</v>
      </c>
      <c r="F82" s="20">
        <v>9815</v>
      </c>
      <c r="G82" s="20">
        <f t="shared" si="11"/>
        <v>76</v>
      </c>
      <c r="H82" s="20">
        <v>9739</v>
      </c>
      <c r="I82" s="20">
        <v>9368</v>
      </c>
      <c r="J82" s="20">
        <f t="shared" si="12"/>
        <v>371</v>
      </c>
      <c r="K82" s="20"/>
      <c r="L82" s="5"/>
      <c r="M82" s="62"/>
      <c r="N82" s="63"/>
      <c r="O82" s="30"/>
      <c r="P82" s="30"/>
      <c r="Q82" s="30"/>
      <c r="R82" s="20"/>
      <c r="S82" s="20"/>
      <c r="T82" s="20"/>
      <c r="U82" s="20"/>
      <c r="V82" s="20"/>
      <c r="W82" s="20"/>
      <c r="X82" s="5"/>
      <c r="Y82" s="62"/>
      <c r="Z82" s="63"/>
      <c r="AA82" s="30"/>
      <c r="AB82" s="30"/>
      <c r="AC82" s="30"/>
      <c r="AD82" s="20"/>
      <c r="AE82" s="20"/>
      <c r="AF82" s="20"/>
      <c r="AG82" s="20"/>
      <c r="AH82" s="20"/>
      <c r="AI82" s="20"/>
      <c r="AJ82" s="5"/>
      <c r="AK82" s="62"/>
      <c r="AL82" s="63"/>
      <c r="AM82" s="30"/>
      <c r="AN82" s="30"/>
      <c r="AO82" s="30"/>
      <c r="AP82" s="20"/>
      <c r="AQ82" s="20"/>
      <c r="AR82" s="20"/>
      <c r="AS82" s="20"/>
      <c r="AT82" s="20"/>
      <c r="AU82" s="29"/>
    </row>
    <row r="83" spans="1:47" s="3" customFormat="1" ht="12.75">
      <c r="A83" s="64">
        <v>1999</v>
      </c>
      <c r="B83" s="65" t="s">
        <v>43</v>
      </c>
      <c r="C83" s="35">
        <f t="shared" si="13"/>
        <v>0.96638917793964618</v>
      </c>
      <c r="D83" s="35">
        <f t="shared" si="14"/>
        <v>0.97614042463737649</v>
      </c>
      <c r="E83" s="35">
        <f t="shared" si="15"/>
        <v>0.9900104058272633</v>
      </c>
      <c r="F83" s="20">
        <v>9610</v>
      </c>
      <c r="G83" s="20">
        <f t="shared" si="11"/>
        <v>96</v>
      </c>
      <c r="H83" s="20">
        <v>9514</v>
      </c>
      <c r="I83" s="20">
        <v>9287</v>
      </c>
      <c r="J83" s="20">
        <f t="shared" si="12"/>
        <v>227</v>
      </c>
      <c r="K83" s="20"/>
      <c r="L83" s="5"/>
      <c r="M83" s="64"/>
      <c r="N83" s="65"/>
      <c r="O83" s="30"/>
      <c r="P83" s="30"/>
      <c r="Q83" s="30"/>
      <c r="R83" s="20"/>
      <c r="S83" s="20"/>
      <c r="T83" s="20"/>
      <c r="U83" s="20"/>
      <c r="V83" s="20"/>
      <c r="W83" s="20"/>
      <c r="X83" s="5"/>
      <c r="Y83" s="64"/>
      <c r="Z83" s="65"/>
      <c r="AA83" s="30"/>
      <c r="AB83" s="30"/>
      <c r="AC83" s="30"/>
      <c r="AD83" s="20"/>
      <c r="AE83" s="20"/>
      <c r="AF83" s="20"/>
      <c r="AG83" s="20"/>
      <c r="AH83" s="20"/>
      <c r="AI83" s="20"/>
      <c r="AJ83" s="5"/>
      <c r="AK83" s="64"/>
      <c r="AL83" s="65"/>
      <c r="AM83" s="30"/>
      <c r="AN83" s="30"/>
      <c r="AO83" s="30"/>
      <c r="AP83" s="20"/>
      <c r="AQ83" s="20"/>
      <c r="AR83" s="20"/>
      <c r="AS83" s="20"/>
      <c r="AT83" s="20"/>
      <c r="AU83" s="29"/>
    </row>
    <row r="84" spans="1:47" s="3" customFormat="1" ht="12.75">
      <c r="A84" s="62">
        <v>1999</v>
      </c>
      <c r="B84" s="63" t="s">
        <v>44</v>
      </c>
      <c r="C84" s="35">
        <f t="shared" si="13"/>
        <v>0.9590294351630867</v>
      </c>
      <c r="D84" s="35">
        <f t="shared" si="14"/>
        <v>0.96343656343656348</v>
      </c>
      <c r="E84" s="35">
        <f t="shared" si="15"/>
        <v>0.99542561654733497</v>
      </c>
      <c r="F84" s="20">
        <v>10056</v>
      </c>
      <c r="G84" s="20">
        <f t="shared" si="11"/>
        <v>46</v>
      </c>
      <c r="H84" s="20">
        <v>10010</v>
      </c>
      <c r="I84" s="20">
        <v>9644</v>
      </c>
      <c r="J84" s="20">
        <f t="shared" si="12"/>
        <v>366</v>
      </c>
      <c r="K84" s="20"/>
      <c r="L84" s="5"/>
      <c r="M84" s="62"/>
      <c r="N84" s="63"/>
      <c r="O84" s="30"/>
      <c r="P84" s="30"/>
      <c r="Q84" s="30"/>
      <c r="R84" s="20"/>
      <c r="S84" s="20"/>
      <c r="T84" s="20"/>
      <c r="U84" s="20"/>
      <c r="V84" s="20"/>
      <c r="W84" s="20"/>
      <c r="X84" s="5"/>
      <c r="Y84" s="62"/>
      <c r="Z84" s="63"/>
      <c r="AA84" s="30"/>
      <c r="AB84" s="30"/>
      <c r="AC84" s="30"/>
      <c r="AD84" s="20"/>
      <c r="AE84" s="20"/>
      <c r="AF84" s="20"/>
      <c r="AG84" s="20"/>
      <c r="AH84" s="20"/>
      <c r="AI84" s="20"/>
      <c r="AJ84" s="5"/>
      <c r="AK84" s="62"/>
      <c r="AL84" s="63"/>
      <c r="AM84" s="30"/>
      <c r="AN84" s="30"/>
      <c r="AO84" s="30"/>
      <c r="AP84" s="20"/>
      <c r="AQ84" s="20"/>
      <c r="AR84" s="20"/>
      <c r="AS84" s="20"/>
      <c r="AT84" s="20"/>
      <c r="AU84" s="29"/>
    </row>
    <row r="85" spans="1:47" s="3" customFormat="1" ht="12.75">
      <c r="A85" s="64">
        <v>1999</v>
      </c>
      <c r="B85" s="65" t="s">
        <v>45</v>
      </c>
      <c r="C85" s="35">
        <f t="shared" si="13"/>
        <v>0.94012636646274195</v>
      </c>
      <c r="D85" s="35">
        <f t="shared" si="14"/>
        <v>0.94878542510121455</v>
      </c>
      <c r="E85" s="35">
        <f t="shared" si="15"/>
        <v>0.99087353324641458</v>
      </c>
      <c r="F85" s="20">
        <v>9971</v>
      </c>
      <c r="G85" s="20">
        <f t="shared" si="11"/>
        <v>91</v>
      </c>
      <c r="H85" s="20">
        <v>9880</v>
      </c>
      <c r="I85" s="20">
        <v>9374</v>
      </c>
      <c r="J85" s="20">
        <f t="shared" si="12"/>
        <v>506</v>
      </c>
      <c r="K85" s="20"/>
      <c r="L85" s="5"/>
      <c r="M85" s="64"/>
      <c r="N85" s="65"/>
      <c r="O85" s="30"/>
      <c r="P85" s="30"/>
      <c r="Q85" s="30"/>
      <c r="R85" s="20"/>
      <c r="S85" s="20"/>
      <c r="T85" s="20"/>
      <c r="U85" s="20"/>
      <c r="V85" s="20"/>
      <c r="W85" s="20"/>
      <c r="X85" s="5"/>
      <c r="Y85" s="64"/>
      <c r="Z85" s="65"/>
      <c r="AA85" s="30"/>
      <c r="AB85" s="30"/>
      <c r="AC85" s="30"/>
      <c r="AD85" s="20"/>
      <c r="AE85" s="20"/>
      <c r="AF85" s="20"/>
      <c r="AG85" s="20"/>
      <c r="AH85" s="20"/>
      <c r="AI85" s="20"/>
      <c r="AJ85" s="5"/>
      <c r="AK85" s="64"/>
      <c r="AL85" s="65"/>
      <c r="AM85" s="30"/>
      <c r="AN85" s="30"/>
      <c r="AO85" s="30"/>
      <c r="AP85" s="20"/>
      <c r="AQ85" s="20"/>
      <c r="AR85" s="20"/>
      <c r="AS85" s="20"/>
      <c r="AT85" s="20"/>
      <c r="AU85" s="29"/>
    </row>
    <row r="86" spans="1:47" s="3" customFormat="1" ht="12.75">
      <c r="A86" s="62">
        <v>1999</v>
      </c>
      <c r="B86" s="63" t="s">
        <v>46</v>
      </c>
      <c r="C86" s="35">
        <f t="shared" si="13"/>
        <v>0.93549687562991335</v>
      </c>
      <c r="D86" s="35">
        <f t="shared" si="14"/>
        <v>0.95053763440860217</v>
      </c>
      <c r="E86" s="35">
        <f t="shared" si="15"/>
        <v>0.98417657730296315</v>
      </c>
      <c r="F86" s="20">
        <v>9922</v>
      </c>
      <c r="G86" s="20">
        <f t="shared" si="11"/>
        <v>157</v>
      </c>
      <c r="H86" s="20">
        <v>9765</v>
      </c>
      <c r="I86" s="20">
        <v>9282</v>
      </c>
      <c r="J86" s="20">
        <f t="shared" si="12"/>
        <v>483</v>
      </c>
      <c r="K86" s="20"/>
      <c r="L86" s="5"/>
      <c r="M86" s="62"/>
      <c r="N86" s="63"/>
      <c r="O86" s="30"/>
      <c r="P86" s="30"/>
      <c r="Q86" s="30"/>
      <c r="R86" s="20"/>
      <c r="S86" s="20"/>
      <c r="T86" s="20"/>
      <c r="U86" s="20"/>
      <c r="V86" s="20"/>
      <c r="W86" s="20"/>
      <c r="X86" s="5"/>
      <c r="Y86" s="62"/>
      <c r="Z86" s="63"/>
      <c r="AA86" s="30"/>
      <c r="AB86" s="30"/>
      <c r="AC86" s="30"/>
      <c r="AD86" s="20"/>
      <c r="AE86" s="20"/>
      <c r="AF86" s="20"/>
      <c r="AG86" s="20"/>
      <c r="AH86" s="20"/>
      <c r="AI86" s="20"/>
      <c r="AJ86" s="5"/>
      <c r="AK86" s="62"/>
      <c r="AL86" s="63"/>
      <c r="AM86" s="30"/>
      <c r="AN86" s="30"/>
      <c r="AO86" s="30"/>
      <c r="AP86" s="20"/>
      <c r="AQ86" s="20"/>
      <c r="AR86" s="20"/>
      <c r="AS86" s="20"/>
      <c r="AT86" s="20"/>
      <c r="AU86" s="29"/>
    </row>
    <row r="87" spans="1:47" s="3" customFormat="1" ht="12.75">
      <c r="A87" s="64">
        <v>1999</v>
      </c>
      <c r="B87" s="65" t="s">
        <v>47</v>
      </c>
      <c r="C87" s="35">
        <f t="shared" si="13"/>
        <v>0.93979797979797974</v>
      </c>
      <c r="D87" s="35">
        <f t="shared" si="14"/>
        <v>0.94428092966609156</v>
      </c>
      <c r="E87" s="35">
        <f t="shared" si="15"/>
        <v>0.99525252525252528</v>
      </c>
      <c r="F87" s="20">
        <v>9900</v>
      </c>
      <c r="G87" s="20">
        <f t="shared" si="11"/>
        <v>47</v>
      </c>
      <c r="H87" s="20">
        <v>9853</v>
      </c>
      <c r="I87" s="20">
        <v>9304</v>
      </c>
      <c r="J87" s="20">
        <f t="shared" si="12"/>
        <v>549</v>
      </c>
      <c r="K87" s="20"/>
      <c r="L87" s="5"/>
      <c r="M87" s="64"/>
      <c r="N87" s="65"/>
      <c r="O87" s="30"/>
      <c r="P87" s="30"/>
      <c r="Q87" s="30"/>
      <c r="R87" s="20"/>
      <c r="S87" s="20"/>
      <c r="T87" s="20"/>
      <c r="U87" s="20"/>
      <c r="V87" s="20"/>
      <c r="W87" s="20"/>
      <c r="X87" s="5"/>
      <c r="Y87" s="64"/>
      <c r="Z87" s="65"/>
      <c r="AA87" s="30"/>
      <c r="AB87" s="30"/>
      <c r="AC87" s="30"/>
      <c r="AD87" s="20"/>
      <c r="AE87" s="20"/>
      <c r="AF87" s="20"/>
      <c r="AG87" s="20"/>
      <c r="AH87" s="20"/>
      <c r="AI87" s="20"/>
      <c r="AJ87" s="5"/>
      <c r="AK87" s="64"/>
      <c r="AL87" s="65"/>
      <c r="AM87" s="30"/>
      <c r="AN87" s="30"/>
      <c r="AO87" s="30"/>
      <c r="AP87" s="20"/>
      <c r="AQ87" s="20"/>
      <c r="AR87" s="20"/>
      <c r="AS87" s="20"/>
      <c r="AT87" s="20"/>
      <c r="AU87" s="29"/>
    </row>
    <row r="88" spans="1:47" s="3" customFormat="1" ht="12.75">
      <c r="A88" s="62">
        <v>1999</v>
      </c>
      <c r="B88" s="63" t="s">
        <v>48</v>
      </c>
      <c r="C88" s="35">
        <f t="shared" si="13"/>
        <v>0.91604515218705906</v>
      </c>
      <c r="D88" s="35">
        <f t="shared" si="14"/>
        <v>0.92792240939254722</v>
      </c>
      <c r="E88" s="35">
        <f t="shared" si="15"/>
        <v>0.98720016125781096</v>
      </c>
      <c r="F88" s="20">
        <v>9922</v>
      </c>
      <c r="G88" s="20">
        <f t="shared" si="11"/>
        <v>127</v>
      </c>
      <c r="H88" s="20">
        <v>9795</v>
      </c>
      <c r="I88" s="20">
        <v>9089</v>
      </c>
      <c r="J88" s="20">
        <f t="shared" si="12"/>
        <v>706</v>
      </c>
      <c r="K88" s="20"/>
      <c r="L88" s="5"/>
      <c r="M88" s="62"/>
      <c r="N88" s="63"/>
      <c r="O88" s="30"/>
      <c r="P88" s="30"/>
      <c r="Q88" s="30"/>
      <c r="R88" s="20"/>
      <c r="S88" s="20"/>
      <c r="T88" s="20"/>
      <c r="U88" s="20"/>
      <c r="V88" s="20"/>
      <c r="W88" s="20"/>
      <c r="X88" s="5"/>
      <c r="Y88" s="62"/>
      <c r="Z88" s="63"/>
      <c r="AA88" s="30"/>
      <c r="AB88" s="30"/>
      <c r="AC88" s="30"/>
      <c r="AD88" s="20"/>
      <c r="AE88" s="20"/>
      <c r="AF88" s="20"/>
      <c r="AG88" s="20"/>
      <c r="AH88" s="20"/>
      <c r="AI88" s="20"/>
      <c r="AJ88" s="5"/>
      <c r="AK88" s="62"/>
      <c r="AL88" s="63"/>
      <c r="AM88" s="30"/>
      <c r="AN88" s="30"/>
      <c r="AO88" s="30"/>
      <c r="AP88" s="20"/>
      <c r="AQ88" s="20"/>
      <c r="AR88" s="20"/>
      <c r="AS88" s="20"/>
      <c r="AT88" s="20"/>
      <c r="AU88" s="29"/>
    </row>
    <row r="89" spans="1:47" s="3" customFormat="1" ht="12.75">
      <c r="A89" s="64">
        <v>1999</v>
      </c>
      <c r="B89" s="65" t="s">
        <v>49</v>
      </c>
      <c r="C89" s="35">
        <f t="shared" si="13"/>
        <v>0.93079067914758018</v>
      </c>
      <c r="D89" s="35">
        <f t="shared" si="14"/>
        <v>0.9508646998982706</v>
      </c>
      <c r="E89" s="35">
        <f t="shared" si="15"/>
        <v>0.97888866759609638</v>
      </c>
      <c r="F89" s="20">
        <v>10042</v>
      </c>
      <c r="G89" s="20">
        <f t="shared" si="11"/>
        <v>212</v>
      </c>
      <c r="H89" s="20">
        <v>9830</v>
      </c>
      <c r="I89" s="20">
        <v>9347</v>
      </c>
      <c r="J89" s="20">
        <f t="shared" si="12"/>
        <v>483</v>
      </c>
      <c r="K89" s="20"/>
      <c r="L89" s="5"/>
      <c r="M89" s="64"/>
      <c r="N89" s="65"/>
      <c r="O89" s="30"/>
      <c r="P89" s="30"/>
      <c r="Q89" s="30"/>
      <c r="R89" s="20"/>
      <c r="S89" s="20"/>
      <c r="T89" s="20"/>
      <c r="U89" s="20"/>
      <c r="V89" s="20"/>
      <c r="W89" s="20"/>
      <c r="X89" s="5"/>
      <c r="Y89" s="64"/>
      <c r="Z89" s="65"/>
      <c r="AA89" s="30"/>
      <c r="AB89" s="30"/>
      <c r="AC89" s="30"/>
      <c r="AD89" s="20"/>
      <c r="AE89" s="20"/>
      <c r="AF89" s="20"/>
      <c r="AG89" s="20"/>
      <c r="AH89" s="20"/>
      <c r="AI89" s="20"/>
      <c r="AJ89" s="5"/>
      <c r="AK89" s="64"/>
      <c r="AL89" s="65"/>
      <c r="AM89" s="30"/>
      <c r="AN89" s="30"/>
      <c r="AO89" s="30"/>
      <c r="AP89" s="20"/>
      <c r="AQ89" s="20"/>
      <c r="AR89" s="20"/>
      <c r="AS89" s="20"/>
      <c r="AT89" s="20"/>
      <c r="AU89" s="29"/>
    </row>
    <row r="90" spans="1:47" s="3" customFormat="1" ht="12.75">
      <c r="A90" s="62">
        <v>2000</v>
      </c>
      <c r="B90" s="63" t="s">
        <v>38</v>
      </c>
      <c r="C90" s="35">
        <f t="shared" si="13"/>
        <v>0.94965399659011129</v>
      </c>
      <c r="D90" s="35">
        <f t="shared" si="14"/>
        <v>0.96406027285685192</v>
      </c>
      <c r="E90" s="35">
        <f t="shared" si="15"/>
        <v>0.98505666432654704</v>
      </c>
      <c r="F90" s="20">
        <v>9971</v>
      </c>
      <c r="G90" s="20">
        <f t="shared" si="11"/>
        <v>149</v>
      </c>
      <c r="H90" s="20">
        <v>9822</v>
      </c>
      <c r="I90" s="20">
        <v>9469</v>
      </c>
      <c r="J90" s="20">
        <f t="shared" si="12"/>
        <v>353</v>
      </c>
      <c r="K90" s="20"/>
      <c r="L90" s="5"/>
      <c r="M90" s="62"/>
      <c r="N90" s="63"/>
      <c r="O90" s="30"/>
      <c r="P90" s="30"/>
      <c r="Q90" s="30"/>
      <c r="R90" s="20"/>
      <c r="S90" s="20"/>
      <c r="T90" s="20"/>
      <c r="U90" s="20"/>
      <c r="V90" s="20"/>
      <c r="W90" s="20"/>
      <c r="X90" s="5"/>
      <c r="Y90" s="62"/>
      <c r="Z90" s="63"/>
      <c r="AA90" s="30"/>
      <c r="AB90" s="30"/>
      <c r="AC90" s="30"/>
      <c r="AD90" s="20"/>
      <c r="AE90" s="20"/>
      <c r="AF90" s="20"/>
      <c r="AG90" s="20"/>
      <c r="AH90" s="20"/>
      <c r="AI90" s="20"/>
      <c r="AJ90" s="5"/>
      <c r="AK90" s="62"/>
      <c r="AL90" s="63"/>
      <c r="AM90" s="30"/>
      <c r="AN90" s="30"/>
      <c r="AO90" s="30"/>
      <c r="AP90" s="20"/>
      <c r="AQ90" s="20"/>
      <c r="AR90" s="20"/>
      <c r="AS90" s="20"/>
      <c r="AT90" s="20"/>
      <c r="AU90" s="29"/>
    </row>
    <row r="91" spans="1:47" s="3" customFormat="1" ht="12.75">
      <c r="A91" s="64">
        <v>2000</v>
      </c>
      <c r="B91" s="65" t="s">
        <v>39</v>
      </c>
      <c r="C91" s="35">
        <f t="shared" si="13"/>
        <v>0.94456646794268384</v>
      </c>
      <c r="D91" s="35">
        <f t="shared" si="14"/>
        <v>0.9581962864721485</v>
      </c>
      <c r="E91" s="35">
        <f t="shared" si="15"/>
        <v>0.98577554649095278</v>
      </c>
      <c r="F91" s="20">
        <v>9561</v>
      </c>
      <c r="G91" s="20">
        <f t="shared" si="11"/>
        <v>136</v>
      </c>
      <c r="H91" s="20">
        <v>9425</v>
      </c>
      <c r="I91" s="20">
        <v>9031</v>
      </c>
      <c r="J91" s="20">
        <f t="shared" si="12"/>
        <v>394</v>
      </c>
      <c r="K91" s="20"/>
      <c r="L91" s="5"/>
      <c r="M91" s="64"/>
      <c r="N91" s="65"/>
      <c r="O91" s="30"/>
      <c r="P91" s="30"/>
      <c r="Q91" s="30"/>
      <c r="R91" s="20"/>
      <c r="S91" s="20"/>
      <c r="T91" s="20"/>
      <c r="U91" s="20"/>
      <c r="V91" s="20"/>
      <c r="W91" s="20"/>
      <c r="X91" s="5"/>
      <c r="Y91" s="64"/>
      <c r="Z91" s="65"/>
      <c r="AA91" s="30"/>
      <c r="AB91" s="30"/>
      <c r="AC91" s="30"/>
      <c r="AD91" s="20"/>
      <c r="AE91" s="20"/>
      <c r="AF91" s="20"/>
      <c r="AG91" s="20"/>
      <c r="AH91" s="20"/>
      <c r="AI91" s="20"/>
      <c r="AJ91" s="5"/>
      <c r="AK91" s="64"/>
      <c r="AL91" s="65"/>
      <c r="AM91" s="30"/>
      <c r="AN91" s="30"/>
      <c r="AO91" s="30"/>
      <c r="AP91" s="20"/>
      <c r="AQ91" s="20"/>
      <c r="AR91" s="20"/>
      <c r="AS91" s="20"/>
      <c r="AT91" s="20"/>
      <c r="AU91" s="29"/>
    </row>
    <row r="92" spans="1:47" s="3" customFormat="1" ht="12.75">
      <c r="A92" s="62">
        <v>2000</v>
      </c>
      <c r="B92" s="63" t="s">
        <v>40</v>
      </c>
      <c r="C92" s="35">
        <f t="shared" si="13"/>
        <v>0.96888067684527857</v>
      </c>
      <c r="D92" s="35">
        <f t="shared" si="14"/>
        <v>0.97304424260181654</v>
      </c>
      <c r="E92" s="35">
        <f t="shared" si="15"/>
        <v>0.9957210930662258</v>
      </c>
      <c r="F92" s="20">
        <v>10283</v>
      </c>
      <c r="G92" s="20">
        <f t="shared" si="11"/>
        <v>44</v>
      </c>
      <c r="H92" s="20">
        <v>10239</v>
      </c>
      <c r="I92" s="20">
        <v>9963</v>
      </c>
      <c r="J92" s="20">
        <f t="shared" si="12"/>
        <v>276</v>
      </c>
      <c r="K92" s="20"/>
      <c r="L92" s="5"/>
      <c r="M92" s="62"/>
      <c r="N92" s="63"/>
      <c r="O92" s="30"/>
      <c r="P92" s="30"/>
      <c r="Q92" s="30"/>
      <c r="R92" s="20"/>
      <c r="S92" s="20"/>
      <c r="T92" s="20"/>
      <c r="U92" s="20"/>
      <c r="V92" s="20"/>
      <c r="W92" s="20"/>
      <c r="X92" s="5"/>
      <c r="Y92" s="62"/>
      <c r="Z92" s="63"/>
      <c r="AA92" s="30"/>
      <c r="AB92" s="30"/>
      <c r="AC92" s="30"/>
      <c r="AD92" s="20"/>
      <c r="AE92" s="20"/>
      <c r="AF92" s="20"/>
      <c r="AG92" s="20"/>
      <c r="AH92" s="20"/>
      <c r="AI92" s="20"/>
      <c r="AJ92" s="5"/>
      <c r="AK92" s="62"/>
      <c r="AL92" s="63"/>
      <c r="AM92" s="30"/>
      <c r="AN92" s="30"/>
      <c r="AO92" s="30"/>
      <c r="AP92" s="20"/>
      <c r="AQ92" s="20"/>
      <c r="AR92" s="20"/>
      <c r="AS92" s="20"/>
      <c r="AT92" s="20"/>
      <c r="AU92" s="29"/>
    </row>
    <row r="93" spans="1:47" s="3" customFormat="1" ht="12.75">
      <c r="A93" s="64">
        <v>2000</v>
      </c>
      <c r="B93" s="65" t="s">
        <v>41</v>
      </c>
      <c r="C93" s="35">
        <f t="shared" si="13"/>
        <v>0.94705944019289234</v>
      </c>
      <c r="D93" s="35">
        <f t="shared" si="14"/>
        <v>0.9588197834854596</v>
      </c>
      <c r="E93" s="35">
        <f t="shared" si="15"/>
        <v>0.98773456337142262</v>
      </c>
      <c r="F93" s="20">
        <v>9539</v>
      </c>
      <c r="G93" s="20">
        <f t="shared" si="11"/>
        <v>117</v>
      </c>
      <c r="H93" s="20">
        <v>9422</v>
      </c>
      <c r="I93" s="20">
        <v>9034</v>
      </c>
      <c r="J93" s="20">
        <f t="shared" si="12"/>
        <v>388</v>
      </c>
      <c r="K93" s="20"/>
      <c r="L93" s="5"/>
      <c r="M93" s="64"/>
      <c r="N93" s="65"/>
      <c r="O93" s="30"/>
      <c r="P93" s="30"/>
      <c r="Q93" s="30"/>
      <c r="R93" s="20"/>
      <c r="S93" s="20"/>
      <c r="T93" s="20"/>
      <c r="U93" s="20"/>
      <c r="V93" s="20"/>
      <c r="W93" s="20"/>
      <c r="X93" s="5"/>
      <c r="Y93" s="64"/>
      <c r="Z93" s="65"/>
      <c r="AA93" s="30"/>
      <c r="AB93" s="30"/>
      <c r="AC93" s="30"/>
      <c r="AD93" s="20"/>
      <c r="AE93" s="20"/>
      <c r="AF93" s="20"/>
      <c r="AG93" s="20"/>
      <c r="AH93" s="20"/>
      <c r="AI93" s="20"/>
      <c r="AJ93" s="5"/>
      <c r="AK93" s="64"/>
      <c r="AL93" s="65"/>
      <c r="AM93" s="30"/>
      <c r="AN93" s="30"/>
      <c r="AO93" s="30"/>
      <c r="AP93" s="20"/>
      <c r="AQ93" s="20"/>
      <c r="AR93" s="20"/>
      <c r="AS93" s="20"/>
      <c r="AT93" s="20"/>
      <c r="AU93" s="29"/>
    </row>
    <row r="94" spans="1:47" s="3" customFormat="1" ht="12.75">
      <c r="A94" s="62">
        <v>2000</v>
      </c>
      <c r="B94" s="63" t="s">
        <v>42</v>
      </c>
      <c r="C94" s="35">
        <f t="shared" si="13"/>
        <v>0.89509577775549087</v>
      </c>
      <c r="D94" s="35">
        <f t="shared" si="14"/>
        <v>0.91830435229961926</v>
      </c>
      <c r="E94" s="35">
        <f t="shared" si="15"/>
        <v>0.97472670745160972</v>
      </c>
      <c r="F94" s="20">
        <v>9971</v>
      </c>
      <c r="G94" s="20">
        <f t="shared" si="11"/>
        <v>252</v>
      </c>
      <c r="H94" s="20">
        <v>9719</v>
      </c>
      <c r="I94" s="20">
        <v>8925</v>
      </c>
      <c r="J94" s="20">
        <f t="shared" si="12"/>
        <v>794</v>
      </c>
      <c r="K94" s="20"/>
      <c r="L94" s="5"/>
      <c r="M94" s="62"/>
      <c r="N94" s="63"/>
      <c r="O94" s="30"/>
      <c r="P94" s="30"/>
      <c r="Q94" s="30"/>
      <c r="R94" s="20"/>
      <c r="S94" s="20"/>
      <c r="T94" s="20"/>
      <c r="U94" s="20"/>
      <c r="V94" s="20"/>
      <c r="W94" s="20"/>
      <c r="X94" s="5"/>
      <c r="Y94" s="62"/>
      <c r="Z94" s="63"/>
      <c r="AA94" s="30"/>
      <c r="AB94" s="30"/>
      <c r="AC94" s="30"/>
      <c r="AD94" s="20"/>
      <c r="AE94" s="20"/>
      <c r="AF94" s="20"/>
      <c r="AG94" s="20"/>
      <c r="AH94" s="20"/>
      <c r="AI94" s="20"/>
      <c r="AJ94" s="5"/>
      <c r="AK94" s="62"/>
      <c r="AL94" s="63"/>
      <c r="AM94" s="30"/>
      <c r="AN94" s="30"/>
      <c r="AO94" s="30"/>
      <c r="AP94" s="20"/>
      <c r="AQ94" s="20"/>
      <c r="AR94" s="20"/>
      <c r="AS94" s="20"/>
      <c r="AT94" s="20"/>
      <c r="AU94" s="29"/>
    </row>
    <row r="95" spans="1:47" s="3" customFormat="1" ht="12.75">
      <c r="A95" s="64">
        <v>2000</v>
      </c>
      <c r="B95" s="65" t="s">
        <v>43</v>
      </c>
      <c r="C95" s="35">
        <f t="shared" si="13"/>
        <v>0.86540646627414519</v>
      </c>
      <c r="D95" s="35">
        <f t="shared" si="14"/>
        <v>0.91005865739734959</v>
      </c>
      <c r="E95" s="35">
        <f t="shared" si="15"/>
        <v>0.95093482078297698</v>
      </c>
      <c r="F95" s="20">
        <v>9681</v>
      </c>
      <c r="G95" s="20">
        <f t="shared" si="11"/>
        <v>475</v>
      </c>
      <c r="H95" s="20">
        <v>9206</v>
      </c>
      <c r="I95" s="20">
        <v>8378</v>
      </c>
      <c r="J95" s="20">
        <f t="shared" si="12"/>
        <v>828</v>
      </c>
      <c r="K95" s="20"/>
      <c r="L95" s="5"/>
      <c r="M95" s="64"/>
      <c r="N95" s="65"/>
      <c r="O95" s="30"/>
      <c r="P95" s="30"/>
      <c r="Q95" s="30"/>
      <c r="R95" s="20"/>
      <c r="S95" s="20"/>
      <c r="T95" s="20"/>
      <c r="U95" s="20"/>
      <c r="V95" s="20"/>
      <c r="W95" s="20"/>
      <c r="X95" s="5"/>
      <c r="Y95" s="64"/>
      <c r="Z95" s="65"/>
      <c r="AA95" s="30"/>
      <c r="AB95" s="30"/>
      <c r="AC95" s="30"/>
      <c r="AD95" s="20"/>
      <c r="AE95" s="20"/>
      <c r="AF95" s="20"/>
      <c r="AG95" s="20"/>
      <c r="AH95" s="20"/>
      <c r="AI95" s="20"/>
      <c r="AJ95" s="5"/>
      <c r="AK95" s="64"/>
      <c r="AL95" s="65"/>
      <c r="AM95" s="30"/>
      <c r="AN95" s="30"/>
      <c r="AO95" s="30"/>
      <c r="AP95" s="20"/>
      <c r="AQ95" s="20"/>
      <c r="AR95" s="20"/>
      <c r="AS95" s="20"/>
      <c r="AT95" s="20"/>
      <c r="AU95" s="29"/>
    </row>
    <row r="96" spans="1:47" s="3" customFormat="1" ht="12.75">
      <c r="A96" s="62">
        <v>2000</v>
      </c>
      <c r="B96" s="63" t="s">
        <v>44</v>
      </c>
      <c r="C96" s="35">
        <f t="shared" si="13"/>
        <v>0.93416865552903738</v>
      </c>
      <c r="D96" s="35">
        <f t="shared" si="14"/>
        <v>0.9466895092210017</v>
      </c>
      <c r="E96" s="35">
        <f t="shared" si="15"/>
        <v>0.9867740652346858</v>
      </c>
      <c r="F96" s="20">
        <v>10056</v>
      </c>
      <c r="G96" s="20">
        <f t="shared" si="11"/>
        <v>133</v>
      </c>
      <c r="H96" s="20">
        <v>9923</v>
      </c>
      <c r="I96" s="20">
        <v>9394</v>
      </c>
      <c r="J96" s="20">
        <f t="shared" si="12"/>
        <v>529</v>
      </c>
      <c r="K96" s="20"/>
      <c r="L96" s="5"/>
      <c r="M96" s="62"/>
      <c r="N96" s="63"/>
      <c r="O96" s="30"/>
      <c r="P96" s="30"/>
      <c r="Q96" s="30"/>
      <c r="R96" s="20"/>
      <c r="S96" s="20"/>
      <c r="T96" s="20"/>
      <c r="U96" s="20"/>
      <c r="V96" s="20"/>
      <c r="W96" s="20"/>
      <c r="X96" s="5"/>
      <c r="Y96" s="62"/>
      <c r="Z96" s="63"/>
      <c r="AA96" s="30"/>
      <c r="AB96" s="30"/>
      <c r="AC96" s="30"/>
      <c r="AD96" s="20"/>
      <c r="AE96" s="20"/>
      <c r="AF96" s="20"/>
      <c r="AG96" s="20"/>
      <c r="AH96" s="20"/>
      <c r="AI96" s="20"/>
      <c r="AJ96" s="5"/>
      <c r="AK96" s="62"/>
      <c r="AL96" s="63"/>
      <c r="AM96" s="30"/>
      <c r="AN96" s="30"/>
      <c r="AO96" s="30"/>
      <c r="AP96" s="20"/>
      <c r="AQ96" s="20"/>
      <c r="AR96" s="20"/>
      <c r="AS96" s="20"/>
      <c r="AT96" s="20"/>
      <c r="AU96" s="29"/>
    </row>
    <row r="97" spans="1:47" s="3" customFormat="1" ht="12.75">
      <c r="A97" s="64">
        <v>2000</v>
      </c>
      <c r="B97" s="65" t="s">
        <v>45</v>
      </c>
      <c r="C97" s="35">
        <f t="shared" si="13"/>
        <v>0.95131825812185244</v>
      </c>
      <c r="D97" s="35">
        <f t="shared" si="14"/>
        <v>0.95784450188904358</v>
      </c>
      <c r="E97" s="35">
        <f t="shared" si="15"/>
        <v>0.99318653105559396</v>
      </c>
      <c r="F97" s="20">
        <v>10127</v>
      </c>
      <c r="G97" s="20">
        <f t="shared" si="11"/>
        <v>69</v>
      </c>
      <c r="H97" s="20">
        <v>10058</v>
      </c>
      <c r="I97" s="20">
        <v>9634</v>
      </c>
      <c r="J97" s="20">
        <f t="shared" si="12"/>
        <v>424</v>
      </c>
      <c r="K97" s="20"/>
      <c r="L97" s="5"/>
      <c r="M97" s="64"/>
      <c r="N97" s="65"/>
      <c r="O97" s="30"/>
      <c r="P97" s="30"/>
      <c r="Q97" s="30"/>
      <c r="R97" s="20"/>
      <c r="S97" s="20"/>
      <c r="T97" s="20"/>
      <c r="U97" s="20"/>
      <c r="V97" s="20"/>
      <c r="W97" s="20"/>
      <c r="X97" s="5"/>
      <c r="Y97" s="64"/>
      <c r="Z97" s="65"/>
      <c r="AA97" s="30"/>
      <c r="AB97" s="30"/>
      <c r="AC97" s="30"/>
      <c r="AD97" s="20"/>
      <c r="AE97" s="20"/>
      <c r="AF97" s="20"/>
      <c r="AG97" s="20"/>
      <c r="AH97" s="20"/>
      <c r="AI97" s="20"/>
      <c r="AJ97" s="5"/>
      <c r="AK97" s="64"/>
      <c r="AL97" s="65"/>
      <c r="AM97" s="30"/>
      <c r="AN97" s="30"/>
      <c r="AO97" s="30"/>
      <c r="AP97" s="20"/>
      <c r="AQ97" s="20"/>
      <c r="AR97" s="20"/>
      <c r="AS97" s="20"/>
      <c r="AT97" s="20"/>
      <c r="AU97" s="29"/>
    </row>
    <row r="98" spans="1:47" s="3" customFormat="1" ht="12.75">
      <c r="A98" s="62">
        <v>2000</v>
      </c>
      <c r="B98" s="63" t="s">
        <v>46</v>
      </c>
      <c r="C98" s="35">
        <f t="shared" si="13"/>
        <v>0.95137549487361694</v>
      </c>
      <c r="D98" s="35">
        <f t="shared" si="14"/>
        <v>0.96439596624819923</v>
      </c>
      <c r="E98" s="35">
        <f t="shared" si="15"/>
        <v>0.98649883260582683</v>
      </c>
      <c r="F98" s="20">
        <v>9851</v>
      </c>
      <c r="G98" s="20">
        <f t="shared" si="11"/>
        <v>133</v>
      </c>
      <c r="H98" s="20">
        <v>9718</v>
      </c>
      <c r="I98" s="20">
        <v>9372</v>
      </c>
      <c r="J98" s="20">
        <f t="shared" si="12"/>
        <v>346</v>
      </c>
      <c r="K98" s="20"/>
      <c r="L98" s="5"/>
      <c r="M98" s="62"/>
      <c r="N98" s="63"/>
      <c r="O98" s="30"/>
      <c r="P98" s="30"/>
      <c r="Q98" s="30"/>
      <c r="R98" s="20"/>
      <c r="S98" s="20"/>
      <c r="T98" s="20"/>
      <c r="U98" s="20"/>
      <c r="V98" s="20"/>
      <c r="W98" s="20"/>
      <c r="X98" s="5"/>
      <c r="Y98" s="62"/>
      <c r="Z98" s="63"/>
      <c r="AA98" s="30"/>
      <c r="AB98" s="30"/>
      <c r="AC98" s="30"/>
      <c r="AD98" s="20"/>
      <c r="AE98" s="20"/>
      <c r="AF98" s="20"/>
      <c r="AG98" s="20"/>
      <c r="AH98" s="20"/>
      <c r="AI98" s="20"/>
      <c r="AJ98" s="5"/>
      <c r="AK98" s="62"/>
      <c r="AL98" s="63"/>
      <c r="AM98" s="30"/>
      <c r="AN98" s="30"/>
      <c r="AO98" s="30"/>
      <c r="AP98" s="20"/>
      <c r="AQ98" s="20"/>
      <c r="AR98" s="20"/>
      <c r="AS98" s="20"/>
      <c r="AT98" s="20"/>
      <c r="AU98" s="29"/>
    </row>
    <row r="99" spans="1:47" s="3" customFormat="1" ht="12.75">
      <c r="A99" s="64">
        <v>2000</v>
      </c>
      <c r="B99" s="65" t="s">
        <v>47</v>
      </c>
      <c r="C99" s="35">
        <f t="shared" si="13"/>
        <v>0.96931100190552599</v>
      </c>
      <c r="D99" s="35">
        <f t="shared" si="14"/>
        <v>0.97350926672038673</v>
      </c>
      <c r="E99" s="35">
        <f t="shared" si="15"/>
        <v>0.9956874937318223</v>
      </c>
      <c r="F99" s="20">
        <v>9971</v>
      </c>
      <c r="G99" s="20">
        <f t="shared" si="11"/>
        <v>43</v>
      </c>
      <c r="H99" s="20">
        <v>9928</v>
      </c>
      <c r="I99" s="20">
        <v>9665</v>
      </c>
      <c r="J99" s="20">
        <f t="shared" si="12"/>
        <v>263</v>
      </c>
      <c r="K99" s="20"/>
      <c r="L99" s="5"/>
      <c r="M99" s="64"/>
      <c r="N99" s="65"/>
      <c r="O99" s="30"/>
      <c r="P99" s="30"/>
      <c r="Q99" s="30"/>
      <c r="R99" s="20"/>
      <c r="S99" s="20"/>
      <c r="T99" s="20"/>
      <c r="U99" s="20"/>
      <c r="V99" s="20"/>
      <c r="W99" s="20"/>
      <c r="X99" s="5"/>
      <c r="Y99" s="64"/>
      <c r="Z99" s="65"/>
      <c r="AA99" s="30"/>
      <c r="AB99" s="30"/>
      <c r="AC99" s="30"/>
      <c r="AD99" s="20"/>
      <c r="AE99" s="20"/>
      <c r="AF99" s="20"/>
      <c r="AG99" s="20"/>
      <c r="AH99" s="20"/>
      <c r="AI99" s="20"/>
      <c r="AJ99" s="5"/>
      <c r="AK99" s="64"/>
      <c r="AL99" s="65"/>
      <c r="AM99" s="30"/>
      <c r="AN99" s="30"/>
      <c r="AO99" s="30"/>
      <c r="AP99" s="20"/>
      <c r="AQ99" s="20"/>
      <c r="AR99" s="20"/>
      <c r="AS99" s="20"/>
      <c r="AT99" s="20"/>
      <c r="AU99" s="29"/>
    </row>
    <row r="100" spans="1:47" s="3" customFormat="1" ht="12.75">
      <c r="A100" s="62">
        <v>2000</v>
      </c>
      <c r="B100" s="63" t="s">
        <v>48</v>
      </c>
      <c r="C100" s="35">
        <f t="shared" si="13"/>
        <v>0.93438822817980249</v>
      </c>
      <c r="D100" s="35">
        <f t="shared" si="14"/>
        <v>0.97867623772828038</v>
      </c>
      <c r="E100" s="35">
        <f t="shared" si="15"/>
        <v>0.95474702680911105</v>
      </c>
      <c r="F100" s="20">
        <v>9922</v>
      </c>
      <c r="G100" s="20">
        <f t="shared" si="11"/>
        <v>449</v>
      </c>
      <c r="H100" s="20">
        <v>9473</v>
      </c>
      <c r="I100" s="20">
        <v>9271</v>
      </c>
      <c r="J100" s="20">
        <f t="shared" si="12"/>
        <v>202</v>
      </c>
      <c r="K100" s="20"/>
      <c r="L100" s="5"/>
      <c r="M100" s="62"/>
      <c r="N100" s="63"/>
      <c r="O100" s="30"/>
      <c r="P100" s="30"/>
      <c r="Q100" s="30"/>
      <c r="R100" s="20"/>
      <c r="S100" s="20"/>
      <c r="T100" s="20"/>
      <c r="U100" s="20"/>
      <c r="V100" s="20"/>
      <c r="W100" s="20"/>
      <c r="X100" s="5"/>
      <c r="Y100" s="62"/>
      <c r="Z100" s="63"/>
      <c r="AA100" s="30"/>
      <c r="AB100" s="30"/>
      <c r="AC100" s="30"/>
      <c r="AD100" s="20"/>
      <c r="AE100" s="20"/>
      <c r="AF100" s="20"/>
      <c r="AG100" s="20"/>
      <c r="AH100" s="20"/>
      <c r="AI100" s="20"/>
      <c r="AJ100" s="5"/>
      <c r="AK100" s="62"/>
      <c r="AL100" s="63"/>
      <c r="AM100" s="30"/>
      <c r="AN100" s="30"/>
      <c r="AO100" s="30"/>
      <c r="AP100" s="20"/>
      <c r="AQ100" s="20"/>
      <c r="AR100" s="20"/>
      <c r="AS100" s="20"/>
      <c r="AT100" s="20"/>
      <c r="AU100" s="29"/>
    </row>
    <row r="101" spans="1:47" s="3" customFormat="1" ht="12.75">
      <c r="A101" s="64">
        <v>2000</v>
      </c>
      <c r="B101" s="65" t="s">
        <v>49</v>
      </c>
      <c r="C101" s="35">
        <f t="shared" si="13"/>
        <v>0.92405582922824303</v>
      </c>
      <c r="D101" s="35">
        <f t="shared" si="14"/>
        <v>0.95099281791296997</v>
      </c>
      <c r="E101" s="35">
        <f t="shared" si="15"/>
        <v>0.97167487684729059</v>
      </c>
      <c r="F101" s="20">
        <v>9744</v>
      </c>
      <c r="G101" s="20">
        <f t="shared" si="11"/>
        <v>276</v>
      </c>
      <c r="H101" s="20">
        <v>9468</v>
      </c>
      <c r="I101" s="20">
        <v>9004</v>
      </c>
      <c r="J101" s="20">
        <f t="shared" si="12"/>
        <v>464</v>
      </c>
      <c r="K101" s="20"/>
      <c r="L101" s="5"/>
      <c r="M101" s="64"/>
      <c r="N101" s="65"/>
      <c r="O101" s="30"/>
      <c r="P101" s="30"/>
      <c r="Q101" s="30"/>
      <c r="R101" s="20"/>
      <c r="S101" s="20"/>
      <c r="T101" s="20"/>
      <c r="U101" s="20"/>
      <c r="V101" s="20"/>
      <c r="W101" s="20"/>
      <c r="X101" s="5"/>
      <c r="Y101" s="64"/>
      <c r="Z101" s="65"/>
      <c r="AA101" s="30"/>
      <c r="AB101" s="30"/>
      <c r="AC101" s="30"/>
      <c r="AD101" s="20"/>
      <c r="AE101" s="20"/>
      <c r="AF101" s="20"/>
      <c r="AG101" s="20"/>
      <c r="AH101" s="20"/>
      <c r="AI101" s="20"/>
      <c r="AJ101" s="5"/>
      <c r="AK101" s="64"/>
      <c r="AL101" s="65"/>
      <c r="AM101" s="30"/>
      <c r="AN101" s="30"/>
      <c r="AO101" s="30"/>
      <c r="AP101" s="20"/>
      <c r="AQ101" s="20"/>
      <c r="AR101" s="20"/>
      <c r="AS101" s="20"/>
      <c r="AT101" s="20"/>
      <c r="AU101" s="29"/>
    </row>
    <row r="102" spans="1:47" s="3" customFormat="1" ht="12.75">
      <c r="A102" s="62">
        <v>2001</v>
      </c>
      <c r="B102" s="63" t="s">
        <v>38</v>
      </c>
      <c r="C102" s="35">
        <f t="shared" si="13"/>
        <v>0.9431942103697829</v>
      </c>
      <c r="D102" s="35">
        <f t="shared" si="14"/>
        <v>0.96149570490146541</v>
      </c>
      <c r="E102" s="35">
        <f t="shared" si="15"/>
        <v>0.98096559928620997</v>
      </c>
      <c r="F102" s="20">
        <v>10087</v>
      </c>
      <c r="G102" s="20">
        <f t="shared" si="11"/>
        <v>192</v>
      </c>
      <c r="H102" s="20">
        <v>9895</v>
      </c>
      <c r="I102" s="20">
        <v>9514</v>
      </c>
      <c r="J102" s="20">
        <f t="shared" si="12"/>
        <v>381</v>
      </c>
      <c r="K102" s="20"/>
      <c r="L102" s="5"/>
      <c r="M102" s="62"/>
      <c r="N102" s="63"/>
      <c r="O102" s="30"/>
      <c r="P102" s="30"/>
      <c r="Q102" s="30"/>
      <c r="R102" s="20"/>
      <c r="S102" s="20"/>
      <c r="T102" s="20"/>
      <c r="U102" s="20"/>
      <c r="V102" s="20"/>
      <c r="W102" s="20"/>
      <c r="X102" s="5"/>
      <c r="Y102" s="62"/>
      <c r="Z102" s="63"/>
      <c r="AA102" s="30"/>
      <c r="AB102" s="30"/>
      <c r="AC102" s="30"/>
      <c r="AD102" s="20"/>
      <c r="AE102" s="20"/>
      <c r="AF102" s="20"/>
      <c r="AG102" s="20"/>
      <c r="AH102" s="20"/>
      <c r="AI102" s="20"/>
      <c r="AJ102" s="5"/>
      <c r="AK102" s="62"/>
      <c r="AL102" s="63"/>
      <c r="AM102" s="30"/>
      <c r="AN102" s="30"/>
      <c r="AO102" s="30"/>
      <c r="AP102" s="20"/>
      <c r="AQ102" s="20"/>
      <c r="AR102" s="20"/>
      <c r="AS102" s="20"/>
      <c r="AT102" s="20"/>
      <c r="AU102" s="29"/>
    </row>
    <row r="103" spans="1:47" s="3" customFormat="1" ht="12.75">
      <c r="A103" s="64">
        <v>2001</v>
      </c>
      <c r="B103" s="65" t="s">
        <v>39</v>
      </c>
      <c r="C103" s="35">
        <f t="shared" si="13"/>
        <v>0.95642605633802813</v>
      </c>
      <c r="D103" s="35">
        <f t="shared" si="14"/>
        <v>0.96976458774963736</v>
      </c>
      <c r="E103" s="35">
        <f t="shared" si="15"/>
        <v>0.98624559859154926</v>
      </c>
      <c r="F103" s="20">
        <v>9088</v>
      </c>
      <c r="G103" s="20">
        <f t="shared" si="11"/>
        <v>125</v>
      </c>
      <c r="H103" s="20">
        <v>8963</v>
      </c>
      <c r="I103" s="20">
        <v>8692</v>
      </c>
      <c r="J103" s="20">
        <f t="shared" si="12"/>
        <v>271</v>
      </c>
      <c r="K103" s="20"/>
      <c r="L103" s="5"/>
      <c r="M103" s="64"/>
      <c r="N103" s="65"/>
      <c r="O103" s="30"/>
      <c r="P103" s="30"/>
      <c r="Q103" s="30"/>
      <c r="R103" s="20"/>
      <c r="S103" s="20"/>
      <c r="T103" s="20"/>
      <c r="U103" s="20"/>
      <c r="V103" s="20"/>
      <c r="W103" s="20"/>
      <c r="X103" s="5"/>
      <c r="Y103" s="64"/>
      <c r="Z103" s="65"/>
      <c r="AA103" s="30"/>
      <c r="AB103" s="30"/>
      <c r="AC103" s="30"/>
      <c r="AD103" s="20"/>
      <c r="AE103" s="20"/>
      <c r="AF103" s="20"/>
      <c r="AG103" s="20"/>
      <c r="AH103" s="20"/>
      <c r="AI103" s="20"/>
      <c r="AJ103" s="5"/>
      <c r="AK103" s="64"/>
      <c r="AL103" s="65"/>
      <c r="AM103" s="30"/>
      <c r="AN103" s="30"/>
      <c r="AO103" s="30"/>
      <c r="AP103" s="20"/>
      <c r="AQ103" s="20"/>
      <c r="AR103" s="20"/>
      <c r="AS103" s="20"/>
      <c r="AT103" s="20"/>
      <c r="AU103" s="29"/>
    </row>
    <row r="104" spans="1:47" s="3" customFormat="1" ht="12.75">
      <c r="A104" s="62">
        <v>2001</v>
      </c>
      <c r="B104" s="63" t="s">
        <v>40</v>
      </c>
      <c r="C104" s="35">
        <f t="shared" si="13"/>
        <v>0.92763679619349726</v>
      </c>
      <c r="D104" s="35">
        <f t="shared" si="14"/>
        <v>0.94687847819488014</v>
      </c>
      <c r="E104" s="35">
        <f t="shared" si="15"/>
        <v>0.97967882632831083</v>
      </c>
      <c r="F104" s="20">
        <v>10088</v>
      </c>
      <c r="G104" s="20">
        <f t="shared" si="11"/>
        <v>205</v>
      </c>
      <c r="H104" s="20">
        <v>9883</v>
      </c>
      <c r="I104" s="20">
        <v>9358</v>
      </c>
      <c r="J104" s="20">
        <f t="shared" si="12"/>
        <v>525</v>
      </c>
      <c r="K104" s="20"/>
      <c r="L104" s="5"/>
      <c r="M104" s="62"/>
      <c r="N104" s="63"/>
      <c r="O104" s="30"/>
      <c r="P104" s="30"/>
      <c r="Q104" s="30"/>
      <c r="R104" s="20"/>
      <c r="S104" s="20"/>
      <c r="T104" s="20"/>
      <c r="U104" s="20"/>
      <c r="V104" s="20"/>
      <c r="W104" s="20"/>
      <c r="X104" s="5"/>
      <c r="Y104" s="62"/>
      <c r="Z104" s="63"/>
      <c r="AA104" s="30"/>
      <c r="AB104" s="30"/>
      <c r="AC104" s="30"/>
      <c r="AD104" s="20"/>
      <c r="AE104" s="20"/>
      <c r="AF104" s="20"/>
      <c r="AG104" s="20"/>
      <c r="AH104" s="20"/>
      <c r="AI104" s="20"/>
      <c r="AJ104" s="5"/>
      <c r="AK104" s="62"/>
      <c r="AL104" s="63"/>
      <c r="AM104" s="30"/>
      <c r="AN104" s="30"/>
      <c r="AO104" s="30"/>
      <c r="AP104" s="20"/>
      <c r="AQ104" s="20"/>
      <c r="AR104" s="20"/>
      <c r="AS104" s="20"/>
      <c r="AT104" s="20"/>
      <c r="AU104" s="29"/>
    </row>
    <row r="105" spans="1:47" s="3" customFormat="1" ht="12.75">
      <c r="A105" s="64">
        <v>2001</v>
      </c>
      <c r="B105" s="65" t="s">
        <v>41</v>
      </c>
      <c r="C105" s="35">
        <f t="shared" si="13"/>
        <v>0.92335096620965129</v>
      </c>
      <c r="D105" s="35">
        <f t="shared" si="14"/>
        <v>0.96731508708437008</v>
      </c>
      <c r="E105" s="35">
        <f t="shared" si="15"/>
        <v>0.95455036165389184</v>
      </c>
      <c r="F105" s="20">
        <v>9263</v>
      </c>
      <c r="G105" s="20">
        <f t="shared" si="11"/>
        <v>421</v>
      </c>
      <c r="H105" s="20">
        <v>8842</v>
      </c>
      <c r="I105" s="20">
        <v>8553</v>
      </c>
      <c r="J105" s="20">
        <f t="shared" si="12"/>
        <v>289</v>
      </c>
      <c r="K105" s="20"/>
      <c r="L105" s="5"/>
      <c r="M105" s="64"/>
      <c r="N105" s="65"/>
      <c r="O105" s="30"/>
      <c r="P105" s="30"/>
      <c r="Q105" s="30"/>
      <c r="R105" s="20"/>
      <c r="S105" s="20"/>
      <c r="T105" s="20"/>
      <c r="U105" s="20"/>
      <c r="V105" s="20"/>
      <c r="W105" s="20"/>
      <c r="X105" s="5"/>
      <c r="Y105" s="64"/>
      <c r="Z105" s="65"/>
      <c r="AA105" s="30"/>
      <c r="AB105" s="30"/>
      <c r="AC105" s="30"/>
      <c r="AD105" s="20"/>
      <c r="AE105" s="20"/>
      <c r="AF105" s="20"/>
      <c r="AG105" s="20"/>
      <c r="AH105" s="20"/>
      <c r="AI105" s="20"/>
      <c r="AJ105" s="5"/>
      <c r="AK105" s="64"/>
      <c r="AL105" s="65"/>
      <c r="AM105" s="30"/>
      <c r="AN105" s="30"/>
      <c r="AO105" s="30"/>
      <c r="AP105" s="20"/>
      <c r="AQ105" s="20"/>
      <c r="AR105" s="20"/>
      <c r="AS105" s="20"/>
      <c r="AT105" s="20"/>
      <c r="AU105" s="29"/>
    </row>
    <row r="106" spans="1:47" s="3" customFormat="1" ht="12.75">
      <c r="A106" s="62">
        <v>2001</v>
      </c>
      <c r="B106" s="63" t="s">
        <v>42</v>
      </c>
      <c r="C106" s="35">
        <f t="shared" si="13"/>
        <v>0.92789682136691376</v>
      </c>
      <c r="D106" s="35">
        <f t="shared" si="14"/>
        <v>0.94733022291342661</v>
      </c>
      <c r="E106" s="35">
        <f t="shared" si="15"/>
        <v>0.97948613791002337</v>
      </c>
      <c r="F106" s="20">
        <v>9847</v>
      </c>
      <c r="G106" s="20">
        <f t="shared" si="11"/>
        <v>202</v>
      </c>
      <c r="H106" s="20">
        <v>9645</v>
      </c>
      <c r="I106" s="20">
        <v>9137</v>
      </c>
      <c r="J106" s="20">
        <f t="shared" si="12"/>
        <v>508</v>
      </c>
      <c r="K106" s="20"/>
      <c r="L106" s="5"/>
      <c r="M106" s="62"/>
      <c r="N106" s="63"/>
      <c r="O106" s="30"/>
      <c r="P106" s="30"/>
      <c r="Q106" s="30"/>
      <c r="R106" s="20"/>
      <c r="S106" s="20"/>
      <c r="T106" s="20"/>
      <c r="U106" s="20"/>
      <c r="V106" s="20"/>
      <c r="W106" s="20"/>
      <c r="X106" s="5"/>
      <c r="Y106" s="62"/>
      <c r="Z106" s="63"/>
      <c r="AA106" s="30"/>
      <c r="AB106" s="30"/>
      <c r="AC106" s="30"/>
      <c r="AD106" s="20"/>
      <c r="AE106" s="20"/>
      <c r="AF106" s="20"/>
      <c r="AG106" s="20"/>
      <c r="AH106" s="20"/>
      <c r="AI106" s="20"/>
      <c r="AJ106" s="5"/>
      <c r="AK106" s="62"/>
      <c r="AL106" s="63"/>
      <c r="AM106" s="30"/>
      <c r="AN106" s="30"/>
      <c r="AO106" s="30"/>
      <c r="AP106" s="20"/>
      <c r="AQ106" s="20"/>
      <c r="AR106" s="20"/>
      <c r="AS106" s="20"/>
      <c r="AT106" s="20"/>
      <c r="AU106" s="29"/>
    </row>
    <row r="107" spans="1:47" s="3" customFormat="1" ht="12.75">
      <c r="A107" s="64">
        <v>2001</v>
      </c>
      <c r="B107" s="65" t="s">
        <v>43</v>
      </c>
      <c r="C107" s="35">
        <f t="shared" si="13"/>
        <v>0.93890339425587466</v>
      </c>
      <c r="D107" s="35">
        <f t="shared" si="14"/>
        <v>0.9637650085763293</v>
      </c>
      <c r="E107" s="35">
        <f t="shared" si="15"/>
        <v>0.97420365535248044</v>
      </c>
      <c r="F107" s="20">
        <v>9575</v>
      </c>
      <c r="G107" s="20">
        <f t="shared" si="11"/>
        <v>247</v>
      </c>
      <c r="H107" s="20">
        <v>9328</v>
      </c>
      <c r="I107" s="20">
        <v>8990</v>
      </c>
      <c r="J107" s="20">
        <f t="shared" si="12"/>
        <v>338</v>
      </c>
      <c r="K107" s="20"/>
      <c r="L107" s="5"/>
      <c r="M107" s="64"/>
      <c r="N107" s="65"/>
      <c r="O107" s="30"/>
      <c r="P107" s="30"/>
      <c r="Q107" s="30"/>
      <c r="R107" s="20"/>
      <c r="S107" s="20"/>
      <c r="T107" s="20"/>
      <c r="U107" s="20"/>
      <c r="V107" s="20"/>
      <c r="W107" s="20"/>
      <c r="X107" s="5"/>
      <c r="Y107" s="64"/>
      <c r="Z107" s="65"/>
      <c r="AA107" s="30"/>
      <c r="AB107" s="30"/>
      <c r="AC107" s="30"/>
      <c r="AD107" s="20"/>
      <c r="AE107" s="20"/>
      <c r="AF107" s="20"/>
      <c r="AG107" s="20"/>
      <c r="AH107" s="20"/>
      <c r="AI107" s="20"/>
      <c r="AJ107" s="5"/>
      <c r="AK107" s="64"/>
      <c r="AL107" s="65"/>
      <c r="AM107" s="30"/>
      <c r="AN107" s="30"/>
      <c r="AO107" s="30"/>
      <c r="AP107" s="20"/>
      <c r="AQ107" s="20"/>
      <c r="AR107" s="20"/>
      <c r="AS107" s="20"/>
      <c r="AT107" s="20"/>
      <c r="AU107" s="29"/>
    </row>
    <row r="108" spans="1:47" s="3" customFormat="1" ht="12.75">
      <c r="A108" s="62">
        <v>2001</v>
      </c>
      <c r="B108" s="63" t="s">
        <v>44</v>
      </c>
      <c r="C108" s="35">
        <f t="shared" si="13"/>
        <v>0.92292068650350356</v>
      </c>
      <c r="D108" s="35">
        <f t="shared" si="14"/>
        <v>0.97021458311092135</v>
      </c>
      <c r="E108" s="35">
        <f t="shared" si="15"/>
        <v>0.95125418909312476</v>
      </c>
      <c r="F108" s="20">
        <v>9847</v>
      </c>
      <c r="G108" s="20">
        <f t="shared" si="11"/>
        <v>480</v>
      </c>
      <c r="H108" s="20">
        <v>9367</v>
      </c>
      <c r="I108" s="20">
        <v>9088</v>
      </c>
      <c r="J108" s="20">
        <f t="shared" si="12"/>
        <v>279</v>
      </c>
      <c r="K108" s="20"/>
      <c r="L108" s="5"/>
      <c r="M108" s="62"/>
      <c r="N108" s="63"/>
      <c r="O108" s="30"/>
      <c r="P108" s="30"/>
      <c r="Q108" s="30"/>
      <c r="R108" s="20"/>
      <c r="S108" s="20"/>
      <c r="T108" s="20"/>
      <c r="U108" s="20"/>
      <c r="V108" s="20"/>
      <c r="W108" s="20"/>
      <c r="X108" s="5"/>
      <c r="Y108" s="62"/>
      <c r="Z108" s="63"/>
      <c r="AA108" s="30"/>
      <c r="AB108" s="30"/>
      <c r="AC108" s="30"/>
      <c r="AD108" s="20"/>
      <c r="AE108" s="20"/>
      <c r="AF108" s="20"/>
      <c r="AG108" s="20"/>
      <c r="AH108" s="20"/>
      <c r="AI108" s="20"/>
      <c r="AJ108" s="5"/>
      <c r="AK108" s="62"/>
      <c r="AL108" s="63"/>
      <c r="AM108" s="30"/>
      <c r="AN108" s="30"/>
      <c r="AO108" s="30"/>
      <c r="AP108" s="20"/>
      <c r="AQ108" s="20"/>
      <c r="AR108" s="20"/>
      <c r="AS108" s="20"/>
      <c r="AT108" s="20"/>
      <c r="AU108" s="29"/>
    </row>
    <row r="109" spans="1:47" s="3" customFormat="1" ht="12.75">
      <c r="A109" s="64">
        <v>2001</v>
      </c>
      <c r="B109" s="65" t="s">
        <v>45</v>
      </c>
      <c r="C109" s="35">
        <f t="shared" si="13"/>
        <v>0.95831250624812558</v>
      </c>
      <c r="D109" s="35">
        <f t="shared" si="14"/>
        <v>0.97024291497975712</v>
      </c>
      <c r="E109" s="35">
        <f t="shared" si="15"/>
        <v>0.98770368889333204</v>
      </c>
      <c r="F109" s="20">
        <v>10003</v>
      </c>
      <c r="G109" s="20">
        <f t="shared" si="11"/>
        <v>123</v>
      </c>
      <c r="H109" s="20">
        <v>9880</v>
      </c>
      <c r="I109" s="20">
        <v>9586</v>
      </c>
      <c r="J109" s="20">
        <f t="shared" si="12"/>
        <v>294</v>
      </c>
      <c r="K109" s="20"/>
      <c r="L109" s="5"/>
      <c r="M109" s="64"/>
      <c r="N109" s="65"/>
      <c r="O109" s="30"/>
      <c r="P109" s="30"/>
      <c r="Q109" s="30"/>
      <c r="R109" s="20"/>
      <c r="S109" s="20"/>
      <c r="T109" s="20"/>
      <c r="U109" s="20"/>
      <c r="V109" s="20"/>
      <c r="W109" s="20"/>
      <c r="X109" s="5"/>
      <c r="Y109" s="64"/>
      <c r="Z109" s="65"/>
      <c r="AA109" s="30"/>
      <c r="AB109" s="30"/>
      <c r="AC109" s="30"/>
      <c r="AD109" s="20"/>
      <c r="AE109" s="20"/>
      <c r="AF109" s="20"/>
      <c r="AG109" s="20"/>
      <c r="AH109" s="20"/>
      <c r="AI109" s="20"/>
      <c r="AJ109" s="5"/>
      <c r="AK109" s="64"/>
      <c r="AL109" s="65"/>
      <c r="AM109" s="30"/>
      <c r="AN109" s="30"/>
      <c r="AO109" s="30"/>
      <c r="AP109" s="20"/>
      <c r="AQ109" s="20"/>
      <c r="AR109" s="20"/>
      <c r="AS109" s="20"/>
      <c r="AT109" s="20"/>
      <c r="AU109" s="29"/>
    </row>
    <row r="110" spans="1:47" s="3" customFormat="1" ht="12.75">
      <c r="A110" s="62">
        <v>2001</v>
      </c>
      <c r="B110" s="63" t="s">
        <v>46</v>
      </c>
      <c r="C110" s="35">
        <f t="shared" si="13"/>
        <v>0.97242819843342032</v>
      </c>
      <c r="D110" s="35">
        <f t="shared" si="14"/>
        <v>0.98134485666104554</v>
      </c>
      <c r="E110" s="35">
        <f t="shared" si="15"/>
        <v>0.99091383812010447</v>
      </c>
      <c r="F110" s="20">
        <v>9575</v>
      </c>
      <c r="G110" s="20">
        <f t="shared" si="11"/>
        <v>87</v>
      </c>
      <c r="H110" s="20">
        <v>9488</v>
      </c>
      <c r="I110" s="20">
        <v>9311</v>
      </c>
      <c r="J110" s="20">
        <f t="shared" si="12"/>
        <v>177</v>
      </c>
      <c r="K110" s="20"/>
      <c r="L110" s="5"/>
      <c r="M110" s="62"/>
      <c r="N110" s="63"/>
      <c r="O110" s="30"/>
      <c r="P110" s="30"/>
      <c r="Q110" s="30"/>
      <c r="R110" s="20"/>
      <c r="S110" s="20"/>
      <c r="T110" s="20"/>
      <c r="U110" s="20"/>
      <c r="V110" s="20"/>
      <c r="W110" s="20"/>
      <c r="X110" s="5"/>
      <c r="Y110" s="62"/>
      <c r="Z110" s="63"/>
      <c r="AA110" s="30"/>
      <c r="AB110" s="30"/>
      <c r="AC110" s="30"/>
      <c r="AD110" s="20"/>
      <c r="AE110" s="20"/>
      <c r="AF110" s="20"/>
      <c r="AG110" s="20"/>
      <c r="AH110" s="20"/>
      <c r="AI110" s="20"/>
      <c r="AJ110" s="5"/>
      <c r="AK110" s="62"/>
      <c r="AL110" s="63"/>
      <c r="AM110" s="30"/>
      <c r="AN110" s="30"/>
      <c r="AO110" s="30"/>
      <c r="AP110" s="20"/>
      <c r="AQ110" s="20"/>
      <c r="AR110" s="20"/>
      <c r="AS110" s="20"/>
      <c r="AT110" s="20"/>
      <c r="AU110" s="29"/>
    </row>
    <row r="111" spans="1:47" s="3" customFormat="1" ht="12.75">
      <c r="A111" s="64">
        <v>2001</v>
      </c>
      <c r="B111" s="65" t="s">
        <v>47</v>
      </c>
      <c r="C111" s="35">
        <f t="shared" si="13"/>
        <v>0.94941517544736576</v>
      </c>
      <c r="D111" s="35">
        <f t="shared" si="14"/>
        <v>0.9598746715180918</v>
      </c>
      <c r="E111" s="35">
        <f t="shared" si="15"/>
        <v>0.98910326901929424</v>
      </c>
      <c r="F111" s="20">
        <v>10003</v>
      </c>
      <c r="G111" s="20">
        <f t="shared" si="11"/>
        <v>109</v>
      </c>
      <c r="H111" s="20">
        <v>9894</v>
      </c>
      <c r="I111" s="20">
        <v>9497</v>
      </c>
      <c r="J111" s="20">
        <f t="shared" si="12"/>
        <v>397</v>
      </c>
      <c r="K111" s="20"/>
      <c r="L111" s="5"/>
      <c r="M111" s="64"/>
      <c r="N111" s="65"/>
      <c r="O111" s="30"/>
      <c r="P111" s="30"/>
      <c r="Q111" s="30"/>
      <c r="R111" s="20"/>
      <c r="S111" s="20"/>
      <c r="T111" s="20"/>
      <c r="U111" s="20"/>
      <c r="V111" s="20"/>
      <c r="W111" s="20"/>
      <c r="X111" s="5"/>
      <c r="Y111" s="64"/>
      <c r="Z111" s="65"/>
      <c r="AA111" s="30"/>
      <c r="AB111" s="30"/>
      <c r="AC111" s="30"/>
      <c r="AD111" s="20"/>
      <c r="AE111" s="20"/>
      <c r="AF111" s="20"/>
      <c r="AG111" s="20"/>
      <c r="AH111" s="20"/>
      <c r="AI111" s="20"/>
      <c r="AJ111" s="5"/>
      <c r="AK111" s="64"/>
      <c r="AL111" s="65"/>
      <c r="AM111" s="30"/>
      <c r="AN111" s="30"/>
      <c r="AO111" s="30"/>
      <c r="AP111" s="20"/>
      <c r="AQ111" s="20"/>
      <c r="AR111" s="20"/>
      <c r="AS111" s="20"/>
      <c r="AT111" s="20"/>
      <c r="AU111" s="29"/>
    </row>
    <row r="112" spans="1:47" s="3" customFormat="1" ht="12.75">
      <c r="A112" s="62">
        <v>2001</v>
      </c>
      <c r="B112" s="63" t="s">
        <v>48</v>
      </c>
      <c r="C112" s="35">
        <f t="shared" si="13"/>
        <v>0.86250900483688386</v>
      </c>
      <c r="D112" s="35">
        <f t="shared" si="14"/>
        <v>0.90674023585415986</v>
      </c>
      <c r="E112" s="35">
        <f t="shared" si="15"/>
        <v>0.95121951219512191</v>
      </c>
      <c r="F112" s="20">
        <v>9717</v>
      </c>
      <c r="G112" s="20">
        <f t="shared" si="11"/>
        <v>474</v>
      </c>
      <c r="H112" s="20">
        <v>9243</v>
      </c>
      <c r="I112" s="20">
        <v>8381</v>
      </c>
      <c r="J112" s="20">
        <f t="shared" si="12"/>
        <v>862</v>
      </c>
      <c r="K112" s="20"/>
      <c r="L112" s="5"/>
      <c r="M112" s="62"/>
      <c r="N112" s="63"/>
      <c r="O112" s="30"/>
      <c r="P112" s="30"/>
      <c r="Q112" s="30"/>
      <c r="R112" s="20"/>
      <c r="S112" s="20"/>
      <c r="T112" s="20"/>
      <c r="U112" s="20"/>
      <c r="V112" s="20"/>
      <c r="W112" s="20"/>
      <c r="X112" s="5"/>
      <c r="Y112" s="62"/>
      <c r="Z112" s="63"/>
      <c r="AA112" s="30"/>
      <c r="AB112" s="30"/>
      <c r="AC112" s="30"/>
      <c r="AD112" s="20"/>
      <c r="AE112" s="20"/>
      <c r="AF112" s="20"/>
      <c r="AG112" s="20"/>
      <c r="AH112" s="20"/>
      <c r="AI112" s="20"/>
      <c r="AJ112" s="5"/>
      <c r="AK112" s="62"/>
      <c r="AL112" s="63"/>
      <c r="AM112" s="30"/>
      <c r="AN112" s="30"/>
      <c r="AO112" s="30"/>
      <c r="AP112" s="20"/>
      <c r="AQ112" s="20"/>
      <c r="AR112" s="20"/>
      <c r="AS112" s="20"/>
      <c r="AT112" s="20"/>
      <c r="AU112" s="29"/>
    </row>
    <row r="113" spans="1:47" s="3" customFormat="1" ht="12.75">
      <c r="A113" s="64">
        <v>2001</v>
      </c>
      <c r="B113" s="65" t="s">
        <v>49</v>
      </c>
      <c r="C113" s="35">
        <f t="shared" si="13"/>
        <v>0.81250644928283977</v>
      </c>
      <c r="D113" s="35">
        <f t="shared" si="14"/>
        <v>0.96530587225695719</v>
      </c>
      <c r="E113" s="35">
        <f t="shared" si="15"/>
        <v>0.84170880198121967</v>
      </c>
      <c r="F113" s="20">
        <v>9691</v>
      </c>
      <c r="G113" s="20">
        <f t="shared" si="11"/>
        <v>1534</v>
      </c>
      <c r="H113" s="20">
        <v>8157</v>
      </c>
      <c r="I113" s="20">
        <v>7874</v>
      </c>
      <c r="J113" s="20">
        <f t="shared" si="12"/>
        <v>283</v>
      </c>
      <c r="K113" s="20"/>
      <c r="L113" s="5"/>
      <c r="M113" s="64"/>
      <c r="N113" s="65"/>
      <c r="O113" s="30"/>
      <c r="P113" s="30"/>
      <c r="Q113" s="30"/>
      <c r="R113" s="20"/>
      <c r="S113" s="20"/>
      <c r="T113" s="20"/>
      <c r="U113" s="20"/>
      <c r="V113" s="20"/>
      <c r="W113" s="20"/>
      <c r="X113" s="5"/>
      <c r="Y113" s="64"/>
      <c r="Z113" s="65"/>
      <c r="AA113" s="30"/>
      <c r="AB113" s="30"/>
      <c r="AC113" s="30"/>
      <c r="AD113" s="20"/>
      <c r="AE113" s="20"/>
      <c r="AF113" s="20"/>
      <c r="AG113" s="20"/>
      <c r="AH113" s="20"/>
      <c r="AI113" s="20"/>
      <c r="AJ113" s="5"/>
      <c r="AK113" s="64"/>
      <c r="AL113" s="65"/>
      <c r="AM113" s="30"/>
      <c r="AN113" s="30"/>
      <c r="AO113" s="30"/>
      <c r="AP113" s="20"/>
      <c r="AQ113" s="20"/>
      <c r="AR113" s="20"/>
      <c r="AS113" s="20"/>
      <c r="AT113" s="20"/>
      <c r="AU113" s="29"/>
    </row>
    <row r="114" spans="1:47" s="3" customFormat="1" ht="12.75">
      <c r="A114" s="62">
        <v>2002</v>
      </c>
      <c r="B114" s="63" t="s">
        <v>38</v>
      </c>
      <c r="C114" s="35">
        <f t="shared" si="13"/>
        <v>0.89723083075077481</v>
      </c>
      <c r="D114" s="35">
        <f t="shared" si="14"/>
        <v>0.97427268779852372</v>
      </c>
      <c r="E114" s="35">
        <f t="shared" si="15"/>
        <v>0.92092372288313507</v>
      </c>
      <c r="F114" s="20">
        <v>10003</v>
      </c>
      <c r="G114" s="20">
        <f t="shared" si="11"/>
        <v>791</v>
      </c>
      <c r="H114" s="20">
        <v>9212</v>
      </c>
      <c r="I114" s="20">
        <v>8975</v>
      </c>
      <c r="J114" s="20">
        <f t="shared" si="12"/>
        <v>237</v>
      </c>
      <c r="K114" s="20"/>
      <c r="L114" s="5"/>
      <c r="M114" s="62"/>
      <c r="N114" s="63"/>
      <c r="O114" s="30"/>
      <c r="P114" s="30"/>
      <c r="Q114" s="30"/>
      <c r="R114" s="20"/>
      <c r="S114" s="20"/>
      <c r="T114" s="20"/>
      <c r="U114" s="20"/>
      <c r="V114" s="20"/>
      <c r="W114" s="20"/>
      <c r="X114" s="5"/>
      <c r="Y114" s="62"/>
      <c r="Z114" s="63"/>
      <c r="AA114" s="30"/>
      <c r="AB114" s="30"/>
      <c r="AC114" s="30"/>
      <c r="AD114" s="20"/>
      <c r="AE114" s="20"/>
      <c r="AF114" s="20"/>
      <c r="AG114" s="20"/>
      <c r="AH114" s="20"/>
      <c r="AI114" s="20"/>
      <c r="AJ114" s="5"/>
      <c r="AK114" s="62"/>
      <c r="AL114" s="63"/>
      <c r="AM114" s="30"/>
      <c r="AN114" s="30"/>
      <c r="AO114" s="30"/>
      <c r="AP114" s="20"/>
      <c r="AQ114" s="20"/>
      <c r="AR114" s="20"/>
      <c r="AS114" s="20"/>
      <c r="AT114" s="20"/>
      <c r="AU114" s="29"/>
    </row>
    <row r="115" spans="1:47" s="3" customFormat="1" ht="12.75">
      <c r="A115" s="64">
        <v>2002</v>
      </c>
      <c r="B115" s="65" t="s">
        <v>39</v>
      </c>
      <c r="C115" s="35">
        <f t="shared" si="13"/>
        <v>0.855743838028169</v>
      </c>
      <c r="D115" s="35">
        <f t="shared" si="14"/>
        <v>0.94992060583852445</v>
      </c>
      <c r="E115" s="35">
        <f t="shared" si="15"/>
        <v>0.90085827464788737</v>
      </c>
      <c r="F115" s="20">
        <v>9088</v>
      </c>
      <c r="G115" s="20">
        <f t="shared" si="11"/>
        <v>901</v>
      </c>
      <c r="H115" s="20">
        <v>8187</v>
      </c>
      <c r="I115" s="20">
        <v>7777</v>
      </c>
      <c r="J115" s="20">
        <f t="shared" si="12"/>
        <v>410</v>
      </c>
      <c r="K115" s="20"/>
      <c r="L115" s="5"/>
      <c r="M115" s="64"/>
      <c r="N115" s="65"/>
      <c r="O115" s="30"/>
      <c r="P115" s="30"/>
      <c r="Q115" s="30"/>
      <c r="R115" s="20"/>
      <c r="S115" s="20"/>
      <c r="T115" s="20"/>
      <c r="U115" s="20"/>
      <c r="V115" s="20"/>
      <c r="W115" s="20"/>
      <c r="X115" s="5"/>
      <c r="Y115" s="64"/>
      <c r="Z115" s="65"/>
      <c r="AA115" s="30"/>
      <c r="AB115" s="30"/>
      <c r="AC115" s="30"/>
      <c r="AD115" s="20"/>
      <c r="AE115" s="20"/>
      <c r="AF115" s="20"/>
      <c r="AG115" s="20"/>
      <c r="AH115" s="20"/>
      <c r="AI115" s="20"/>
      <c r="AJ115" s="5"/>
      <c r="AK115" s="64"/>
      <c r="AL115" s="65"/>
      <c r="AM115" s="30"/>
      <c r="AN115" s="30"/>
      <c r="AO115" s="30"/>
      <c r="AP115" s="20"/>
      <c r="AQ115" s="20"/>
      <c r="AR115" s="20"/>
      <c r="AS115" s="20"/>
      <c r="AT115" s="20"/>
      <c r="AU115" s="29"/>
    </row>
    <row r="116" spans="1:47" s="3" customFormat="1" ht="12.75">
      <c r="A116" s="62">
        <v>2002</v>
      </c>
      <c r="B116" s="63" t="s">
        <v>40</v>
      </c>
      <c r="C116" s="35">
        <f t="shared" si="13"/>
        <v>0.85780525502318394</v>
      </c>
      <c r="D116" s="35">
        <f t="shared" si="14"/>
        <v>0.95722662987236973</v>
      </c>
      <c r="E116" s="35">
        <f t="shared" si="15"/>
        <v>0.89613601236476048</v>
      </c>
      <c r="F116" s="20">
        <v>9705</v>
      </c>
      <c r="G116" s="20">
        <f t="shared" si="11"/>
        <v>1008</v>
      </c>
      <c r="H116" s="20">
        <v>8697</v>
      </c>
      <c r="I116" s="20">
        <v>8325</v>
      </c>
      <c r="J116" s="20">
        <f t="shared" si="12"/>
        <v>372</v>
      </c>
      <c r="K116" s="20"/>
      <c r="L116" s="5"/>
      <c r="M116" s="62"/>
      <c r="N116" s="63"/>
      <c r="O116" s="30"/>
      <c r="P116" s="30"/>
      <c r="Q116" s="30"/>
      <c r="R116" s="20"/>
      <c r="S116" s="20"/>
      <c r="T116" s="20"/>
      <c r="U116" s="20"/>
      <c r="V116" s="20"/>
      <c r="W116" s="20"/>
      <c r="X116" s="5"/>
      <c r="Y116" s="62"/>
      <c r="Z116" s="63"/>
      <c r="AA116" s="30"/>
      <c r="AB116" s="30"/>
      <c r="AC116" s="30"/>
      <c r="AD116" s="20"/>
      <c r="AE116" s="20"/>
      <c r="AF116" s="20"/>
      <c r="AG116" s="20"/>
      <c r="AH116" s="20"/>
      <c r="AI116" s="20"/>
      <c r="AJ116" s="5"/>
      <c r="AK116" s="62"/>
      <c r="AL116" s="63"/>
      <c r="AM116" s="30"/>
      <c r="AN116" s="30"/>
      <c r="AO116" s="30"/>
      <c r="AP116" s="20"/>
      <c r="AQ116" s="20"/>
      <c r="AR116" s="20"/>
      <c r="AS116" s="20"/>
      <c r="AT116" s="20"/>
      <c r="AU116" s="29"/>
    </row>
    <row r="117" spans="1:47" s="3" customFormat="1" ht="12.75">
      <c r="A117" s="64">
        <v>2002</v>
      </c>
      <c r="B117" s="65" t="s">
        <v>41</v>
      </c>
      <c r="C117" s="35">
        <f t="shared" si="13"/>
        <v>0.81691893012647732</v>
      </c>
      <c r="D117" s="35">
        <f t="shared" si="14"/>
        <v>0.94473084762018944</v>
      </c>
      <c r="E117" s="35">
        <f t="shared" si="15"/>
        <v>0.86471076093717603</v>
      </c>
      <c r="F117" s="20">
        <v>9646</v>
      </c>
      <c r="G117" s="20">
        <f t="shared" si="11"/>
        <v>1305</v>
      </c>
      <c r="H117" s="20">
        <v>8341</v>
      </c>
      <c r="I117" s="20">
        <v>7880</v>
      </c>
      <c r="J117" s="20">
        <f t="shared" si="12"/>
        <v>461</v>
      </c>
      <c r="K117" s="20"/>
      <c r="L117" s="5"/>
      <c r="M117" s="64"/>
      <c r="N117" s="65"/>
      <c r="O117" s="30"/>
      <c r="P117" s="30"/>
      <c r="Q117" s="30"/>
      <c r="R117" s="20"/>
      <c r="S117" s="20"/>
      <c r="T117" s="20"/>
      <c r="U117" s="20"/>
      <c r="V117" s="20"/>
      <c r="W117" s="20"/>
      <c r="X117" s="5"/>
      <c r="Y117" s="64"/>
      <c r="Z117" s="65"/>
      <c r="AA117" s="30"/>
      <c r="AB117" s="30"/>
      <c r="AC117" s="30"/>
      <c r="AD117" s="20"/>
      <c r="AE117" s="20"/>
      <c r="AF117" s="20"/>
      <c r="AG117" s="20"/>
      <c r="AH117" s="20"/>
      <c r="AI117" s="20"/>
      <c r="AJ117" s="5"/>
      <c r="AK117" s="64"/>
      <c r="AL117" s="65"/>
      <c r="AM117" s="30"/>
      <c r="AN117" s="30"/>
      <c r="AO117" s="30"/>
      <c r="AP117" s="20"/>
      <c r="AQ117" s="20"/>
      <c r="AR117" s="20"/>
      <c r="AS117" s="20"/>
      <c r="AT117" s="20"/>
      <c r="AU117" s="29"/>
    </row>
    <row r="118" spans="1:47" s="3" customFormat="1" ht="12.75">
      <c r="A118" s="62">
        <v>2002</v>
      </c>
      <c r="B118" s="63" t="s">
        <v>42</v>
      </c>
      <c r="C118" s="35">
        <f t="shared" si="13"/>
        <v>0.85964912280701755</v>
      </c>
      <c r="D118" s="35">
        <f t="shared" si="14"/>
        <v>0.95401141322591476</v>
      </c>
      <c r="E118" s="35">
        <f t="shared" si="15"/>
        <v>0.90108892921960071</v>
      </c>
      <c r="F118" s="20">
        <v>9918</v>
      </c>
      <c r="G118" s="20">
        <f t="shared" si="11"/>
        <v>981</v>
      </c>
      <c r="H118" s="20">
        <v>8937</v>
      </c>
      <c r="I118" s="20">
        <v>8526</v>
      </c>
      <c r="J118" s="20">
        <f t="shared" si="12"/>
        <v>411</v>
      </c>
      <c r="K118" s="20"/>
      <c r="L118" s="5"/>
      <c r="M118" s="62"/>
      <c r="N118" s="63"/>
      <c r="O118" s="30"/>
      <c r="P118" s="30"/>
      <c r="Q118" s="30"/>
      <c r="R118" s="20"/>
      <c r="S118" s="20"/>
      <c r="T118" s="20"/>
      <c r="U118" s="20"/>
      <c r="V118" s="20"/>
      <c r="W118" s="20"/>
      <c r="X118" s="5"/>
      <c r="Y118" s="62"/>
      <c r="Z118" s="63"/>
      <c r="AA118" s="30"/>
      <c r="AB118" s="30"/>
      <c r="AC118" s="30"/>
      <c r="AD118" s="20"/>
      <c r="AE118" s="20"/>
      <c r="AF118" s="20"/>
      <c r="AG118" s="20"/>
      <c r="AH118" s="20"/>
      <c r="AI118" s="20"/>
      <c r="AJ118" s="5"/>
      <c r="AK118" s="62"/>
      <c r="AL118" s="63"/>
      <c r="AM118" s="30"/>
      <c r="AN118" s="30"/>
      <c r="AO118" s="30"/>
      <c r="AP118" s="20"/>
      <c r="AQ118" s="20"/>
      <c r="AR118" s="20"/>
      <c r="AS118" s="20"/>
      <c r="AT118" s="20"/>
      <c r="AU118" s="29"/>
    </row>
    <row r="119" spans="1:47" s="3" customFormat="1" ht="12.75">
      <c r="A119" s="64">
        <v>2002</v>
      </c>
      <c r="B119" s="65" t="s">
        <v>43</v>
      </c>
      <c r="C119" s="35">
        <f t="shared" si="13"/>
        <v>0.85184791843670349</v>
      </c>
      <c r="D119" s="35">
        <f t="shared" si="14"/>
        <v>0.95046806493660385</v>
      </c>
      <c r="E119" s="35">
        <f t="shared" si="15"/>
        <v>0.89624044180118945</v>
      </c>
      <c r="F119" s="20">
        <v>9416</v>
      </c>
      <c r="G119" s="20">
        <f t="shared" si="11"/>
        <v>977</v>
      </c>
      <c r="H119" s="20">
        <v>8439</v>
      </c>
      <c r="I119" s="20">
        <v>8021</v>
      </c>
      <c r="J119" s="20">
        <f t="shared" si="12"/>
        <v>418</v>
      </c>
      <c r="K119" s="20"/>
      <c r="L119" s="5"/>
      <c r="M119" s="64"/>
      <c r="N119" s="65"/>
      <c r="O119" s="30"/>
      <c r="P119" s="30"/>
      <c r="Q119" s="30"/>
      <c r="R119" s="20"/>
      <c r="S119" s="20"/>
      <c r="T119" s="20"/>
      <c r="U119" s="20"/>
      <c r="V119" s="20"/>
      <c r="W119" s="20"/>
      <c r="X119" s="5"/>
      <c r="Y119" s="64"/>
      <c r="Z119" s="65"/>
      <c r="AA119" s="30"/>
      <c r="AB119" s="30"/>
      <c r="AC119" s="30"/>
      <c r="AD119" s="20"/>
      <c r="AE119" s="20"/>
      <c r="AF119" s="20"/>
      <c r="AG119" s="20"/>
      <c r="AH119" s="20"/>
      <c r="AI119" s="20"/>
      <c r="AJ119" s="5"/>
      <c r="AK119" s="64"/>
      <c r="AL119" s="65"/>
      <c r="AM119" s="30"/>
      <c r="AN119" s="30"/>
      <c r="AO119" s="30"/>
      <c r="AP119" s="20"/>
      <c r="AQ119" s="20"/>
      <c r="AR119" s="20"/>
      <c r="AS119" s="20"/>
      <c r="AT119" s="20"/>
      <c r="AU119" s="29"/>
    </row>
    <row r="120" spans="1:47" s="3" customFormat="1" ht="12.75">
      <c r="A120" s="62">
        <v>2002</v>
      </c>
      <c r="B120" s="63" t="s">
        <v>44</v>
      </c>
      <c r="C120" s="35">
        <f t="shared" si="13"/>
        <v>0.83069199724382325</v>
      </c>
      <c r="D120" s="35">
        <f t="shared" si="14"/>
        <v>0.93207422133863482</v>
      </c>
      <c r="E120" s="35">
        <f t="shared" si="15"/>
        <v>0.89122945171768875</v>
      </c>
      <c r="F120" s="20">
        <v>10159</v>
      </c>
      <c r="G120" s="20">
        <f t="shared" si="11"/>
        <v>1105</v>
      </c>
      <c r="H120" s="20">
        <v>9054</v>
      </c>
      <c r="I120" s="20">
        <v>8439</v>
      </c>
      <c r="J120" s="20">
        <f t="shared" si="12"/>
        <v>615</v>
      </c>
      <c r="K120" s="20"/>
      <c r="L120" s="5"/>
      <c r="M120" s="62"/>
      <c r="N120" s="63"/>
      <c r="O120" s="30"/>
      <c r="P120" s="30"/>
      <c r="Q120" s="30"/>
      <c r="R120" s="20"/>
      <c r="S120" s="20"/>
      <c r="T120" s="20"/>
      <c r="U120" s="20"/>
      <c r="V120" s="20"/>
      <c r="W120" s="20"/>
      <c r="X120" s="5"/>
      <c r="Y120" s="62"/>
      <c r="Z120" s="63"/>
      <c r="AA120" s="30"/>
      <c r="AB120" s="30"/>
      <c r="AC120" s="30"/>
      <c r="AD120" s="20"/>
      <c r="AE120" s="20"/>
      <c r="AF120" s="20"/>
      <c r="AG120" s="20"/>
      <c r="AH120" s="20"/>
      <c r="AI120" s="20"/>
      <c r="AJ120" s="5"/>
      <c r="AK120" s="62"/>
      <c r="AL120" s="63"/>
      <c r="AM120" s="30"/>
      <c r="AN120" s="30"/>
      <c r="AO120" s="30"/>
      <c r="AP120" s="20"/>
      <c r="AQ120" s="20"/>
      <c r="AR120" s="20"/>
      <c r="AS120" s="20"/>
      <c r="AT120" s="20"/>
      <c r="AU120" s="29"/>
    </row>
    <row r="121" spans="1:47" s="3" customFormat="1" ht="12.75">
      <c r="A121" s="64">
        <v>2002</v>
      </c>
      <c r="B121" s="65" t="s">
        <v>45</v>
      </c>
      <c r="C121" s="35">
        <f t="shared" si="13"/>
        <v>0.82178815948449457</v>
      </c>
      <c r="D121" s="35">
        <f t="shared" si="14"/>
        <v>0.91338406445837061</v>
      </c>
      <c r="E121" s="35">
        <f t="shared" si="15"/>
        <v>0.89971808296415623</v>
      </c>
      <c r="F121" s="20">
        <v>9932</v>
      </c>
      <c r="G121" s="20">
        <f t="shared" si="11"/>
        <v>996</v>
      </c>
      <c r="H121" s="20">
        <v>8936</v>
      </c>
      <c r="I121" s="20">
        <v>8162</v>
      </c>
      <c r="J121" s="20">
        <f t="shared" si="12"/>
        <v>774</v>
      </c>
      <c r="K121" s="20"/>
      <c r="L121" s="5"/>
      <c r="M121" s="64"/>
      <c r="N121" s="65"/>
      <c r="O121" s="30"/>
      <c r="P121" s="30"/>
      <c r="Q121" s="30"/>
      <c r="R121" s="20"/>
      <c r="S121" s="20"/>
      <c r="T121" s="20"/>
      <c r="U121" s="20"/>
      <c r="V121" s="20"/>
      <c r="W121" s="20"/>
      <c r="X121" s="5"/>
      <c r="Y121" s="64"/>
      <c r="Z121" s="65"/>
      <c r="AA121" s="30"/>
      <c r="AB121" s="30"/>
      <c r="AC121" s="30"/>
      <c r="AD121" s="20"/>
      <c r="AE121" s="20"/>
      <c r="AF121" s="20"/>
      <c r="AG121" s="20"/>
      <c r="AH121" s="20"/>
      <c r="AI121" s="20"/>
      <c r="AJ121" s="5"/>
      <c r="AK121" s="64"/>
      <c r="AL121" s="65"/>
      <c r="AM121" s="30"/>
      <c r="AN121" s="30"/>
      <c r="AO121" s="30"/>
      <c r="AP121" s="20"/>
      <c r="AQ121" s="20"/>
      <c r="AR121" s="20"/>
      <c r="AS121" s="20"/>
      <c r="AT121" s="20"/>
      <c r="AU121" s="29"/>
    </row>
    <row r="122" spans="1:47" s="3" customFormat="1" ht="12.75">
      <c r="A122" s="62">
        <v>2002</v>
      </c>
      <c r="B122" s="63" t="s">
        <v>46</v>
      </c>
      <c r="C122" s="35">
        <f t="shared" si="13"/>
        <v>0.90840289371174177</v>
      </c>
      <c r="D122" s="35">
        <f t="shared" si="14"/>
        <v>0.96023529411764708</v>
      </c>
      <c r="E122" s="35">
        <f t="shared" si="15"/>
        <v>0.9460211463550362</v>
      </c>
      <c r="F122" s="20">
        <f>6939+870+1176</f>
        <v>8985</v>
      </c>
      <c r="G122" s="20">
        <f t="shared" si="11"/>
        <v>485</v>
      </c>
      <c r="H122" s="20">
        <v>8500</v>
      </c>
      <c r="I122" s="20">
        <v>8162</v>
      </c>
      <c r="J122" s="20">
        <f t="shared" si="12"/>
        <v>338</v>
      </c>
      <c r="K122" s="20"/>
      <c r="L122" s="11"/>
      <c r="M122" s="62"/>
      <c r="N122" s="63"/>
      <c r="O122" s="30"/>
      <c r="P122" s="30"/>
      <c r="Q122" s="30"/>
      <c r="R122" s="20"/>
      <c r="S122" s="20"/>
      <c r="T122" s="20"/>
      <c r="U122" s="20"/>
      <c r="V122" s="20"/>
      <c r="W122" s="20"/>
      <c r="X122" s="5"/>
      <c r="Y122" s="62"/>
      <c r="Z122" s="63"/>
      <c r="AA122" s="30"/>
      <c r="AB122" s="30"/>
      <c r="AC122" s="30"/>
      <c r="AD122" s="20"/>
      <c r="AE122" s="20"/>
      <c r="AF122" s="20"/>
      <c r="AG122" s="20"/>
      <c r="AH122" s="20"/>
      <c r="AI122" s="20"/>
      <c r="AJ122" s="5"/>
      <c r="AK122" s="62"/>
      <c r="AL122" s="63"/>
      <c r="AM122" s="30"/>
      <c r="AN122" s="30"/>
      <c r="AO122" s="30"/>
      <c r="AP122" s="20"/>
      <c r="AQ122" s="20"/>
      <c r="AR122" s="20"/>
      <c r="AS122" s="20"/>
      <c r="AT122" s="20"/>
      <c r="AU122" s="29"/>
    </row>
    <row r="123" spans="1:47" s="3" customFormat="1" ht="12.75">
      <c r="A123" s="64">
        <v>2002</v>
      </c>
      <c r="B123" s="65" t="s">
        <v>47</v>
      </c>
      <c r="C123" s="35">
        <f t="shared" si="13"/>
        <v>0.90029479890503261</v>
      </c>
      <c r="D123" s="35">
        <f t="shared" si="14"/>
        <v>0.94257054673721341</v>
      </c>
      <c r="E123" s="35">
        <f t="shared" si="15"/>
        <v>0.95514845230574863</v>
      </c>
      <c r="F123" s="20">
        <f>1005+928+7565</f>
        <v>9498</v>
      </c>
      <c r="G123" s="20">
        <f t="shared" si="11"/>
        <v>426</v>
      </c>
      <c r="H123" s="20">
        <f>964+912+7196</f>
        <v>9072</v>
      </c>
      <c r="I123" s="20">
        <f>918+799+6834</f>
        <v>8551</v>
      </c>
      <c r="J123" s="20">
        <f t="shared" si="12"/>
        <v>521</v>
      </c>
      <c r="K123" s="20"/>
      <c r="L123" s="5"/>
      <c r="M123" s="64"/>
      <c r="N123" s="65"/>
      <c r="O123" s="30"/>
      <c r="P123" s="30"/>
      <c r="Q123" s="30"/>
      <c r="R123" s="20"/>
      <c r="S123" s="20"/>
      <c r="T123" s="20"/>
      <c r="U123" s="20"/>
      <c r="V123" s="20"/>
      <c r="W123" s="20"/>
      <c r="X123" s="5"/>
      <c r="Y123" s="64"/>
      <c r="Z123" s="65"/>
      <c r="AA123" s="30"/>
      <c r="AB123" s="30"/>
      <c r="AC123" s="30"/>
      <c r="AD123" s="20"/>
      <c r="AE123" s="20"/>
      <c r="AF123" s="20"/>
      <c r="AG123" s="20"/>
      <c r="AH123" s="20"/>
      <c r="AI123" s="20"/>
      <c r="AJ123" s="5"/>
      <c r="AK123" s="64"/>
      <c r="AL123" s="65"/>
      <c r="AM123" s="30"/>
      <c r="AN123" s="30"/>
      <c r="AO123" s="30"/>
      <c r="AP123" s="20"/>
      <c r="AQ123" s="20"/>
      <c r="AR123" s="20"/>
      <c r="AS123" s="20"/>
      <c r="AT123" s="20"/>
      <c r="AU123" s="29"/>
    </row>
    <row r="124" spans="1:47" s="3" customFormat="1" ht="12.75">
      <c r="A124" s="62">
        <v>2002</v>
      </c>
      <c r="B124" s="63" t="s">
        <v>48</v>
      </c>
      <c r="C124" s="35">
        <f t="shared" si="13"/>
        <v>0.90854893138357706</v>
      </c>
      <c r="D124" s="35">
        <f t="shared" si="14"/>
        <v>0.93853125726237507</v>
      </c>
      <c r="E124" s="35">
        <f t="shared" si="15"/>
        <v>0.96805399325084363</v>
      </c>
      <c r="F124" s="20">
        <f>946+880+7064</f>
        <v>8890</v>
      </c>
      <c r="G124" s="20">
        <f t="shared" si="11"/>
        <v>284</v>
      </c>
      <c r="H124" s="20">
        <f>923+864+6819</f>
        <v>8606</v>
      </c>
      <c r="I124" s="20">
        <f>850+769+6458</f>
        <v>8077</v>
      </c>
      <c r="J124" s="20">
        <f t="shared" si="12"/>
        <v>529</v>
      </c>
      <c r="K124" s="20"/>
      <c r="L124" s="5"/>
      <c r="M124" s="62"/>
      <c r="N124" s="63"/>
      <c r="O124" s="30"/>
      <c r="P124" s="30"/>
      <c r="Q124" s="30"/>
      <c r="R124" s="20"/>
      <c r="S124" s="20"/>
      <c r="T124" s="20"/>
      <c r="U124" s="20"/>
      <c r="V124" s="20"/>
      <c r="W124" s="20"/>
      <c r="X124" s="5"/>
      <c r="Y124" s="62"/>
      <c r="Z124" s="63"/>
      <c r="AA124" s="30"/>
      <c r="AB124" s="30"/>
      <c r="AC124" s="30"/>
      <c r="AD124" s="20"/>
      <c r="AE124" s="20"/>
      <c r="AF124" s="20"/>
      <c r="AG124" s="20"/>
      <c r="AH124" s="20"/>
      <c r="AI124" s="20"/>
      <c r="AJ124" s="5"/>
      <c r="AK124" s="62"/>
      <c r="AL124" s="63"/>
      <c r="AM124" s="30"/>
      <c r="AN124" s="30"/>
      <c r="AO124" s="30"/>
      <c r="AP124" s="20"/>
      <c r="AQ124" s="20"/>
      <c r="AR124" s="20"/>
      <c r="AS124" s="20"/>
      <c r="AT124" s="20"/>
      <c r="AU124" s="29"/>
    </row>
    <row r="125" spans="1:47" s="3" customFormat="1" ht="12.75">
      <c r="A125" s="64">
        <v>2002</v>
      </c>
      <c r="B125" s="65" t="s">
        <v>49</v>
      </c>
      <c r="C125" s="35">
        <f t="shared" si="13"/>
        <v>0.92435014441235286</v>
      </c>
      <c r="D125" s="35">
        <f t="shared" si="14"/>
        <v>0.94460211147689865</v>
      </c>
      <c r="E125" s="35">
        <f t="shared" si="15"/>
        <v>0.97856031992890469</v>
      </c>
      <c r="F125" s="20">
        <f>950+914+7138</f>
        <v>9002</v>
      </c>
      <c r="G125" s="20">
        <f t="shared" si="11"/>
        <v>193</v>
      </c>
      <c r="H125" s="20">
        <f>884+888+7037</f>
        <v>8809</v>
      </c>
      <c r="I125" s="20">
        <f>700+822+6799</f>
        <v>8321</v>
      </c>
      <c r="J125" s="20">
        <f t="shared" si="12"/>
        <v>488</v>
      </c>
      <c r="K125" s="20"/>
      <c r="L125" s="5"/>
      <c r="M125" s="64"/>
      <c r="N125" s="65"/>
      <c r="O125" s="30"/>
      <c r="P125" s="30"/>
      <c r="Q125" s="30"/>
      <c r="R125" s="20"/>
      <c r="S125" s="20"/>
      <c r="T125" s="20"/>
      <c r="U125" s="20"/>
      <c r="V125" s="20"/>
      <c r="W125" s="20"/>
      <c r="X125" s="5"/>
      <c r="Y125" s="64"/>
      <c r="Z125" s="65"/>
      <c r="AA125" s="30"/>
      <c r="AB125" s="30"/>
      <c r="AC125" s="30"/>
      <c r="AD125" s="20"/>
      <c r="AE125" s="20"/>
      <c r="AF125" s="20"/>
      <c r="AG125" s="20"/>
      <c r="AH125" s="20"/>
      <c r="AI125" s="20"/>
      <c r="AJ125" s="5"/>
      <c r="AK125" s="64"/>
      <c r="AL125" s="65"/>
      <c r="AM125" s="30"/>
      <c r="AN125" s="30"/>
      <c r="AO125" s="30"/>
      <c r="AP125" s="20"/>
      <c r="AQ125" s="20"/>
      <c r="AR125" s="20"/>
      <c r="AS125" s="20"/>
      <c r="AT125" s="20"/>
      <c r="AU125" s="29"/>
    </row>
    <row r="126" spans="1:47" s="3" customFormat="1" ht="12.75">
      <c r="A126" s="62">
        <v>2003</v>
      </c>
      <c r="B126" s="63" t="s">
        <v>38</v>
      </c>
      <c r="C126" s="35">
        <f t="shared" si="13"/>
        <v>0.89006781885801789</v>
      </c>
      <c r="D126" s="35">
        <f t="shared" si="14"/>
        <v>0.91571010578437995</v>
      </c>
      <c r="E126" s="35">
        <f t="shared" si="15"/>
        <v>0.97199737475388315</v>
      </c>
      <c r="F126" s="20">
        <f>966+914+7262</f>
        <v>9142</v>
      </c>
      <c r="G126" s="20">
        <f t="shared" si="11"/>
        <v>256</v>
      </c>
      <c r="H126" s="20">
        <f>954+885+7047</f>
        <v>8886</v>
      </c>
      <c r="I126" s="20">
        <f>867+813+6457</f>
        <v>8137</v>
      </c>
      <c r="J126" s="20">
        <f t="shared" si="12"/>
        <v>749</v>
      </c>
      <c r="K126" s="20"/>
      <c r="L126" s="5"/>
      <c r="M126" s="62"/>
      <c r="N126" s="63"/>
      <c r="O126" s="30"/>
      <c r="P126" s="30"/>
      <c r="Q126" s="30"/>
      <c r="R126" s="20"/>
      <c r="S126" s="20"/>
      <c r="T126" s="20"/>
      <c r="U126" s="20"/>
      <c r="V126" s="20"/>
      <c r="W126" s="20"/>
      <c r="X126" s="5"/>
      <c r="Y126" s="62"/>
      <c r="Z126" s="63"/>
      <c r="AA126" s="30"/>
      <c r="AB126" s="30"/>
      <c r="AC126" s="30"/>
      <c r="AD126" s="20"/>
      <c r="AE126" s="20"/>
      <c r="AF126" s="20"/>
      <c r="AG126" s="20"/>
      <c r="AH126" s="20"/>
      <c r="AI126" s="20"/>
      <c r="AJ126" s="5"/>
      <c r="AK126" s="62"/>
      <c r="AL126" s="63"/>
      <c r="AM126" s="30"/>
      <c r="AN126" s="30"/>
      <c r="AO126" s="30"/>
      <c r="AP126" s="20"/>
      <c r="AQ126" s="20"/>
      <c r="AR126" s="20"/>
      <c r="AS126" s="20"/>
      <c r="AT126" s="20"/>
      <c r="AU126" s="29"/>
    </row>
    <row r="127" spans="1:47" s="3" customFormat="1" ht="12.75">
      <c r="A127" s="64">
        <v>2003</v>
      </c>
      <c r="B127" s="65" t="s">
        <v>39</v>
      </c>
      <c r="C127" s="35">
        <f t="shared" si="13"/>
        <v>0.85236030828516374</v>
      </c>
      <c r="D127" s="35">
        <f t="shared" si="14"/>
        <v>0.88199376947040498</v>
      </c>
      <c r="E127" s="35">
        <f t="shared" si="15"/>
        <v>0.96640173410404628</v>
      </c>
      <c r="F127" s="20">
        <f>880+824+6600</f>
        <v>8304</v>
      </c>
      <c r="G127" s="20">
        <f t="shared" si="11"/>
        <v>279</v>
      </c>
      <c r="H127" s="20">
        <f>834+812+6379</f>
        <v>8025</v>
      </c>
      <c r="I127" s="20">
        <f>641+738+5699</f>
        <v>7078</v>
      </c>
      <c r="J127" s="20">
        <f t="shared" si="12"/>
        <v>947</v>
      </c>
      <c r="K127" s="20"/>
      <c r="L127" s="5"/>
      <c r="M127" s="64"/>
      <c r="N127" s="65"/>
      <c r="O127" s="30"/>
      <c r="P127" s="30"/>
      <c r="Q127" s="30"/>
      <c r="R127" s="20"/>
      <c r="S127" s="20"/>
      <c r="T127" s="20"/>
      <c r="U127" s="20"/>
      <c r="V127" s="20"/>
      <c r="W127" s="20"/>
      <c r="X127" s="5"/>
      <c r="Y127" s="64"/>
      <c r="Z127" s="65"/>
      <c r="AA127" s="30"/>
      <c r="AB127" s="30"/>
      <c r="AC127" s="30"/>
      <c r="AD127" s="20"/>
      <c r="AE127" s="20"/>
      <c r="AF127" s="20"/>
      <c r="AG127" s="20"/>
      <c r="AH127" s="20"/>
      <c r="AI127" s="20"/>
      <c r="AJ127" s="5"/>
      <c r="AK127" s="64"/>
      <c r="AL127" s="65"/>
      <c r="AM127" s="30"/>
      <c r="AN127" s="30"/>
      <c r="AO127" s="30"/>
      <c r="AP127" s="20"/>
      <c r="AQ127" s="20"/>
      <c r="AR127" s="20"/>
      <c r="AS127" s="20"/>
      <c r="AT127" s="20"/>
      <c r="AU127" s="29"/>
    </row>
    <row r="128" spans="1:47" s="3" customFormat="1" ht="12.75">
      <c r="A128" s="62">
        <v>2003</v>
      </c>
      <c r="B128" s="63" t="s">
        <v>40</v>
      </c>
      <c r="C128" s="35">
        <f t="shared" si="13"/>
        <v>0.84075649059982094</v>
      </c>
      <c r="D128" s="35">
        <f t="shared" si="14"/>
        <v>0.89911440880804216</v>
      </c>
      <c r="E128" s="35">
        <f t="shared" si="15"/>
        <v>0.93509400179051028</v>
      </c>
      <c r="F128" s="20">
        <f>948+910+7078</f>
        <v>8936</v>
      </c>
      <c r="G128" s="20">
        <f t="shared" si="11"/>
        <v>580</v>
      </c>
      <c r="H128" s="20">
        <f>889+848+6619</f>
        <v>8356</v>
      </c>
      <c r="I128" s="20">
        <f>658+716+6139</f>
        <v>7513</v>
      </c>
      <c r="J128" s="20">
        <f t="shared" si="12"/>
        <v>843</v>
      </c>
      <c r="K128" s="20"/>
      <c r="L128" s="5"/>
      <c r="M128" s="62"/>
      <c r="N128" s="63"/>
      <c r="O128" s="30"/>
      <c r="P128" s="30"/>
      <c r="Q128" s="30"/>
      <c r="R128" s="20"/>
      <c r="S128" s="20"/>
      <c r="T128" s="20"/>
      <c r="U128" s="20"/>
      <c r="V128" s="20"/>
      <c r="W128" s="20"/>
      <c r="X128" s="5"/>
      <c r="Y128" s="62"/>
      <c r="Z128" s="63"/>
      <c r="AA128" s="30"/>
      <c r="AB128" s="30"/>
      <c r="AC128" s="30"/>
      <c r="AD128" s="20"/>
      <c r="AE128" s="20"/>
      <c r="AF128" s="20"/>
      <c r="AG128" s="20"/>
      <c r="AH128" s="20"/>
      <c r="AI128" s="20"/>
      <c r="AJ128" s="5"/>
      <c r="AK128" s="62"/>
      <c r="AL128" s="63"/>
      <c r="AM128" s="30"/>
      <c r="AN128" s="30"/>
      <c r="AO128" s="30"/>
      <c r="AP128" s="20"/>
      <c r="AQ128" s="20"/>
      <c r="AR128" s="20"/>
      <c r="AS128" s="20"/>
      <c r="AT128" s="20"/>
      <c r="AU128" s="29"/>
    </row>
    <row r="129" spans="1:47" s="3" customFormat="1" ht="12.75">
      <c r="A129" s="64">
        <v>2003</v>
      </c>
      <c r="B129" s="65" t="s">
        <v>41</v>
      </c>
      <c r="C129" s="35">
        <f t="shared" si="13"/>
        <v>0.84281813216821411</v>
      </c>
      <c r="D129" s="35">
        <f t="shared" si="14"/>
        <v>0.89741800418702022</v>
      </c>
      <c r="E129" s="35">
        <f t="shared" si="15"/>
        <v>0.93915892954669578</v>
      </c>
      <c r="F129" s="20">
        <v>9155</v>
      </c>
      <c r="G129" s="20">
        <f t="shared" si="11"/>
        <v>557</v>
      </c>
      <c r="H129" s="20">
        <v>8598</v>
      </c>
      <c r="I129" s="20">
        <v>7716</v>
      </c>
      <c r="J129" s="20">
        <f t="shared" si="12"/>
        <v>882</v>
      </c>
      <c r="K129" s="20"/>
      <c r="L129" s="5"/>
      <c r="M129" s="64"/>
      <c r="N129" s="65"/>
      <c r="O129" s="30"/>
      <c r="P129" s="30"/>
      <c r="Q129" s="30"/>
      <c r="R129" s="20"/>
      <c r="S129" s="20"/>
      <c r="T129" s="20"/>
      <c r="U129" s="20"/>
      <c r="V129" s="20"/>
      <c r="W129" s="20"/>
      <c r="X129" s="5"/>
      <c r="Y129" s="64"/>
      <c r="Z129" s="65"/>
      <c r="AA129" s="30"/>
      <c r="AB129" s="30"/>
      <c r="AC129" s="30"/>
      <c r="AD129" s="20"/>
      <c r="AE129" s="20"/>
      <c r="AF129" s="20"/>
      <c r="AG129" s="20"/>
      <c r="AH129" s="20"/>
      <c r="AI129" s="20"/>
      <c r="AJ129" s="5"/>
      <c r="AK129" s="64"/>
      <c r="AL129" s="65"/>
      <c r="AM129" s="30"/>
      <c r="AN129" s="30"/>
      <c r="AO129" s="30"/>
      <c r="AP129" s="20"/>
      <c r="AQ129" s="20"/>
      <c r="AR129" s="20"/>
      <c r="AS129" s="20"/>
      <c r="AT129" s="20"/>
      <c r="AU129" s="29"/>
    </row>
    <row r="130" spans="1:47" s="3" customFormat="1" ht="12.75">
      <c r="A130" s="62">
        <v>2003</v>
      </c>
      <c r="B130" s="63" t="s">
        <v>42</v>
      </c>
      <c r="C130" s="35">
        <f t="shared" si="13"/>
        <v>0.86307141352433114</v>
      </c>
      <c r="D130" s="35">
        <f t="shared" si="14"/>
        <v>0.92243611392547564</v>
      </c>
      <c r="E130" s="35">
        <f t="shared" si="15"/>
        <v>0.9356435643564357</v>
      </c>
      <c r="F130" s="20">
        <v>9494</v>
      </c>
      <c r="G130" s="20">
        <f t="shared" si="11"/>
        <v>611</v>
      </c>
      <c r="H130" s="20">
        <v>8883</v>
      </c>
      <c r="I130" s="20">
        <v>8194</v>
      </c>
      <c r="J130" s="20">
        <f t="shared" si="12"/>
        <v>689</v>
      </c>
      <c r="K130" s="20"/>
      <c r="L130" s="5"/>
      <c r="M130" s="62"/>
      <c r="N130" s="63"/>
      <c r="O130" s="30"/>
      <c r="P130" s="30"/>
      <c r="Q130" s="30"/>
      <c r="R130" s="20"/>
      <c r="S130" s="20"/>
      <c r="T130" s="20"/>
      <c r="U130" s="20"/>
      <c r="V130" s="20"/>
      <c r="W130" s="20"/>
      <c r="X130" s="5"/>
      <c r="Y130" s="62"/>
      <c r="Z130" s="63"/>
      <c r="AA130" s="30"/>
      <c r="AB130" s="30"/>
      <c r="AC130" s="30"/>
      <c r="AD130" s="20"/>
      <c r="AE130" s="20"/>
      <c r="AF130" s="20"/>
      <c r="AG130" s="20"/>
      <c r="AH130" s="20"/>
      <c r="AI130" s="20"/>
      <c r="AJ130" s="5"/>
      <c r="AK130" s="62"/>
      <c r="AL130" s="63"/>
      <c r="AM130" s="30"/>
      <c r="AN130" s="30"/>
      <c r="AO130" s="30"/>
      <c r="AP130" s="20"/>
      <c r="AQ130" s="20"/>
      <c r="AR130" s="20"/>
      <c r="AS130" s="20"/>
      <c r="AT130" s="20"/>
      <c r="AU130" s="29"/>
    </row>
    <row r="131" spans="1:47" s="3" customFormat="1" ht="12.75">
      <c r="A131" s="64">
        <v>2003</v>
      </c>
      <c r="B131" s="65" t="s">
        <v>43</v>
      </c>
      <c r="C131" s="35">
        <f t="shared" si="13"/>
        <v>0.84656084656084651</v>
      </c>
      <c r="D131" s="35">
        <f t="shared" si="14"/>
        <v>0.90480678605089537</v>
      </c>
      <c r="E131" s="35">
        <f t="shared" si="15"/>
        <v>0.93562610229276899</v>
      </c>
      <c r="F131" s="27">
        <v>9072</v>
      </c>
      <c r="G131" s="20">
        <v>584</v>
      </c>
      <c r="H131" s="27">
        <v>8488</v>
      </c>
      <c r="I131" s="27">
        <v>7680</v>
      </c>
      <c r="J131" s="20">
        <v>808</v>
      </c>
      <c r="K131" s="20"/>
      <c r="L131" s="5"/>
      <c r="M131" s="64"/>
      <c r="N131" s="65"/>
      <c r="O131" s="35"/>
      <c r="P131" s="35"/>
      <c r="Q131" s="35"/>
      <c r="R131" s="20"/>
      <c r="S131" s="27"/>
      <c r="T131" s="20"/>
      <c r="U131" s="20"/>
      <c r="V131" s="20"/>
      <c r="W131" s="20"/>
      <c r="X131" s="5"/>
      <c r="Y131" s="64"/>
      <c r="Z131" s="65"/>
      <c r="AA131" s="35"/>
      <c r="AB131" s="35"/>
      <c r="AC131" s="35"/>
      <c r="AD131" s="20"/>
      <c r="AE131" s="27"/>
      <c r="AF131" s="20"/>
      <c r="AG131" s="20"/>
      <c r="AH131" s="20"/>
      <c r="AI131" s="20"/>
      <c r="AJ131" s="5"/>
      <c r="AK131" s="64"/>
      <c r="AL131" s="65"/>
      <c r="AM131" s="35"/>
      <c r="AN131" s="35"/>
      <c r="AO131" s="35"/>
      <c r="AP131" s="20"/>
      <c r="AQ131" s="27"/>
      <c r="AR131" s="20"/>
      <c r="AS131" s="20"/>
      <c r="AT131" s="20"/>
      <c r="AU131" s="29"/>
    </row>
    <row r="132" spans="1:47" s="3" customFormat="1" ht="12.75">
      <c r="A132" s="62">
        <v>2003</v>
      </c>
      <c r="B132" s="63" t="s">
        <v>44</v>
      </c>
      <c r="C132" s="35">
        <f t="shared" si="13"/>
        <v>0.74973832949549923</v>
      </c>
      <c r="D132" s="35">
        <f t="shared" si="14"/>
        <v>0.82818822985316221</v>
      </c>
      <c r="E132" s="35">
        <f t="shared" si="15"/>
        <v>0.90527527737073477</v>
      </c>
      <c r="F132" s="27">
        <v>9554</v>
      </c>
      <c r="G132" s="20">
        <v>905</v>
      </c>
      <c r="H132" s="27">
        <v>8649</v>
      </c>
      <c r="I132" s="27">
        <v>7163</v>
      </c>
      <c r="J132" s="20">
        <v>1486</v>
      </c>
      <c r="K132" s="20"/>
      <c r="L132" s="5"/>
      <c r="M132" s="62"/>
      <c r="N132" s="63"/>
      <c r="O132" s="35"/>
      <c r="P132" s="35"/>
      <c r="Q132" s="35"/>
      <c r="R132" s="20"/>
      <c r="S132" s="27"/>
      <c r="T132" s="20"/>
      <c r="U132" s="20"/>
      <c r="V132" s="20"/>
      <c r="W132" s="20"/>
      <c r="X132" s="5"/>
      <c r="Y132" s="62"/>
      <c r="Z132" s="63"/>
      <c r="AA132" s="35"/>
      <c r="AB132" s="35"/>
      <c r="AC132" s="35"/>
      <c r="AD132" s="20"/>
      <c r="AE132" s="27"/>
      <c r="AF132" s="20"/>
      <c r="AG132" s="20"/>
      <c r="AH132" s="20"/>
      <c r="AI132" s="20"/>
      <c r="AJ132" s="5"/>
      <c r="AK132" s="62"/>
      <c r="AL132" s="63"/>
      <c r="AM132" s="35"/>
      <c r="AN132" s="35"/>
      <c r="AO132" s="35"/>
      <c r="AP132" s="20"/>
      <c r="AQ132" s="27"/>
      <c r="AR132" s="20"/>
      <c r="AS132" s="20"/>
      <c r="AT132" s="20"/>
      <c r="AU132" s="29"/>
    </row>
    <row r="133" spans="1:47" s="3" customFormat="1" ht="12.75">
      <c r="A133" s="64">
        <v>2003</v>
      </c>
      <c r="B133" s="65" t="s">
        <v>45</v>
      </c>
      <c r="C133" s="35">
        <f t="shared" si="13"/>
        <v>0.70858731686450649</v>
      </c>
      <c r="D133" s="35">
        <f t="shared" si="14"/>
        <v>0.78256761544821074</v>
      </c>
      <c r="E133" s="35">
        <f t="shared" si="15"/>
        <v>0.90546465618650407</v>
      </c>
      <c r="F133" s="27">
        <v>9351</v>
      </c>
      <c r="G133" s="20">
        <v>884</v>
      </c>
      <c r="H133" s="27">
        <v>8467</v>
      </c>
      <c r="I133" s="27">
        <v>6626</v>
      </c>
      <c r="J133" s="20">
        <v>1841</v>
      </c>
      <c r="K133" s="20"/>
      <c r="L133" s="5"/>
      <c r="M133" s="64"/>
      <c r="N133" s="65"/>
      <c r="O133" s="35"/>
      <c r="P133" s="35"/>
      <c r="Q133" s="35"/>
      <c r="R133" s="20"/>
      <c r="S133" s="27"/>
      <c r="T133" s="20"/>
      <c r="U133" s="20"/>
      <c r="V133" s="20"/>
      <c r="W133" s="20"/>
      <c r="X133" s="5"/>
      <c r="Y133" s="64"/>
      <c r="Z133" s="65"/>
      <c r="AA133" s="35"/>
      <c r="AB133" s="35"/>
      <c r="AC133" s="35"/>
      <c r="AD133" s="20"/>
      <c r="AE133" s="27"/>
      <c r="AF133" s="20"/>
      <c r="AG133" s="20"/>
      <c r="AH133" s="20"/>
      <c r="AI133" s="20"/>
      <c r="AJ133" s="5"/>
      <c r="AK133" s="64"/>
      <c r="AL133" s="65"/>
      <c r="AM133" s="35"/>
      <c r="AN133" s="35"/>
      <c r="AO133" s="35"/>
      <c r="AP133" s="20"/>
      <c r="AQ133" s="27"/>
      <c r="AR133" s="20"/>
      <c r="AS133" s="20"/>
      <c r="AT133" s="20"/>
      <c r="AU133" s="29"/>
    </row>
    <row r="134" spans="1:47" s="3" customFormat="1" ht="12.75">
      <c r="A134" s="62">
        <v>2003</v>
      </c>
      <c r="B134" s="63" t="s">
        <v>46</v>
      </c>
      <c r="C134" s="35">
        <f t="shared" si="13"/>
        <v>0.84985552344965543</v>
      </c>
      <c r="D134" s="35">
        <f t="shared" si="14"/>
        <v>0.87125441494815992</v>
      </c>
      <c r="E134" s="35">
        <f t="shared" si="15"/>
        <v>0.97543898644143145</v>
      </c>
      <c r="F134" s="27">
        <f t="shared" ref="F134:F139" si="16">+R134+AD134+AP134</f>
        <v>8998</v>
      </c>
      <c r="G134" s="20">
        <f t="shared" ref="G134:G139" si="17">F134-H134</f>
        <v>221</v>
      </c>
      <c r="H134" s="27">
        <f t="shared" ref="H134:H139" si="18">+T134+AF134+AR134</f>
        <v>8777</v>
      </c>
      <c r="I134" s="27">
        <f t="shared" ref="I134:I139" si="19">+U134+AG134+AS134</f>
        <v>7647</v>
      </c>
      <c r="J134" s="20">
        <f t="shared" ref="J134:J139" si="20">H134-I134</f>
        <v>1130</v>
      </c>
      <c r="K134" s="20"/>
      <c r="L134" s="5"/>
      <c r="M134" s="62">
        <v>2003</v>
      </c>
      <c r="N134" s="63" t="s">
        <v>46</v>
      </c>
      <c r="O134" s="35">
        <f t="shared" ref="O134:O137" si="21">U134/R134</f>
        <v>0.84133407758861289</v>
      </c>
      <c r="P134" s="35">
        <f t="shared" ref="P134:P137" si="22">U134/T134</f>
        <v>0.8606709493219129</v>
      </c>
      <c r="Q134" s="35">
        <f t="shared" ref="Q134:Q137" si="23">T134/R134</f>
        <v>0.97753279374825564</v>
      </c>
      <c r="R134" s="20">
        <v>7166</v>
      </c>
      <c r="S134" s="27">
        <f t="shared" ref="S134:S137" si="24">R134-T134</f>
        <v>161</v>
      </c>
      <c r="T134" s="20">
        <v>7005</v>
      </c>
      <c r="U134" s="20">
        <v>6029</v>
      </c>
      <c r="V134" s="20">
        <f t="shared" ref="V134:V137" si="25">T134-U134</f>
        <v>976</v>
      </c>
      <c r="W134" s="20"/>
      <c r="X134" s="5"/>
      <c r="Y134" s="62">
        <v>2003</v>
      </c>
      <c r="Z134" s="63" t="s">
        <v>46</v>
      </c>
      <c r="AA134" s="35">
        <f t="shared" ref="AA134:AA137" si="26">AG134/AD134</f>
        <v>0.8631221719457014</v>
      </c>
      <c r="AB134" s="35">
        <f t="shared" ref="AB134:AB137" si="27">AG134/AF134</f>
        <v>0.89344262295081966</v>
      </c>
      <c r="AC134" s="35">
        <f t="shared" ref="AC134:AC137" si="28">AF134/AD134</f>
        <v>0.9660633484162896</v>
      </c>
      <c r="AD134" s="20">
        <v>884</v>
      </c>
      <c r="AE134" s="27">
        <f t="shared" ref="AE134:AE137" si="29">AD134-AF134</f>
        <v>30</v>
      </c>
      <c r="AF134" s="20">
        <v>854</v>
      </c>
      <c r="AG134" s="20">
        <v>763</v>
      </c>
      <c r="AH134" s="20">
        <f t="shared" ref="AH134:AH137" si="30">AF134-AG134</f>
        <v>91</v>
      </c>
      <c r="AI134" s="20"/>
      <c r="AJ134" s="5"/>
      <c r="AK134" s="62">
        <v>2003</v>
      </c>
      <c r="AL134" s="63" t="s">
        <v>46</v>
      </c>
      <c r="AM134" s="35">
        <f t="shared" ref="AM134:AM137" si="31">AS134/AP134</f>
        <v>0.90189873417721522</v>
      </c>
      <c r="AN134" s="35">
        <f t="shared" ref="AN134:AN137" si="32">AS134/AR134</f>
        <v>0.93137254901960786</v>
      </c>
      <c r="AO134" s="35">
        <f t="shared" ref="AO134:AO137" si="33">AR134/AP134</f>
        <v>0.96835443037974689</v>
      </c>
      <c r="AP134" s="20">
        <v>948</v>
      </c>
      <c r="AQ134" s="27">
        <f t="shared" ref="AQ134:AQ137" si="34">AP134-AR134</f>
        <v>30</v>
      </c>
      <c r="AR134" s="20">
        <v>918</v>
      </c>
      <c r="AS134" s="20">
        <v>855</v>
      </c>
      <c r="AT134" s="20">
        <f t="shared" ref="AT134:AT137" si="35">AR134-AS134</f>
        <v>63</v>
      </c>
      <c r="AU134" s="29"/>
    </row>
    <row r="135" spans="1:47" s="3" customFormat="1" ht="12.75">
      <c r="A135" s="64">
        <v>2003</v>
      </c>
      <c r="B135" s="65" t="s">
        <v>47</v>
      </c>
      <c r="C135" s="35">
        <f t="shared" si="13"/>
        <v>0.84476377095580235</v>
      </c>
      <c r="D135" s="35">
        <f t="shared" si="14"/>
        <v>0.87753024991518713</v>
      </c>
      <c r="E135" s="35">
        <f t="shared" si="15"/>
        <v>0.96266057043326803</v>
      </c>
      <c r="F135" s="27">
        <f t="shared" si="16"/>
        <v>9186</v>
      </c>
      <c r="G135" s="20">
        <f t="shared" si="17"/>
        <v>343</v>
      </c>
      <c r="H135" s="27">
        <f t="shared" si="18"/>
        <v>8843</v>
      </c>
      <c r="I135" s="27">
        <f t="shared" si="19"/>
        <v>7760</v>
      </c>
      <c r="J135" s="20">
        <f t="shared" si="20"/>
        <v>1083</v>
      </c>
      <c r="K135" s="20"/>
      <c r="L135" s="5"/>
      <c r="M135" s="64">
        <v>2003</v>
      </c>
      <c r="N135" s="65" t="s">
        <v>47</v>
      </c>
      <c r="O135" s="35">
        <f t="shared" si="21"/>
        <v>0.84998631261976454</v>
      </c>
      <c r="P135" s="35">
        <f t="shared" si="22"/>
        <v>0.87835926449787838</v>
      </c>
      <c r="Q135" s="35">
        <f t="shared" si="23"/>
        <v>0.96769778264440187</v>
      </c>
      <c r="R135" s="20">
        <v>7306</v>
      </c>
      <c r="S135" s="27">
        <f t="shared" si="24"/>
        <v>236</v>
      </c>
      <c r="T135" s="20">
        <v>7070</v>
      </c>
      <c r="U135" s="20">
        <v>6210</v>
      </c>
      <c r="V135" s="20">
        <f t="shared" si="25"/>
        <v>860</v>
      </c>
      <c r="W135" s="20"/>
      <c r="X135" s="5"/>
      <c r="Y135" s="64">
        <v>2003</v>
      </c>
      <c r="Z135" s="65" t="s">
        <v>47</v>
      </c>
      <c r="AA135" s="35">
        <f t="shared" si="26"/>
        <v>0.85010940919037203</v>
      </c>
      <c r="AB135" s="35">
        <f t="shared" si="27"/>
        <v>0.88095238095238093</v>
      </c>
      <c r="AC135" s="35">
        <f t="shared" si="28"/>
        <v>0.96498905908096277</v>
      </c>
      <c r="AD135" s="20">
        <v>914</v>
      </c>
      <c r="AE135" s="27">
        <f t="shared" si="29"/>
        <v>32</v>
      </c>
      <c r="AF135" s="20">
        <v>882</v>
      </c>
      <c r="AG135" s="20">
        <v>777</v>
      </c>
      <c r="AH135" s="20">
        <f t="shared" si="30"/>
        <v>105</v>
      </c>
      <c r="AI135" s="20"/>
      <c r="AJ135" s="5"/>
      <c r="AK135" s="64">
        <v>2003</v>
      </c>
      <c r="AL135" s="65" t="s">
        <v>47</v>
      </c>
      <c r="AM135" s="35">
        <f t="shared" si="31"/>
        <v>0.80020703933747417</v>
      </c>
      <c r="AN135" s="35">
        <f t="shared" si="32"/>
        <v>0.86756453423120095</v>
      </c>
      <c r="AO135" s="35">
        <f t="shared" si="33"/>
        <v>0.92236024844720499</v>
      </c>
      <c r="AP135" s="20">
        <v>966</v>
      </c>
      <c r="AQ135" s="27">
        <f t="shared" si="34"/>
        <v>75</v>
      </c>
      <c r="AR135" s="20">
        <v>891</v>
      </c>
      <c r="AS135" s="20">
        <v>773</v>
      </c>
      <c r="AT135" s="20">
        <f t="shared" si="35"/>
        <v>118</v>
      </c>
      <c r="AU135" s="29"/>
    </row>
    <row r="136" spans="1:47" s="3" customFormat="1" ht="12.75">
      <c r="A136" s="62">
        <v>2003</v>
      </c>
      <c r="B136" s="63" t="s">
        <v>48</v>
      </c>
      <c r="C136" s="35">
        <f t="shared" si="13"/>
        <v>0.82944855031267761</v>
      </c>
      <c r="D136" s="35">
        <f t="shared" si="14"/>
        <v>0.86546446790841147</v>
      </c>
      <c r="E136" s="35">
        <f t="shared" si="15"/>
        <v>0.9583854462762933</v>
      </c>
      <c r="F136" s="27">
        <f t="shared" si="16"/>
        <v>8795</v>
      </c>
      <c r="G136" s="20">
        <f t="shared" si="17"/>
        <v>366</v>
      </c>
      <c r="H136" s="27">
        <f t="shared" si="18"/>
        <v>8429</v>
      </c>
      <c r="I136" s="27">
        <f t="shared" si="19"/>
        <v>7295</v>
      </c>
      <c r="J136" s="20">
        <f t="shared" si="20"/>
        <v>1134</v>
      </c>
      <c r="K136" s="20"/>
      <c r="L136" s="5"/>
      <c r="M136" s="62">
        <v>2003</v>
      </c>
      <c r="N136" s="63" t="s">
        <v>48</v>
      </c>
      <c r="O136" s="35">
        <f t="shared" si="21"/>
        <v>0.83135289906943455</v>
      </c>
      <c r="P136" s="35">
        <f t="shared" si="22"/>
        <v>0.86157270029673594</v>
      </c>
      <c r="Q136" s="35">
        <f t="shared" si="23"/>
        <v>0.964924838940587</v>
      </c>
      <c r="R136" s="20">
        <v>6985</v>
      </c>
      <c r="S136" s="27">
        <f t="shared" si="24"/>
        <v>245</v>
      </c>
      <c r="T136" s="20">
        <v>6740</v>
      </c>
      <c r="U136" s="20">
        <v>5807</v>
      </c>
      <c r="V136" s="20">
        <f t="shared" si="25"/>
        <v>933</v>
      </c>
      <c r="W136" s="20"/>
      <c r="X136" s="5"/>
      <c r="Y136" s="62">
        <v>2003</v>
      </c>
      <c r="Z136" s="63" t="s">
        <v>48</v>
      </c>
      <c r="AA136" s="35">
        <f t="shared" si="26"/>
        <v>0.79545454545454541</v>
      </c>
      <c r="AB136" s="35">
        <f t="shared" si="27"/>
        <v>0.85889570552147243</v>
      </c>
      <c r="AC136" s="35">
        <f t="shared" si="28"/>
        <v>0.92613636363636365</v>
      </c>
      <c r="AD136" s="20">
        <v>880</v>
      </c>
      <c r="AE136" s="27">
        <f t="shared" si="29"/>
        <v>65</v>
      </c>
      <c r="AF136" s="20">
        <v>815</v>
      </c>
      <c r="AG136" s="20">
        <v>700</v>
      </c>
      <c r="AH136" s="20">
        <f t="shared" si="30"/>
        <v>115</v>
      </c>
      <c r="AI136" s="20"/>
      <c r="AJ136" s="5"/>
      <c r="AK136" s="62">
        <v>2003</v>
      </c>
      <c r="AL136" s="63" t="s">
        <v>48</v>
      </c>
      <c r="AM136" s="35">
        <f t="shared" si="31"/>
        <v>0.84731182795698923</v>
      </c>
      <c r="AN136" s="35">
        <f t="shared" si="32"/>
        <v>0.90160183066361554</v>
      </c>
      <c r="AO136" s="35">
        <f t="shared" si="33"/>
        <v>0.93978494623655917</v>
      </c>
      <c r="AP136" s="20">
        <v>930</v>
      </c>
      <c r="AQ136" s="27">
        <f t="shared" si="34"/>
        <v>56</v>
      </c>
      <c r="AR136" s="20">
        <v>874</v>
      </c>
      <c r="AS136" s="20">
        <v>788</v>
      </c>
      <c r="AT136" s="20">
        <f t="shared" si="35"/>
        <v>86</v>
      </c>
      <c r="AU136" s="29"/>
    </row>
    <row r="137" spans="1:47" s="3" customFormat="1" ht="12.75">
      <c r="A137" s="64">
        <v>2003</v>
      </c>
      <c r="B137" s="65" t="s">
        <v>49</v>
      </c>
      <c r="C137" s="35">
        <f t="shared" si="13"/>
        <v>0.83143583508345309</v>
      </c>
      <c r="D137" s="35">
        <f t="shared" si="14"/>
        <v>0.87648566767653224</v>
      </c>
      <c r="E137" s="35">
        <f t="shared" si="15"/>
        <v>0.94860174643528239</v>
      </c>
      <c r="F137" s="27">
        <f t="shared" si="16"/>
        <v>9047</v>
      </c>
      <c r="G137" s="20">
        <f t="shared" si="17"/>
        <v>465</v>
      </c>
      <c r="H137" s="27">
        <f t="shared" si="18"/>
        <v>8582</v>
      </c>
      <c r="I137" s="27">
        <f t="shared" si="19"/>
        <v>7522</v>
      </c>
      <c r="J137" s="20">
        <f t="shared" si="20"/>
        <v>1060</v>
      </c>
      <c r="K137" s="20"/>
      <c r="L137" s="5"/>
      <c r="M137" s="64">
        <v>2003</v>
      </c>
      <c r="N137" s="65" t="s">
        <v>49</v>
      </c>
      <c r="O137" s="35">
        <f t="shared" si="21"/>
        <v>0.82890157315884727</v>
      </c>
      <c r="P137" s="35">
        <f t="shared" si="22"/>
        <v>0.87059511624506503</v>
      </c>
      <c r="Q137" s="35">
        <f t="shared" si="23"/>
        <v>0.95210914659612977</v>
      </c>
      <c r="R137" s="20">
        <v>7183</v>
      </c>
      <c r="S137" s="27">
        <f t="shared" si="24"/>
        <v>344</v>
      </c>
      <c r="T137" s="20">
        <v>6839</v>
      </c>
      <c r="U137" s="20">
        <v>5954</v>
      </c>
      <c r="V137" s="20">
        <f t="shared" si="25"/>
        <v>885</v>
      </c>
      <c r="W137" s="20"/>
      <c r="X137" s="5"/>
      <c r="Y137" s="64">
        <v>2003</v>
      </c>
      <c r="Z137" s="65" t="s">
        <v>49</v>
      </c>
      <c r="AA137" s="35">
        <f t="shared" si="26"/>
        <v>0.84135667396061264</v>
      </c>
      <c r="AB137" s="35">
        <f t="shared" si="27"/>
        <v>0.89627039627039629</v>
      </c>
      <c r="AC137" s="35">
        <f t="shared" si="28"/>
        <v>0.93873085339168494</v>
      </c>
      <c r="AD137" s="20">
        <v>914</v>
      </c>
      <c r="AE137" s="27">
        <f t="shared" si="29"/>
        <v>56</v>
      </c>
      <c r="AF137" s="20">
        <v>858</v>
      </c>
      <c r="AG137" s="20">
        <v>769</v>
      </c>
      <c r="AH137" s="20">
        <f t="shared" si="30"/>
        <v>89</v>
      </c>
      <c r="AI137" s="20"/>
      <c r="AJ137" s="5"/>
      <c r="AK137" s="64">
        <v>2003</v>
      </c>
      <c r="AL137" s="65" t="s">
        <v>49</v>
      </c>
      <c r="AM137" s="35">
        <f t="shared" si="31"/>
        <v>0.84105263157894739</v>
      </c>
      <c r="AN137" s="35">
        <f t="shared" si="32"/>
        <v>0.9028248587570622</v>
      </c>
      <c r="AO137" s="35">
        <f t="shared" si="33"/>
        <v>0.93157894736842106</v>
      </c>
      <c r="AP137" s="20">
        <v>950</v>
      </c>
      <c r="AQ137" s="27">
        <f t="shared" si="34"/>
        <v>65</v>
      </c>
      <c r="AR137" s="20">
        <v>885</v>
      </c>
      <c r="AS137" s="20">
        <v>799</v>
      </c>
      <c r="AT137" s="20">
        <f t="shared" si="35"/>
        <v>86</v>
      </c>
      <c r="AU137" s="29"/>
    </row>
    <row r="138" spans="1:47" s="3" customFormat="1" ht="12.75">
      <c r="A138" s="62">
        <v>2004</v>
      </c>
      <c r="B138" s="63" t="s">
        <v>38</v>
      </c>
      <c r="C138" s="35">
        <f t="shared" ref="C138:C201" si="36">I138/F138</f>
        <v>0.87508028259473347</v>
      </c>
      <c r="D138" s="35">
        <f t="shared" ref="D138:D201" si="37">I138/H138</f>
        <v>0.90221829820108157</v>
      </c>
      <c r="E138" s="35">
        <f t="shared" ref="E138:E201" si="38">H138/F138</f>
        <v>0.96992078783986302</v>
      </c>
      <c r="F138" s="27">
        <f t="shared" si="16"/>
        <v>9342</v>
      </c>
      <c r="G138" s="20">
        <f t="shared" si="17"/>
        <v>281</v>
      </c>
      <c r="H138" s="27">
        <f t="shared" si="18"/>
        <v>9061</v>
      </c>
      <c r="I138" s="27">
        <f t="shared" si="19"/>
        <v>8175</v>
      </c>
      <c r="J138" s="20">
        <f t="shared" si="20"/>
        <v>886</v>
      </c>
      <c r="K138" s="27"/>
      <c r="L138" s="4"/>
      <c r="M138" s="62">
        <v>2004</v>
      </c>
      <c r="N138" s="63" t="s">
        <v>38</v>
      </c>
      <c r="O138" s="35">
        <f t="shared" ref="O138:O197" si="39">U138/R138</f>
        <v>0.89859271523178808</v>
      </c>
      <c r="P138" s="35">
        <f t="shared" ref="P138:P197" si="40">U138/T138</f>
        <v>0.91952562473528165</v>
      </c>
      <c r="Q138" s="35">
        <f t="shared" ref="Q138:Q197" si="41">T138/R138</f>
        <v>0.97723509933774833</v>
      </c>
      <c r="R138" s="20">
        <v>7248</v>
      </c>
      <c r="S138" s="27">
        <f t="shared" ref="S138:S149" si="42">R138-T138</f>
        <v>165</v>
      </c>
      <c r="T138" s="20">
        <v>7083</v>
      </c>
      <c r="U138" s="20">
        <v>6513</v>
      </c>
      <c r="V138" s="20">
        <f t="shared" ref="V138:V149" si="43">T138-U138</f>
        <v>570</v>
      </c>
      <c r="W138" s="20"/>
      <c r="X138" s="5"/>
      <c r="Y138" s="62">
        <v>2004</v>
      </c>
      <c r="Z138" s="63" t="s">
        <v>38</v>
      </c>
      <c r="AA138" s="35">
        <f t="shared" ref="AA138:AA197" si="44">AG138/AD138</f>
        <v>0.78131868131868132</v>
      </c>
      <c r="AB138" s="35">
        <f t="shared" ref="AB138:AB197" si="45">AG138/AF138</f>
        <v>0.83548766157461807</v>
      </c>
      <c r="AC138" s="35">
        <f t="shared" ref="AC138:AC197" si="46">AF138/AD138</f>
        <v>0.93516483516483517</v>
      </c>
      <c r="AD138" s="20">
        <v>910</v>
      </c>
      <c r="AE138" s="27">
        <f t="shared" ref="AE138:AE149" si="47">AD138-AF138</f>
        <v>59</v>
      </c>
      <c r="AF138" s="20">
        <v>851</v>
      </c>
      <c r="AG138" s="20">
        <v>711</v>
      </c>
      <c r="AH138" s="20">
        <f t="shared" ref="AH138:AH149" si="48">AF138-AG138</f>
        <v>140</v>
      </c>
      <c r="AI138" s="20"/>
      <c r="AJ138" s="5"/>
      <c r="AK138" s="62">
        <v>2004</v>
      </c>
      <c r="AL138" s="63" t="s">
        <v>38</v>
      </c>
      <c r="AM138" s="35">
        <f t="shared" ref="AM138:AM197" si="49">AS138/AP138</f>
        <v>0.80320945945945943</v>
      </c>
      <c r="AN138" s="35">
        <f t="shared" ref="AN138:AN197" si="50">AS138/AR138</f>
        <v>0.84383318544809227</v>
      </c>
      <c r="AO138" s="35">
        <f t="shared" ref="AO138:AO197" si="51">AR138/AP138</f>
        <v>0.95185810810810811</v>
      </c>
      <c r="AP138" s="20">
        <v>1184</v>
      </c>
      <c r="AQ138" s="27">
        <f t="shared" ref="AQ138:AQ149" si="52">AP138-AR138</f>
        <v>57</v>
      </c>
      <c r="AR138" s="20">
        <v>1127</v>
      </c>
      <c r="AS138" s="20">
        <v>951</v>
      </c>
      <c r="AT138" s="20">
        <f t="shared" ref="AT138:AT149" si="53">AR138-AS138</f>
        <v>176</v>
      </c>
      <c r="AU138" s="29"/>
    </row>
    <row r="139" spans="1:47" s="3" customFormat="1" ht="12.75">
      <c r="A139" s="64">
        <v>2004</v>
      </c>
      <c r="B139" s="65" t="s">
        <v>39</v>
      </c>
      <c r="C139" s="35">
        <f t="shared" si="36"/>
        <v>0.87054387568555758</v>
      </c>
      <c r="D139" s="35">
        <f t="shared" si="37"/>
        <v>0.89624750029408307</v>
      </c>
      <c r="E139" s="35">
        <f t="shared" si="38"/>
        <v>0.97132084095063986</v>
      </c>
      <c r="F139" s="27">
        <f t="shared" si="16"/>
        <v>8752</v>
      </c>
      <c r="G139" s="20">
        <f t="shared" si="17"/>
        <v>251</v>
      </c>
      <c r="H139" s="27">
        <f t="shared" si="18"/>
        <v>8501</v>
      </c>
      <c r="I139" s="27">
        <f t="shared" si="19"/>
        <v>7619</v>
      </c>
      <c r="J139" s="20">
        <f t="shared" si="20"/>
        <v>882</v>
      </c>
      <c r="K139" s="27"/>
      <c r="L139" s="4"/>
      <c r="M139" s="64">
        <v>2004</v>
      </c>
      <c r="N139" s="65" t="s">
        <v>39</v>
      </c>
      <c r="O139" s="35">
        <f t="shared" si="39"/>
        <v>0.88584070796460179</v>
      </c>
      <c r="P139" s="35">
        <f t="shared" si="40"/>
        <v>0.90615570307785154</v>
      </c>
      <c r="Q139" s="35">
        <f t="shared" si="41"/>
        <v>0.97758112094395277</v>
      </c>
      <c r="R139" s="20">
        <v>6780</v>
      </c>
      <c r="S139" s="27">
        <f t="shared" si="42"/>
        <v>152</v>
      </c>
      <c r="T139" s="20">
        <v>6628</v>
      </c>
      <c r="U139" s="20">
        <v>6006</v>
      </c>
      <c r="V139" s="20">
        <f t="shared" si="43"/>
        <v>622</v>
      </c>
      <c r="W139" s="20"/>
      <c r="X139" s="5"/>
      <c r="Y139" s="64">
        <v>2004</v>
      </c>
      <c r="Z139" s="65" t="s">
        <v>39</v>
      </c>
      <c r="AA139" s="35">
        <f t="shared" si="44"/>
        <v>0.80913348946135832</v>
      </c>
      <c r="AB139" s="35">
        <f t="shared" si="45"/>
        <v>0.84371184371184371</v>
      </c>
      <c r="AC139" s="35">
        <f t="shared" si="46"/>
        <v>0.95901639344262291</v>
      </c>
      <c r="AD139" s="20">
        <v>854</v>
      </c>
      <c r="AE139" s="27">
        <f t="shared" si="47"/>
        <v>35</v>
      </c>
      <c r="AF139" s="20">
        <v>819</v>
      </c>
      <c r="AG139" s="20">
        <v>691</v>
      </c>
      <c r="AH139" s="20">
        <f t="shared" si="48"/>
        <v>128</v>
      </c>
      <c r="AI139" s="20"/>
      <c r="AJ139" s="5"/>
      <c r="AK139" s="64">
        <v>2004</v>
      </c>
      <c r="AL139" s="65" t="s">
        <v>39</v>
      </c>
      <c r="AM139" s="35">
        <f t="shared" si="49"/>
        <v>0.8246869409660107</v>
      </c>
      <c r="AN139" s="35">
        <f t="shared" si="50"/>
        <v>0.8747628083491461</v>
      </c>
      <c r="AO139" s="35">
        <f t="shared" si="51"/>
        <v>0.9427549194991055</v>
      </c>
      <c r="AP139" s="20">
        <v>1118</v>
      </c>
      <c r="AQ139" s="27">
        <f t="shared" si="52"/>
        <v>64</v>
      </c>
      <c r="AR139" s="20">
        <v>1054</v>
      </c>
      <c r="AS139" s="20">
        <v>922</v>
      </c>
      <c r="AT139" s="20">
        <f t="shared" si="53"/>
        <v>132</v>
      </c>
      <c r="AU139" s="29"/>
    </row>
    <row r="140" spans="1:47" s="3" customFormat="1" ht="12.75">
      <c r="A140" s="62">
        <v>2004</v>
      </c>
      <c r="B140" s="63" t="s">
        <v>40</v>
      </c>
      <c r="C140" s="35">
        <f t="shared" si="36"/>
        <v>0.79007832898172325</v>
      </c>
      <c r="D140" s="35">
        <f t="shared" si="37"/>
        <v>0.82156820156385757</v>
      </c>
      <c r="E140" s="35">
        <f t="shared" si="38"/>
        <v>0.96167101827676238</v>
      </c>
      <c r="F140" s="27">
        <f t="shared" ref="F140:F169" si="54">+R140+AD140+AP140</f>
        <v>9575</v>
      </c>
      <c r="G140" s="20">
        <f t="shared" ref="G140:G197" si="55">F140-H140</f>
        <v>367</v>
      </c>
      <c r="H140" s="27">
        <f t="shared" ref="H140:H169" si="56">+T140+AF140+AR140</f>
        <v>9208</v>
      </c>
      <c r="I140" s="27">
        <f t="shared" ref="I140:I169" si="57">+U140+AG140+AS140</f>
        <v>7565</v>
      </c>
      <c r="J140" s="20">
        <f t="shared" ref="J140:J197" si="58">H140-I140</f>
        <v>1643</v>
      </c>
      <c r="K140" s="27"/>
      <c r="L140" s="4"/>
      <c r="M140" s="62">
        <v>2004</v>
      </c>
      <c r="N140" s="63" t="s">
        <v>40</v>
      </c>
      <c r="O140" s="35">
        <f t="shared" si="39"/>
        <v>0.79701171086283484</v>
      </c>
      <c r="P140" s="35">
        <f t="shared" si="40"/>
        <v>0.81940215887074452</v>
      </c>
      <c r="Q140" s="35">
        <f t="shared" si="41"/>
        <v>0.97267465338538162</v>
      </c>
      <c r="R140" s="20">
        <v>7429</v>
      </c>
      <c r="S140" s="27">
        <f t="shared" si="42"/>
        <v>203</v>
      </c>
      <c r="T140" s="20">
        <v>7226</v>
      </c>
      <c r="U140" s="20">
        <v>5921</v>
      </c>
      <c r="V140" s="20">
        <f t="shared" si="43"/>
        <v>1305</v>
      </c>
      <c r="W140" s="20"/>
      <c r="X140" s="5"/>
      <c r="Y140" s="62">
        <v>2004</v>
      </c>
      <c r="Z140" s="63" t="s">
        <v>40</v>
      </c>
      <c r="AA140" s="35">
        <f t="shared" si="44"/>
        <v>0.71006564551422324</v>
      </c>
      <c r="AB140" s="35">
        <f t="shared" si="45"/>
        <v>0.78857837181044954</v>
      </c>
      <c r="AC140" s="35">
        <f t="shared" si="46"/>
        <v>0.90043763676148791</v>
      </c>
      <c r="AD140" s="20">
        <v>914</v>
      </c>
      <c r="AE140" s="27">
        <f t="shared" si="47"/>
        <v>91</v>
      </c>
      <c r="AF140" s="20">
        <v>823</v>
      </c>
      <c r="AG140" s="20">
        <v>649</v>
      </c>
      <c r="AH140" s="20">
        <f t="shared" si="48"/>
        <v>174</v>
      </c>
      <c r="AI140" s="20"/>
      <c r="AJ140" s="5"/>
      <c r="AK140" s="62">
        <v>2004</v>
      </c>
      <c r="AL140" s="63" t="s">
        <v>40</v>
      </c>
      <c r="AM140" s="35">
        <f t="shared" si="49"/>
        <v>0.80762987012987009</v>
      </c>
      <c r="AN140" s="35">
        <f t="shared" si="50"/>
        <v>0.85849870578084553</v>
      </c>
      <c r="AO140" s="35">
        <f t="shared" si="51"/>
        <v>0.94074675324675328</v>
      </c>
      <c r="AP140" s="20">
        <v>1232</v>
      </c>
      <c r="AQ140" s="27">
        <f t="shared" si="52"/>
        <v>73</v>
      </c>
      <c r="AR140" s="20">
        <v>1159</v>
      </c>
      <c r="AS140" s="20">
        <v>995</v>
      </c>
      <c r="AT140" s="20">
        <f t="shared" si="53"/>
        <v>164</v>
      </c>
      <c r="AU140" s="29"/>
    </row>
    <row r="141" spans="1:47" s="3" customFormat="1" ht="12.75">
      <c r="A141" s="64">
        <v>2004</v>
      </c>
      <c r="B141" s="65" t="s">
        <v>41</v>
      </c>
      <c r="C141" s="35">
        <f t="shared" si="36"/>
        <v>0.66510067114093963</v>
      </c>
      <c r="D141" s="35">
        <f t="shared" si="37"/>
        <v>0.70634354953670708</v>
      </c>
      <c r="E141" s="35">
        <f t="shared" si="38"/>
        <v>0.94161073825503361</v>
      </c>
      <c r="F141" s="27">
        <f t="shared" si="54"/>
        <v>8940</v>
      </c>
      <c r="G141" s="20">
        <f t="shared" si="55"/>
        <v>522</v>
      </c>
      <c r="H141" s="27">
        <f t="shared" si="56"/>
        <v>8418</v>
      </c>
      <c r="I141" s="27">
        <f t="shared" si="57"/>
        <v>5946</v>
      </c>
      <c r="J141" s="20">
        <f t="shared" si="58"/>
        <v>2472</v>
      </c>
      <c r="K141" s="27"/>
      <c r="L141" s="4"/>
      <c r="M141" s="64">
        <v>2004</v>
      </c>
      <c r="N141" s="65" t="s">
        <v>41</v>
      </c>
      <c r="O141" s="35">
        <f t="shared" si="39"/>
        <v>0.64277456647398845</v>
      </c>
      <c r="P141" s="35">
        <f t="shared" si="40"/>
        <v>0.67970660146699269</v>
      </c>
      <c r="Q141" s="35">
        <f t="shared" si="41"/>
        <v>0.94566473988439304</v>
      </c>
      <c r="R141" s="20">
        <v>6920</v>
      </c>
      <c r="S141" s="27">
        <f t="shared" si="42"/>
        <v>376</v>
      </c>
      <c r="T141" s="20">
        <v>6544</v>
      </c>
      <c r="U141" s="20">
        <v>4448</v>
      </c>
      <c r="V141" s="20">
        <f t="shared" si="43"/>
        <v>2096</v>
      </c>
      <c r="W141" s="20"/>
      <c r="X141" s="5"/>
      <c r="Y141" s="64">
        <v>2004</v>
      </c>
      <c r="Z141" s="65" t="s">
        <v>41</v>
      </c>
      <c r="AA141" s="35">
        <f t="shared" si="44"/>
        <v>0.77149321266968329</v>
      </c>
      <c r="AB141" s="35">
        <f t="shared" si="45"/>
        <v>0.83069427527405604</v>
      </c>
      <c r="AC141" s="35">
        <f t="shared" si="46"/>
        <v>0.92873303167420818</v>
      </c>
      <c r="AD141" s="20">
        <v>884</v>
      </c>
      <c r="AE141" s="27">
        <f t="shared" si="47"/>
        <v>63</v>
      </c>
      <c r="AF141" s="20">
        <v>821</v>
      </c>
      <c r="AG141" s="20">
        <v>682</v>
      </c>
      <c r="AH141" s="20">
        <f t="shared" si="48"/>
        <v>139</v>
      </c>
      <c r="AI141" s="20"/>
      <c r="AJ141" s="5"/>
      <c r="AK141" s="64">
        <v>2004</v>
      </c>
      <c r="AL141" s="65" t="s">
        <v>41</v>
      </c>
      <c r="AM141" s="35">
        <f t="shared" si="49"/>
        <v>0.71830985915492962</v>
      </c>
      <c r="AN141" s="35">
        <f t="shared" si="50"/>
        <v>0.77492877492877488</v>
      </c>
      <c r="AO141" s="35">
        <f t="shared" si="51"/>
        <v>0.92693661971830987</v>
      </c>
      <c r="AP141" s="20">
        <v>1136</v>
      </c>
      <c r="AQ141" s="27">
        <f t="shared" si="52"/>
        <v>83</v>
      </c>
      <c r="AR141" s="20">
        <v>1053</v>
      </c>
      <c r="AS141" s="20">
        <v>816</v>
      </c>
      <c r="AT141" s="20">
        <f t="shared" si="53"/>
        <v>237</v>
      </c>
      <c r="AU141" s="29"/>
    </row>
    <row r="142" spans="1:47" s="3" customFormat="1" ht="12.75">
      <c r="A142" s="62">
        <v>2004</v>
      </c>
      <c r="B142" s="63" t="s">
        <v>42</v>
      </c>
      <c r="C142" s="35">
        <f t="shared" si="36"/>
        <v>0.72699386503067487</v>
      </c>
      <c r="D142" s="35">
        <f t="shared" si="37"/>
        <v>0.76153316502180401</v>
      </c>
      <c r="E142" s="35">
        <f t="shared" si="38"/>
        <v>0.9546450482033304</v>
      </c>
      <c r="F142" s="27">
        <f t="shared" si="54"/>
        <v>9128</v>
      </c>
      <c r="G142" s="20">
        <f t="shared" si="55"/>
        <v>414</v>
      </c>
      <c r="H142" s="27">
        <f t="shared" si="56"/>
        <v>8714</v>
      </c>
      <c r="I142" s="27">
        <f t="shared" si="57"/>
        <v>6636</v>
      </c>
      <c r="J142" s="20">
        <f t="shared" si="58"/>
        <v>2078</v>
      </c>
      <c r="K142" s="27"/>
      <c r="L142" s="4"/>
      <c r="M142" s="62">
        <v>2004</v>
      </c>
      <c r="N142" s="63" t="s">
        <v>42</v>
      </c>
      <c r="O142" s="35">
        <f t="shared" si="39"/>
        <v>0.72181303116147311</v>
      </c>
      <c r="P142" s="35">
        <f t="shared" si="40"/>
        <v>0.75473933649289104</v>
      </c>
      <c r="Q142" s="35">
        <f t="shared" si="41"/>
        <v>0.95637393767705381</v>
      </c>
      <c r="R142" s="20">
        <v>7060</v>
      </c>
      <c r="S142" s="27">
        <f t="shared" si="42"/>
        <v>308</v>
      </c>
      <c r="T142" s="20">
        <v>6752</v>
      </c>
      <c r="U142" s="20">
        <v>5096</v>
      </c>
      <c r="V142" s="20">
        <f t="shared" si="43"/>
        <v>1656</v>
      </c>
      <c r="W142" s="20"/>
      <c r="X142" s="5"/>
      <c r="Y142" s="62">
        <v>2004</v>
      </c>
      <c r="Z142" s="63" t="s">
        <v>42</v>
      </c>
      <c r="AA142" s="35">
        <f t="shared" si="44"/>
        <v>0.74288840262582057</v>
      </c>
      <c r="AB142" s="35">
        <f t="shared" si="45"/>
        <v>0.79137529137529139</v>
      </c>
      <c r="AC142" s="35">
        <f t="shared" si="46"/>
        <v>0.93873085339168494</v>
      </c>
      <c r="AD142" s="20">
        <v>914</v>
      </c>
      <c r="AE142" s="27">
        <f t="shared" si="47"/>
        <v>56</v>
      </c>
      <c r="AF142" s="20">
        <v>858</v>
      </c>
      <c r="AG142" s="20">
        <v>679</v>
      </c>
      <c r="AH142" s="20">
        <f t="shared" si="48"/>
        <v>179</v>
      </c>
      <c r="AI142" s="20"/>
      <c r="AJ142" s="5"/>
      <c r="AK142" s="62">
        <v>2004</v>
      </c>
      <c r="AL142" s="63" t="s">
        <v>42</v>
      </c>
      <c r="AM142" s="35">
        <f t="shared" si="49"/>
        <v>0.74610051993067594</v>
      </c>
      <c r="AN142" s="35">
        <f t="shared" si="50"/>
        <v>0.77989130434782605</v>
      </c>
      <c r="AO142" s="35">
        <f t="shared" si="51"/>
        <v>0.95667244367417681</v>
      </c>
      <c r="AP142" s="20">
        <v>1154</v>
      </c>
      <c r="AQ142" s="27">
        <f t="shared" si="52"/>
        <v>50</v>
      </c>
      <c r="AR142" s="20">
        <v>1104</v>
      </c>
      <c r="AS142" s="20">
        <v>861</v>
      </c>
      <c r="AT142" s="20">
        <f t="shared" si="53"/>
        <v>243</v>
      </c>
      <c r="AU142" s="29"/>
    </row>
    <row r="143" spans="1:47" s="3" customFormat="1" ht="12.75">
      <c r="A143" s="64">
        <v>2004</v>
      </c>
      <c r="B143" s="65" t="s">
        <v>43</v>
      </c>
      <c r="C143" s="35">
        <f t="shared" si="36"/>
        <v>0.77705233864925616</v>
      </c>
      <c r="D143" s="35">
        <f t="shared" si="37"/>
        <v>0.80972563015837606</v>
      </c>
      <c r="E143" s="35">
        <f t="shared" si="38"/>
        <v>0.95964893503157445</v>
      </c>
      <c r="F143" s="27">
        <f t="shared" si="54"/>
        <v>9343</v>
      </c>
      <c r="G143" s="20">
        <f t="shared" si="55"/>
        <v>377</v>
      </c>
      <c r="H143" s="27">
        <f t="shared" si="56"/>
        <v>8966</v>
      </c>
      <c r="I143" s="27">
        <f t="shared" si="57"/>
        <v>7260</v>
      </c>
      <c r="J143" s="20">
        <f t="shared" si="58"/>
        <v>1706</v>
      </c>
      <c r="K143" s="27"/>
      <c r="L143" s="4"/>
      <c r="M143" s="64">
        <v>2004</v>
      </c>
      <c r="N143" s="65" t="s">
        <v>43</v>
      </c>
      <c r="O143" s="35">
        <f t="shared" si="39"/>
        <v>0.77963546663012195</v>
      </c>
      <c r="P143" s="35">
        <f t="shared" si="40"/>
        <v>0.81178652968036524</v>
      </c>
      <c r="Q143" s="35">
        <f t="shared" si="41"/>
        <v>0.96039468274633411</v>
      </c>
      <c r="R143" s="20">
        <v>7297</v>
      </c>
      <c r="S143" s="27">
        <f t="shared" si="42"/>
        <v>289</v>
      </c>
      <c r="T143" s="20">
        <v>7008</v>
      </c>
      <c r="U143" s="20">
        <v>5689</v>
      </c>
      <c r="V143" s="20">
        <f t="shared" si="43"/>
        <v>1319</v>
      </c>
      <c r="W143" s="20"/>
      <c r="X143" s="5"/>
      <c r="Y143" s="64">
        <v>2004</v>
      </c>
      <c r="Z143" s="65" t="s">
        <v>43</v>
      </c>
      <c r="AA143" s="35">
        <f t="shared" si="44"/>
        <v>0.76018099547511309</v>
      </c>
      <c r="AB143" s="35">
        <f t="shared" si="45"/>
        <v>0.79058823529411759</v>
      </c>
      <c r="AC143" s="35">
        <f t="shared" si="46"/>
        <v>0.96153846153846156</v>
      </c>
      <c r="AD143" s="20">
        <v>884</v>
      </c>
      <c r="AE143" s="27">
        <f t="shared" si="47"/>
        <v>34</v>
      </c>
      <c r="AF143" s="20">
        <v>850</v>
      </c>
      <c r="AG143" s="20">
        <v>672</v>
      </c>
      <c r="AH143" s="20">
        <f t="shared" si="48"/>
        <v>178</v>
      </c>
      <c r="AI143" s="20"/>
      <c r="AJ143" s="5"/>
      <c r="AK143" s="64">
        <v>2004</v>
      </c>
      <c r="AL143" s="65" t="s">
        <v>43</v>
      </c>
      <c r="AM143" s="35">
        <f t="shared" si="49"/>
        <v>0.77366609294320132</v>
      </c>
      <c r="AN143" s="35">
        <f t="shared" si="50"/>
        <v>0.81137184115523464</v>
      </c>
      <c r="AO143" s="35">
        <f t="shared" si="51"/>
        <v>0.95352839931153188</v>
      </c>
      <c r="AP143" s="20">
        <v>1162</v>
      </c>
      <c r="AQ143" s="27">
        <f t="shared" si="52"/>
        <v>54</v>
      </c>
      <c r="AR143" s="20">
        <v>1108</v>
      </c>
      <c r="AS143" s="20">
        <v>899</v>
      </c>
      <c r="AT143" s="20">
        <f t="shared" si="53"/>
        <v>209</v>
      </c>
      <c r="AU143" s="29"/>
    </row>
    <row r="144" spans="1:47" s="3" customFormat="1" ht="12.75">
      <c r="A144" s="62">
        <v>2004</v>
      </c>
      <c r="B144" s="63" t="s">
        <v>44</v>
      </c>
      <c r="C144" s="35">
        <f t="shared" si="36"/>
        <v>0.79514505624629961</v>
      </c>
      <c r="D144" s="35">
        <f t="shared" si="37"/>
        <v>0.8707585908796196</v>
      </c>
      <c r="E144" s="35">
        <f t="shared" si="38"/>
        <v>0.91316360765739091</v>
      </c>
      <c r="F144" s="27">
        <f t="shared" si="54"/>
        <v>10134</v>
      </c>
      <c r="G144" s="20">
        <f t="shared" si="55"/>
        <v>880</v>
      </c>
      <c r="H144" s="27">
        <f t="shared" si="56"/>
        <v>9254</v>
      </c>
      <c r="I144" s="27">
        <f t="shared" si="57"/>
        <v>8058</v>
      </c>
      <c r="J144" s="20">
        <f t="shared" si="58"/>
        <v>1196</v>
      </c>
      <c r="K144" s="27"/>
      <c r="L144" s="4"/>
      <c r="M144" s="62">
        <v>2004</v>
      </c>
      <c r="N144" s="63" t="s">
        <v>44</v>
      </c>
      <c r="O144" s="35">
        <f t="shared" si="39"/>
        <v>0.81632398753894087</v>
      </c>
      <c r="P144" s="35">
        <f t="shared" si="40"/>
        <v>0.88622835497835495</v>
      </c>
      <c r="Q144" s="35">
        <f t="shared" si="41"/>
        <v>0.92112149532710286</v>
      </c>
      <c r="R144" s="20">
        <v>8025</v>
      </c>
      <c r="S144" s="27">
        <f t="shared" si="42"/>
        <v>633</v>
      </c>
      <c r="T144" s="20">
        <v>7392</v>
      </c>
      <c r="U144" s="20">
        <v>6551</v>
      </c>
      <c r="V144" s="20">
        <f t="shared" si="43"/>
        <v>841</v>
      </c>
      <c r="W144" s="20"/>
      <c r="X144" s="5"/>
      <c r="Y144" s="62">
        <v>2004</v>
      </c>
      <c r="Z144" s="63" t="s">
        <v>44</v>
      </c>
      <c r="AA144" s="35">
        <f t="shared" si="44"/>
        <v>0.74285714285714288</v>
      </c>
      <c r="AB144" s="35">
        <f t="shared" si="45"/>
        <v>0.84818067754077797</v>
      </c>
      <c r="AC144" s="35">
        <f t="shared" si="46"/>
        <v>0.87582417582417582</v>
      </c>
      <c r="AD144" s="20">
        <v>910</v>
      </c>
      <c r="AE144" s="27">
        <f t="shared" si="47"/>
        <v>113</v>
      </c>
      <c r="AF144" s="20">
        <v>797</v>
      </c>
      <c r="AG144" s="20">
        <v>676</v>
      </c>
      <c r="AH144" s="20">
        <f t="shared" si="48"/>
        <v>121</v>
      </c>
      <c r="AI144" s="20"/>
      <c r="AJ144" s="5"/>
      <c r="AK144" s="62">
        <v>2004</v>
      </c>
      <c r="AL144" s="63" t="s">
        <v>44</v>
      </c>
      <c r="AM144" s="35">
        <f t="shared" si="49"/>
        <v>0.69307756463719772</v>
      </c>
      <c r="AN144" s="35">
        <f t="shared" si="50"/>
        <v>0.78028169014084503</v>
      </c>
      <c r="AO144" s="35">
        <f t="shared" si="51"/>
        <v>0.88824020016680572</v>
      </c>
      <c r="AP144" s="20">
        <v>1199</v>
      </c>
      <c r="AQ144" s="27">
        <f t="shared" si="52"/>
        <v>134</v>
      </c>
      <c r="AR144" s="20">
        <v>1065</v>
      </c>
      <c r="AS144" s="20">
        <v>831</v>
      </c>
      <c r="AT144" s="20">
        <f t="shared" si="53"/>
        <v>234</v>
      </c>
      <c r="AU144" s="29"/>
    </row>
    <row r="145" spans="1:47" s="3" customFormat="1" ht="12.75">
      <c r="A145" s="64">
        <v>2004</v>
      </c>
      <c r="B145" s="65" t="s">
        <v>45</v>
      </c>
      <c r="C145" s="35">
        <f t="shared" si="36"/>
        <v>0.78692277070063699</v>
      </c>
      <c r="D145" s="35">
        <f t="shared" si="37"/>
        <v>0.8232170744403956</v>
      </c>
      <c r="E145" s="35">
        <f t="shared" si="38"/>
        <v>0.9559116242038217</v>
      </c>
      <c r="F145" s="27">
        <f t="shared" si="54"/>
        <v>10048</v>
      </c>
      <c r="G145" s="20">
        <f t="shared" si="55"/>
        <v>443</v>
      </c>
      <c r="H145" s="27">
        <f t="shared" si="56"/>
        <v>9605</v>
      </c>
      <c r="I145" s="27">
        <f t="shared" si="57"/>
        <v>7907</v>
      </c>
      <c r="J145" s="20">
        <f t="shared" si="58"/>
        <v>1698</v>
      </c>
      <c r="K145" s="27"/>
      <c r="L145" s="4"/>
      <c r="M145" s="64">
        <v>2004</v>
      </c>
      <c r="N145" s="65" t="s">
        <v>45</v>
      </c>
      <c r="O145" s="35">
        <f t="shared" si="39"/>
        <v>0.8321599195373397</v>
      </c>
      <c r="P145" s="35">
        <f t="shared" si="40"/>
        <v>0.85749449410545409</v>
      </c>
      <c r="Q145" s="35">
        <f t="shared" si="41"/>
        <v>0.97045511692230324</v>
      </c>
      <c r="R145" s="20">
        <v>7954</v>
      </c>
      <c r="S145" s="27">
        <f t="shared" si="42"/>
        <v>235</v>
      </c>
      <c r="T145" s="20">
        <v>7719</v>
      </c>
      <c r="U145" s="20">
        <v>6619</v>
      </c>
      <c r="V145" s="20">
        <f t="shared" si="43"/>
        <v>1100</v>
      </c>
      <c r="W145" s="20"/>
      <c r="X145" s="5"/>
      <c r="Y145" s="64">
        <v>2004</v>
      </c>
      <c r="Z145" s="65" t="s">
        <v>45</v>
      </c>
      <c r="AA145" s="35">
        <f t="shared" si="44"/>
        <v>0.5481400437636762</v>
      </c>
      <c r="AB145" s="35">
        <f t="shared" si="45"/>
        <v>0.63903061224489799</v>
      </c>
      <c r="AC145" s="35">
        <f t="shared" si="46"/>
        <v>0.85776805251641142</v>
      </c>
      <c r="AD145" s="20">
        <v>914</v>
      </c>
      <c r="AE145" s="27">
        <f t="shared" si="47"/>
        <v>130</v>
      </c>
      <c r="AF145" s="20">
        <v>784</v>
      </c>
      <c r="AG145" s="20">
        <v>501</v>
      </c>
      <c r="AH145" s="20">
        <f t="shared" si="48"/>
        <v>283</v>
      </c>
      <c r="AI145" s="20"/>
      <c r="AJ145" s="5"/>
      <c r="AK145" s="64">
        <v>2004</v>
      </c>
      <c r="AL145" s="65" t="s">
        <v>45</v>
      </c>
      <c r="AM145" s="35">
        <f t="shared" si="49"/>
        <v>0.66694915254237286</v>
      </c>
      <c r="AN145" s="35">
        <f t="shared" si="50"/>
        <v>0.71415607985480944</v>
      </c>
      <c r="AO145" s="35">
        <f t="shared" si="51"/>
        <v>0.93389830508474581</v>
      </c>
      <c r="AP145" s="20">
        <v>1180</v>
      </c>
      <c r="AQ145" s="27">
        <f t="shared" si="52"/>
        <v>78</v>
      </c>
      <c r="AR145" s="20">
        <v>1102</v>
      </c>
      <c r="AS145" s="20">
        <v>787</v>
      </c>
      <c r="AT145" s="20">
        <f t="shared" si="53"/>
        <v>315</v>
      </c>
      <c r="AU145" s="29"/>
    </row>
    <row r="146" spans="1:47" s="3" customFormat="1" ht="12.75">
      <c r="A146" s="62">
        <v>2004</v>
      </c>
      <c r="B146" s="63" t="s">
        <v>46</v>
      </c>
      <c r="C146" s="35">
        <f t="shared" si="36"/>
        <v>0.79243027888446216</v>
      </c>
      <c r="D146" s="35">
        <f t="shared" si="37"/>
        <v>0.85732758620689653</v>
      </c>
      <c r="E146" s="35">
        <f t="shared" si="38"/>
        <v>0.92430278884462147</v>
      </c>
      <c r="F146" s="27">
        <f t="shared" si="54"/>
        <v>10040</v>
      </c>
      <c r="G146" s="20">
        <f t="shared" si="55"/>
        <v>760</v>
      </c>
      <c r="H146" s="27">
        <f t="shared" si="56"/>
        <v>9280</v>
      </c>
      <c r="I146" s="27">
        <f t="shared" si="57"/>
        <v>7956</v>
      </c>
      <c r="J146" s="20">
        <f t="shared" si="58"/>
        <v>1324</v>
      </c>
      <c r="K146" s="27"/>
      <c r="L146" s="4"/>
      <c r="M146" s="62">
        <v>2004</v>
      </c>
      <c r="N146" s="63" t="s">
        <v>46</v>
      </c>
      <c r="O146" s="35">
        <f t="shared" si="39"/>
        <v>0.84513052208835338</v>
      </c>
      <c r="P146" s="35">
        <f t="shared" si="40"/>
        <v>0.89834578441835644</v>
      </c>
      <c r="Q146" s="35">
        <f t="shared" si="41"/>
        <v>0.94076305220883538</v>
      </c>
      <c r="R146" s="20">
        <v>7968</v>
      </c>
      <c r="S146" s="27">
        <f t="shared" si="42"/>
        <v>472</v>
      </c>
      <c r="T146" s="20">
        <v>7496</v>
      </c>
      <c r="U146" s="20">
        <v>6734</v>
      </c>
      <c r="V146" s="20">
        <f t="shared" si="43"/>
        <v>762</v>
      </c>
      <c r="W146" s="20"/>
      <c r="X146" s="5"/>
      <c r="Y146" s="62">
        <v>2004</v>
      </c>
      <c r="Z146" s="63" t="s">
        <v>46</v>
      </c>
      <c r="AA146" s="35">
        <f t="shared" si="44"/>
        <v>0.58144796380090502</v>
      </c>
      <c r="AB146" s="35">
        <f t="shared" si="45"/>
        <v>0.6826029216467463</v>
      </c>
      <c r="AC146" s="35">
        <f t="shared" si="46"/>
        <v>0.85180995475113119</v>
      </c>
      <c r="AD146" s="20">
        <v>884</v>
      </c>
      <c r="AE146" s="27">
        <f t="shared" si="47"/>
        <v>131</v>
      </c>
      <c r="AF146" s="20">
        <v>753</v>
      </c>
      <c r="AG146" s="20">
        <v>514</v>
      </c>
      <c r="AH146" s="20">
        <f t="shared" si="48"/>
        <v>239</v>
      </c>
      <c r="AI146" s="20"/>
      <c r="AJ146" s="5"/>
      <c r="AK146" s="62">
        <v>2004</v>
      </c>
      <c r="AL146" s="63" t="s">
        <v>46</v>
      </c>
      <c r="AM146" s="35">
        <f t="shared" si="49"/>
        <v>0.59595959595959591</v>
      </c>
      <c r="AN146" s="35">
        <f t="shared" si="50"/>
        <v>0.68671193016488841</v>
      </c>
      <c r="AO146" s="35">
        <f t="shared" si="51"/>
        <v>0.86784511784511786</v>
      </c>
      <c r="AP146" s="20">
        <v>1188</v>
      </c>
      <c r="AQ146" s="27">
        <f t="shared" si="52"/>
        <v>157</v>
      </c>
      <c r="AR146" s="20">
        <v>1031</v>
      </c>
      <c r="AS146" s="20">
        <v>708</v>
      </c>
      <c r="AT146" s="20">
        <f t="shared" si="53"/>
        <v>323</v>
      </c>
      <c r="AU146" s="29"/>
    </row>
    <row r="147" spans="1:47" s="3" customFormat="1" ht="12.75">
      <c r="A147" s="64">
        <v>2004</v>
      </c>
      <c r="B147" s="65" t="s">
        <v>47</v>
      </c>
      <c r="C147" s="35">
        <f t="shared" si="36"/>
        <v>0.83013561024610749</v>
      </c>
      <c r="D147" s="35">
        <f t="shared" si="37"/>
        <v>0.86488749345892202</v>
      </c>
      <c r="E147" s="35">
        <f t="shared" si="38"/>
        <v>0.95981918633852337</v>
      </c>
      <c r="F147" s="27">
        <f t="shared" si="54"/>
        <v>9955</v>
      </c>
      <c r="G147" s="20">
        <f t="shared" si="55"/>
        <v>400</v>
      </c>
      <c r="H147" s="27">
        <f t="shared" si="56"/>
        <v>9555</v>
      </c>
      <c r="I147" s="27">
        <f t="shared" si="57"/>
        <v>8264</v>
      </c>
      <c r="J147" s="20">
        <f t="shared" si="58"/>
        <v>1291</v>
      </c>
      <c r="K147" s="27"/>
      <c r="L147" s="4"/>
      <c r="M147" s="64">
        <v>2004</v>
      </c>
      <c r="N147" s="65" t="s">
        <v>47</v>
      </c>
      <c r="O147" s="35">
        <f t="shared" si="39"/>
        <v>0.85365853658536583</v>
      </c>
      <c r="P147" s="35">
        <f t="shared" si="40"/>
        <v>0.88351301603996846</v>
      </c>
      <c r="Q147" s="35">
        <f t="shared" si="41"/>
        <v>0.96620934959349591</v>
      </c>
      <c r="R147" s="20">
        <v>7872</v>
      </c>
      <c r="S147" s="27">
        <f t="shared" si="42"/>
        <v>266</v>
      </c>
      <c r="T147" s="20">
        <v>7606</v>
      </c>
      <c r="U147" s="20">
        <v>6720</v>
      </c>
      <c r="V147" s="20">
        <f t="shared" si="43"/>
        <v>886</v>
      </c>
      <c r="W147" s="20"/>
      <c r="X147" s="5"/>
      <c r="Y147" s="64">
        <v>2004</v>
      </c>
      <c r="Z147" s="65" t="s">
        <v>47</v>
      </c>
      <c r="AA147" s="35">
        <f t="shared" si="44"/>
        <v>0.76813186813186818</v>
      </c>
      <c r="AB147" s="35">
        <f t="shared" si="45"/>
        <v>0.81373690337601867</v>
      </c>
      <c r="AC147" s="35">
        <f t="shared" si="46"/>
        <v>0.94395604395604393</v>
      </c>
      <c r="AD147" s="20">
        <v>910</v>
      </c>
      <c r="AE147" s="27">
        <f t="shared" si="47"/>
        <v>51</v>
      </c>
      <c r="AF147" s="20">
        <v>859</v>
      </c>
      <c r="AG147" s="20">
        <v>699</v>
      </c>
      <c r="AH147" s="20">
        <f t="shared" si="48"/>
        <v>160</v>
      </c>
      <c r="AI147" s="20"/>
      <c r="AJ147" s="5"/>
      <c r="AK147" s="64">
        <v>2004</v>
      </c>
      <c r="AL147" s="65" t="s">
        <v>47</v>
      </c>
      <c r="AM147" s="35">
        <f t="shared" si="49"/>
        <v>0.72037510656436488</v>
      </c>
      <c r="AN147" s="35">
        <f t="shared" si="50"/>
        <v>0.77522935779816515</v>
      </c>
      <c r="AO147" s="35">
        <f t="shared" si="51"/>
        <v>0.9292412617220801</v>
      </c>
      <c r="AP147" s="20">
        <v>1173</v>
      </c>
      <c r="AQ147" s="27">
        <f t="shared" si="52"/>
        <v>83</v>
      </c>
      <c r="AR147" s="20">
        <v>1090</v>
      </c>
      <c r="AS147" s="20">
        <v>845</v>
      </c>
      <c r="AT147" s="20">
        <f t="shared" si="53"/>
        <v>245</v>
      </c>
      <c r="AU147" s="29"/>
    </row>
    <row r="148" spans="1:47" s="3" customFormat="1" ht="12.75">
      <c r="A148" s="62">
        <v>2004</v>
      </c>
      <c r="B148" s="63" t="s">
        <v>48</v>
      </c>
      <c r="C148" s="35">
        <f t="shared" si="36"/>
        <v>0.71259214983064356</v>
      </c>
      <c r="D148" s="35">
        <f t="shared" si="37"/>
        <v>0.77539295392953933</v>
      </c>
      <c r="E148" s="35">
        <f t="shared" si="38"/>
        <v>0.91900777047220561</v>
      </c>
      <c r="F148" s="27">
        <f t="shared" si="54"/>
        <v>10038</v>
      </c>
      <c r="G148" s="20">
        <f t="shared" si="55"/>
        <v>813</v>
      </c>
      <c r="H148" s="27">
        <f t="shared" si="56"/>
        <v>9225</v>
      </c>
      <c r="I148" s="27">
        <f t="shared" si="57"/>
        <v>7153</v>
      </c>
      <c r="J148" s="20">
        <f t="shared" si="58"/>
        <v>2072</v>
      </c>
      <c r="K148" s="27"/>
      <c r="L148" s="4"/>
      <c r="M148" s="62">
        <v>2004</v>
      </c>
      <c r="N148" s="63" t="s">
        <v>48</v>
      </c>
      <c r="O148" s="35">
        <f t="shared" si="39"/>
        <v>0.76437358774792874</v>
      </c>
      <c r="P148" s="35">
        <f t="shared" si="40"/>
        <v>0.81219154328398024</v>
      </c>
      <c r="Q148" s="35">
        <f t="shared" si="41"/>
        <v>0.9411247803163445</v>
      </c>
      <c r="R148" s="20">
        <v>7966</v>
      </c>
      <c r="S148" s="27">
        <f t="shared" si="42"/>
        <v>469</v>
      </c>
      <c r="T148" s="20">
        <v>7497</v>
      </c>
      <c r="U148" s="20">
        <v>6089</v>
      </c>
      <c r="V148" s="20">
        <f t="shared" si="43"/>
        <v>1408</v>
      </c>
      <c r="W148" s="20"/>
      <c r="X148" s="5"/>
      <c r="Y148" s="62">
        <v>2004</v>
      </c>
      <c r="Z148" s="63" t="s">
        <v>48</v>
      </c>
      <c r="AA148" s="35">
        <f t="shared" si="44"/>
        <v>0.55882352941176472</v>
      </c>
      <c r="AB148" s="35">
        <f t="shared" si="45"/>
        <v>0.65866666666666662</v>
      </c>
      <c r="AC148" s="35">
        <f t="shared" si="46"/>
        <v>0.84841628959276016</v>
      </c>
      <c r="AD148" s="20">
        <v>884</v>
      </c>
      <c r="AE148" s="27">
        <f t="shared" si="47"/>
        <v>134</v>
      </c>
      <c r="AF148" s="20">
        <v>750</v>
      </c>
      <c r="AG148" s="20">
        <v>494</v>
      </c>
      <c r="AH148" s="20">
        <f t="shared" si="48"/>
        <v>256</v>
      </c>
      <c r="AI148" s="20"/>
      <c r="AJ148" s="5"/>
      <c r="AK148" s="62">
        <v>2004</v>
      </c>
      <c r="AL148" s="63" t="s">
        <v>48</v>
      </c>
      <c r="AM148" s="35">
        <f t="shared" si="49"/>
        <v>0.47979797979797978</v>
      </c>
      <c r="AN148" s="35">
        <f t="shared" si="50"/>
        <v>0.58282208588957052</v>
      </c>
      <c r="AO148" s="35">
        <f t="shared" si="51"/>
        <v>0.8232323232323232</v>
      </c>
      <c r="AP148" s="20">
        <v>1188</v>
      </c>
      <c r="AQ148" s="27">
        <f t="shared" si="52"/>
        <v>210</v>
      </c>
      <c r="AR148" s="20">
        <v>978</v>
      </c>
      <c r="AS148" s="20">
        <v>570</v>
      </c>
      <c r="AT148" s="20">
        <f t="shared" si="53"/>
        <v>408</v>
      </c>
      <c r="AU148" s="29"/>
    </row>
    <row r="149" spans="1:47" s="3" customFormat="1" ht="12.75">
      <c r="A149" s="64">
        <v>2004</v>
      </c>
      <c r="B149" s="65" t="s">
        <v>49</v>
      </c>
      <c r="C149" s="35">
        <f t="shared" si="36"/>
        <v>0.796984330343944</v>
      </c>
      <c r="D149" s="35">
        <f t="shared" si="37"/>
        <v>0.84046975680731661</v>
      </c>
      <c r="E149" s="35">
        <f t="shared" si="38"/>
        <v>0.94826056962649063</v>
      </c>
      <c r="F149" s="27">
        <f t="shared" si="54"/>
        <v>10147</v>
      </c>
      <c r="G149" s="20">
        <f t="shared" si="55"/>
        <v>525</v>
      </c>
      <c r="H149" s="27">
        <f t="shared" si="56"/>
        <v>9622</v>
      </c>
      <c r="I149" s="27">
        <f t="shared" si="57"/>
        <v>8087</v>
      </c>
      <c r="J149" s="20">
        <f t="shared" si="58"/>
        <v>1535</v>
      </c>
      <c r="K149" s="27"/>
      <c r="L149" s="10"/>
      <c r="M149" s="64">
        <v>2004</v>
      </c>
      <c r="N149" s="65" t="s">
        <v>49</v>
      </c>
      <c r="O149" s="35">
        <f t="shared" si="39"/>
        <v>0.82118875901517041</v>
      </c>
      <c r="P149" s="35">
        <f t="shared" si="40"/>
        <v>0.8634937238493724</v>
      </c>
      <c r="Q149" s="35">
        <f t="shared" si="41"/>
        <v>0.95100721213628447</v>
      </c>
      <c r="R149" s="20">
        <v>8042</v>
      </c>
      <c r="S149" s="27">
        <f t="shared" si="42"/>
        <v>394</v>
      </c>
      <c r="T149" s="20">
        <v>7648</v>
      </c>
      <c r="U149" s="20">
        <v>6604</v>
      </c>
      <c r="V149" s="20">
        <f t="shared" si="43"/>
        <v>1044</v>
      </c>
      <c r="W149" s="20"/>
      <c r="X149" s="5"/>
      <c r="Y149" s="64">
        <v>2004</v>
      </c>
      <c r="Z149" s="65" t="s">
        <v>49</v>
      </c>
      <c r="AA149" s="35">
        <f t="shared" si="44"/>
        <v>0.7570806100217865</v>
      </c>
      <c r="AB149" s="35">
        <f t="shared" si="45"/>
        <v>0.79976985040276183</v>
      </c>
      <c r="AC149" s="35">
        <f t="shared" si="46"/>
        <v>0.94662309368191722</v>
      </c>
      <c r="AD149" s="20">
        <v>918</v>
      </c>
      <c r="AE149" s="27">
        <f t="shared" si="47"/>
        <v>49</v>
      </c>
      <c r="AF149" s="20">
        <v>869</v>
      </c>
      <c r="AG149" s="20">
        <v>695</v>
      </c>
      <c r="AH149" s="20">
        <f t="shared" si="48"/>
        <v>174</v>
      </c>
      <c r="AI149" s="20"/>
      <c r="AJ149" s="5"/>
      <c r="AK149" s="64">
        <v>2004</v>
      </c>
      <c r="AL149" s="65" t="s">
        <v>49</v>
      </c>
      <c r="AM149" s="35">
        <f t="shared" si="49"/>
        <v>0.66385846672283066</v>
      </c>
      <c r="AN149" s="35">
        <f t="shared" si="50"/>
        <v>0.71312217194570138</v>
      </c>
      <c r="AO149" s="35">
        <f t="shared" si="51"/>
        <v>0.93091828138163435</v>
      </c>
      <c r="AP149" s="20">
        <v>1187</v>
      </c>
      <c r="AQ149" s="27">
        <f t="shared" si="52"/>
        <v>82</v>
      </c>
      <c r="AR149" s="20">
        <v>1105</v>
      </c>
      <c r="AS149" s="20">
        <v>788</v>
      </c>
      <c r="AT149" s="20">
        <f t="shared" si="53"/>
        <v>317</v>
      </c>
      <c r="AU149" s="29"/>
    </row>
    <row r="150" spans="1:47" s="3" customFormat="1" ht="12.75">
      <c r="A150" s="62">
        <v>2005</v>
      </c>
      <c r="B150" s="63" t="s">
        <v>38</v>
      </c>
      <c r="C150" s="35">
        <f t="shared" si="36"/>
        <v>0.82901554404145072</v>
      </c>
      <c r="D150" s="35">
        <f t="shared" si="37"/>
        <v>0.87625065824117954</v>
      </c>
      <c r="E150" s="35">
        <f t="shared" si="38"/>
        <v>0.94609406137903551</v>
      </c>
      <c r="F150" s="27">
        <f t="shared" si="54"/>
        <v>10036</v>
      </c>
      <c r="G150" s="20">
        <f t="shared" si="55"/>
        <v>541</v>
      </c>
      <c r="H150" s="27">
        <f t="shared" si="56"/>
        <v>9495</v>
      </c>
      <c r="I150" s="27">
        <f t="shared" si="57"/>
        <v>8320</v>
      </c>
      <c r="J150" s="20">
        <f t="shared" si="58"/>
        <v>1175</v>
      </c>
      <c r="K150" s="27"/>
      <c r="L150" s="4"/>
      <c r="M150" s="62">
        <v>2005</v>
      </c>
      <c r="N150" s="63" t="s">
        <v>38</v>
      </c>
      <c r="O150" s="35">
        <f t="shared" si="39"/>
        <v>0.87987912364643661</v>
      </c>
      <c r="P150" s="35">
        <f t="shared" si="40"/>
        <v>0.91442030881968073</v>
      </c>
      <c r="Q150" s="35">
        <f t="shared" si="41"/>
        <v>0.96222613951145808</v>
      </c>
      <c r="R150" s="20">
        <v>7942</v>
      </c>
      <c r="S150" s="27">
        <f t="shared" ref="S150:S161" si="59">R150-T150</f>
        <v>300</v>
      </c>
      <c r="T150" s="20">
        <v>7642</v>
      </c>
      <c r="U150" s="20">
        <v>6988</v>
      </c>
      <c r="V150" s="20">
        <f t="shared" ref="V150:V161" si="60">T150-U150</f>
        <v>654</v>
      </c>
      <c r="W150" s="20"/>
      <c r="X150" s="5"/>
      <c r="Y150" s="62">
        <v>2005</v>
      </c>
      <c r="Z150" s="63" t="s">
        <v>38</v>
      </c>
      <c r="AA150" s="35">
        <f t="shared" si="44"/>
        <v>0.67067833698030632</v>
      </c>
      <c r="AB150" s="35">
        <f t="shared" si="45"/>
        <v>0.76243781094527363</v>
      </c>
      <c r="AC150" s="35">
        <f t="shared" si="46"/>
        <v>0.87964989059080967</v>
      </c>
      <c r="AD150" s="20">
        <v>914</v>
      </c>
      <c r="AE150" s="27">
        <f t="shared" ref="AE150:AE161" si="61">AD150-AF150</f>
        <v>110</v>
      </c>
      <c r="AF150" s="20">
        <v>804</v>
      </c>
      <c r="AG150" s="20">
        <v>613</v>
      </c>
      <c r="AH150" s="20">
        <f t="shared" ref="AH150:AH161" si="62">AF150-AG150</f>
        <v>191</v>
      </c>
      <c r="AI150" s="20"/>
      <c r="AJ150" s="5"/>
      <c r="AK150" s="62">
        <v>2005</v>
      </c>
      <c r="AL150" s="63" t="s">
        <v>38</v>
      </c>
      <c r="AM150" s="35">
        <f t="shared" si="49"/>
        <v>0.60932203389830508</v>
      </c>
      <c r="AN150" s="35">
        <f t="shared" si="50"/>
        <v>0.68541468064823641</v>
      </c>
      <c r="AO150" s="35">
        <f t="shared" si="51"/>
        <v>0.88898305084745766</v>
      </c>
      <c r="AP150" s="20">
        <v>1180</v>
      </c>
      <c r="AQ150" s="27">
        <f t="shared" ref="AQ150:AQ161" si="63">AP150-AR150</f>
        <v>131</v>
      </c>
      <c r="AR150" s="20">
        <v>1049</v>
      </c>
      <c r="AS150" s="20">
        <v>719</v>
      </c>
      <c r="AT150" s="20">
        <f t="shared" ref="AT150:AT161" si="64">AR150-AS150</f>
        <v>330</v>
      </c>
      <c r="AU150" s="29"/>
    </row>
    <row r="151" spans="1:47" s="3" customFormat="1" ht="12.75">
      <c r="A151" s="64">
        <v>2005</v>
      </c>
      <c r="B151" s="65" t="s">
        <v>39</v>
      </c>
      <c r="C151" s="35">
        <f t="shared" si="36"/>
        <v>0.80437123169681313</v>
      </c>
      <c r="D151" s="35">
        <f t="shared" si="37"/>
        <v>0.85402377686328301</v>
      </c>
      <c r="E151" s="35">
        <f t="shared" si="38"/>
        <v>0.94186046511627908</v>
      </c>
      <c r="F151" s="27">
        <f t="shared" si="54"/>
        <v>9288</v>
      </c>
      <c r="G151" s="20">
        <f t="shared" si="55"/>
        <v>540</v>
      </c>
      <c r="H151" s="27">
        <f t="shared" si="56"/>
        <v>8748</v>
      </c>
      <c r="I151" s="27">
        <f t="shared" si="57"/>
        <v>7471</v>
      </c>
      <c r="J151" s="20">
        <f t="shared" si="58"/>
        <v>1277</v>
      </c>
      <c r="K151" s="27"/>
      <c r="L151" s="4"/>
      <c r="M151" s="64">
        <v>2005</v>
      </c>
      <c r="N151" s="65" t="s">
        <v>39</v>
      </c>
      <c r="O151" s="35">
        <f t="shared" si="39"/>
        <v>0.84831613253666482</v>
      </c>
      <c r="P151" s="35">
        <f t="shared" si="40"/>
        <v>0.88761011651037225</v>
      </c>
      <c r="Q151" s="35">
        <f t="shared" si="41"/>
        <v>0.9557305812058664</v>
      </c>
      <c r="R151" s="20">
        <v>7364</v>
      </c>
      <c r="S151" s="27">
        <f t="shared" si="59"/>
        <v>326</v>
      </c>
      <c r="T151" s="20">
        <v>7038</v>
      </c>
      <c r="U151" s="20">
        <v>6247</v>
      </c>
      <c r="V151" s="20">
        <f t="shared" si="60"/>
        <v>791</v>
      </c>
      <c r="W151" s="20"/>
      <c r="X151" s="5"/>
      <c r="Y151" s="64">
        <v>2005</v>
      </c>
      <c r="Z151" s="65" t="s">
        <v>39</v>
      </c>
      <c r="AA151" s="35">
        <f t="shared" si="44"/>
        <v>0.7560679611650486</v>
      </c>
      <c r="AB151" s="35">
        <f t="shared" si="45"/>
        <v>0.83066666666666666</v>
      </c>
      <c r="AC151" s="35">
        <f t="shared" si="46"/>
        <v>0.91019417475728159</v>
      </c>
      <c r="AD151" s="20">
        <v>824</v>
      </c>
      <c r="AE151" s="27">
        <f t="shared" si="61"/>
        <v>74</v>
      </c>
      <c r="AF151" s="20">
        <v>750</v>
      </c>
      <c r="AG151" s="20">
        <v>623</v>
      </c>
      <c r="AH151" s="20">
        <f t="shared" si="62"/>
        <v>127</v>
      </c>
      <c r="AI151" s="20"/>
      <c r="AJ151" s="5"/>
      <c r="AK151" s="64">
        <v>2005</v>
      </c>
      <c r="AL151" s="65" t="s">
        <v>39</v>
      </c>
      <c r="AM151" s="35">
        <f t="shared" si="49"/>
        <v>0.54636363636363638</v>
      </c>
      <c r="AN151" s="35">
        <f t="shared" si="50"/>
        <v>0.62604166666666672</v>
      </c>
      <c r="AO151" s="35">
        <f t="shared" si="51"/>
        <v>0.87272727272727268</v>
      </c>
      <c r="AP151" s="20">
        <v>1100</v>
      </c>
      <c r="AQ151" s="27">
        <f t="shared" si="63"/>
        <v>140</v>
      </c>
      <c r="AR151" s="20">
        <v>960</v>
      </c>
      <c r="AS151" s="20">
        <v>601</v>
      </c>
      <c r="AT151" s="20">
        <f t="shared" si="64"/>
        <v>359</v>
      </c>
      <c r="AU151" s="29"/>
    </row>
    <row r="152" spans="1:47" s="3" customFormat="1" ht="12.75">
      <c r="A152" s="62">
        <v>2005</v>
      </c>
      <c r="B152" s="63" t="s">
        <v>40</v>
      </c>
      <c r="C152" s="35">
        <f t="shared" si="36"/>
        <v>0.74708932589766164</v>
      </c>
      <c r="D152" s="35">
        <f t="shared" si="37"/>
        <v>0.79203402136707812</v>
      </c>
      <c r="E152" s="35">
        <f t="shared" si="38"/>
        <v>0.94325408472752181</v>
      </c>
      <c r="F152" s="27">
        <f t="shared" si="54"/>
        <v>10221</v>
      </c>
      <c r="G152" s="20">
        <f t="shared" si="55"/>
        <v>580</v>
      </c>
      <c r="H152" s="27">
        <f t="shared" si="56"/>
        <v>9641</v>
      </c>
      <c r="I152" s="27">
        <f t="shared" si="57"/>
        <v>7636</v>
      </c>
      <c r="J152" s="20">
        <f t="shared" si="58"/>
        <v>2005</v>
      </c>
      <c r="K152" s="27"/>
      <c r="L152" s="4"/>
      <c r="M152" s="62">
        <v>2005</v>
      </c>
      <c r="N152" s="63" t="s">
        <v>40</v>
      </c>
      <c r="O152" s="35">
        <f t="shared" si="39"/>
        <v>0.8075546228860635</v>
      </c>
      <c r="P152" s="35">
        <f t="shared" si="40"/>
        <v>0.84087403598971722</v>
      </c>
      <c r="Q152" s="35">
        <f t="shared" si="41"/>
        <v>0.96037526231329462</v>
      </c>
      <c r="R152" s="20">
        <v>8101</v>
      </c>
      <c r="S152" s="27">
        <f t="shared" si="59"/>
        <v>321</v>
      </c>
      <c r="T152" s="20">
        <v>7780</v>
      </c>
      <c r="U152" s="20">
        <v>6542</v>
      </c>
      <c r="V152" s="20">
        <f t="shared" si="60"/>
        <v>1238</v>
      </c>
      <c r="W152" s="20"/>
      <c r="X152" s="5"/>
      <c r="Y152" s="62">
        <v>2005</v>
      </c>
      <c r="Z152" s="63" t="s">
        <v>40</v>
      </c>
      <c r="AA152" s="35">
        <f t="shared" si="44"/>
        <v>0.62910284463894972</v>
      </c>
      <c r="AB152" s="35">
        <f t="shared" si="45"/>
        <v>0.72784810126582278</v>
      </c>
      <c r="AC152" s="35">
        <f t="shared" si="46"/>
        <v>0.8643326039387309</v>
      </c>
      <c r="AD152" s="20">
        <v>914</v>
      </c>
      <c r="AE152" s="27">
        <f t="shared" si="61"/>
        <v>124</v>
      </c>
      <c r="AF152" s="20">
        <v>790</v>
      </c>
      <c r="AG152" s="20">
        <v>575</v>
      </c>
      <c r="AH152" s="20">
        <f t="shared" si="62"/>
        <v>215</v>
      </c>
      <c r="AI152" s="20"/>
      <c r="AJ152" s="5"/>
      <c r="AK152" s="62">
        <v>2005</v>
      </c>
      <c r="AL152" s="63" t="s">
        <v>40</v>
      </c>
      <c r="AM152" s="35">
        <f t="shared" si="49"/>
        <v>0.43034825870646765</v>
      </c>
      <c r="AN152" s="35">
        <f t="shared" si="50"/>
        <v>0.484593837535014</v>
      </c>
      <c r="AO152" s="35">
        <f t="shared" si="51"/>
        <v>0.88805970149253732</v>
      </c>
      <c r="AP152" s="20">
        <v>1206</v>
      </c>
      <c r="AQ152" s="27">
        <f t="shared" si="63"/>
        <v>135</v>
      </c>
      <c r="AR152" s="20">
        <v>1071</v>
      </c>
      <c r="AS152" s="20">
        <v>519</v>
      </c>
      <c r="AT152" s="20">
        <f t="shared" si="64"/>
        <v>552</v>
      </c>
      <c r="AU152" s="29"/>
    </row>
    <row r="153" spans="1:47" s="3" customFormat="1" ht="12.75">
      <c r="A153" s="64">
        <v>2005</v>
      </c>
      <c r="B153" s="65" t="s">
        <v>41</v>
      </c>
      <c r="C153" s="35">
        <f t="shared" si="36"/>
        <v>0.72565742714996451</v>
      </c>
      <c r="D153" s="35">
        <f t="shared" si="37"/>
        <v>0.7804957955662335</v>
      </c>
      <c r="E153" s="35">
        <f t="shared" si="38"/>
        <v>0.92973905980302574</v>
      </c>
      <c r="F153" s="27">
        <f t="shared" si="54"/>
        <v>9849</v>
      </c>
      <c r="G153" s="20">
        <f t="shared" si="55"/>
        <v>692</v>
      </c>
      <c r="H153" s="27">
        <f t="shared" si="56"/>
        <v>9157</v>
      </c>
      <c r="I153" s="27">
        <f t="shared" si="57"/>
        <v>7147</v>
      </c>
      <c r="J153" s="20">
        <f t="shared" si="58"/>
        <v>2010</v>
      </c>
      <c r="K153" s="27"/>
      <c r="L153" s="4"/>
      <c r="M153" s="64">
        <v>2005</v>
      </c>
      <c r="N153" s="65" t="s">
        <v>41</v>
      </c>
      <c r="O153" s="35">
        <f t="shared" si="39"/>
        <v>0.76906318082788672</v>
      </c>
      <c r="P153" s="35">
        <f t="shared" si="40"/>
        <v>0.80930546190155095</v>
      </c>
      <c r="Q153" s="35">
        <f t="shared" si="41"/>
        <v>0.95027553505062157</v>
      </c>
      <c r="R153" s="20">
        <v>7803</v>
      </c>
      <c r="S153" s="27">
        <f t="shared" si="59"/>
        <v>388</v>
      </c>
      <c r="T153" s="20">
        <v>7415</v>
      </c>
      <c r="U153" s="20">
        <v>6001</v>
      </c>
      <c r="V153" s="20">
        <f t="shared" si="60"/>
        <v>1414</v>
      </c>
      <c r="W153" s="20"/>
      <c r="X153" s="5"/>
      <c r="Y153" s="64">
        <v>2005</v>
      </c>
      <c r="Z153" s="65" t="s">
        <v>41</v>
      </c>
      <c r="AA153" s="35">
        <f t="shared" si="44"/>
        <v>0.47963800904977377</v>
      </c>
      <c r="AB153" s="35">
        <f t="shared" si="45"/>
        <v>0.58563535911602205</v>
      </c>
      <c r="AC153" s="35">
        <f t="shared" si="46"/>
        <v>0.8190045248868778</v>
      </c>
      <c r="AD153" s="20">
        <v>884</v>
      </c>
      <c r="AE153" s="27">
        <f t="shared" si="61"/>
        <v>160</v>
      </c>
      <c r="AF153" s="20">
        <v>724</v>
      </c>
      <c r="AG153" s="20">
        <v>424</v>
      </c>
      <c r="AH153" s="20">
        <f t="shared" si="62"/>
        <v>300</v>
      </c>
      <c r="AI153" s="20"/>
      <c r="AJ153" s="5"/>
      <c r="AK153" s="64">
        <v>2005</v>
      </c>
      <c r="AL153" s="65" t="s">
        <v>41</v>
      </c>
      <c r="AM153" s="35">
        <f t="shared" si="49"/>
        <v>0.62134251290877796</v>
      </c>
      <c r="AN153" s="35">
        <f t="shared" si="50"/>
        <v>0.70923379174852652</v>
      </c>
      <c r="AO153" s="35">
        <f t="shared" si="51"/>
        <v>0.87607573149741824</v>
      </c>
      <c r="AP153" s="20">
        <v>1162</v>
      </c>
      <c r="AQ153" s="27">
        <f t="shared" si="63"/>
        <v>144</v>
      </c>
      <c r="AR153" s="20">
        <v>1018</v>
      </c>
      <c r="AS153" s="20">
        <v>722</v>
      </c>
      <c r="AT153" s="20">
        <f t="shared" si="64"/>
        <v>296</v>
      </c>
      <c r="AU153" s="29"/>
    </row>
    <row r="154" spans="1:47" s="3" customFormat="1" ht="12.75">
      <c r="A154" s="62">
        <v>2005</v>
      </c>
      <c r="B154" s="63" t="s">
        <v>42</v>
      </c>
      <c r="C154" s="35">
        <f t="shared" si="36"/>
        <v>0.72389398166600238</v>
      </c>
      <c r="D154" s="35">
        <f t="shared" si="37"/>
        <v>0.77320136228182201</v>
      </c>
      <c r="E154" s="35">
        <f t="shared" si="38"/>
        <v>0.93622957353527303</v>
      </c>
      <c r="F154" s="27">
        <f t="shared" si="54"/>
        <v>10036</v>
      </c>
      <c r="G154" s="20">
        <f t="shared" si="55"/>
        <v>640</v>
      </c>
      <c r="H154" s="27">
        <f t="shared" si="56"/>
        <v>9396</v>
      </c>
      <c r="I154" s="27">
        <f t="shared" si="57"/>
        <v>7265</v>
      </c>
      <c r="J154" s="20">
        <f t="shared" si="58"/>
        <v>2131</v>
      </c>
      <c r="K154" s="27"/>
      <c r="L154" s="4"/>
      <c r="M154" s="62">
        <v>2005</v>
      </c>
      <c r="N154" s="63" t="s">
        <v>42</v>
      </c>
      <c r="O154" s="35">
        <f t="shared" si="39"/>
        <v>0.75472173256106778</v>
      </c>
      <c r="P154" s="35">
        <f t="shared" si="40"/>
        <v>0.79643901142705287</v>
      </c>
      <c r="Q154" s="35">
        <f t="shared" si="41"/>
        <v>0.94762024678922185</v>
      </c>
      <c r="R154" s="20">
        <v>7942</v>
      </c>
      <c r="S154" s="27">
        <f t="shared" si="59"/>
        <v>416</v>
      </c>
      <c r="T154" s="20">
        <v>7526</v>
      </c>
      <c r="U154" s="20">
        <v>5994</v>
      </c>
      <c r="V154" s="20">
        <f t="shared" si="60"/>
        <v>1532</v>
      </c>
      <c r="W154" s="20"/>
      <c r="X154" s="5"/>
      <c r="Y154" s="62">
        <v>2005</v>
      </c>
      <c r="Z154" s="63" t="s">
        <v>42</v>
      </c>
      <c r="AA154" s="35">
        <f t="shared" si="44"/>
        <v>0.53829321663019691</v>
      </c>
      <c r="AB154" s="35">
        <f t="shared" si="45"/>
        <v>0.62278481012658227</v>
      </c>
      <c r="AC154" s="35">
        <f t="shared" si="46"/>
        <v>0.8643326039387309</v>
      </c>
      <c r="AD154" s="20">
        <v>914</v>
      </c>
      <c r="AE154" s="27">
        <f t="shared" si="61"/>
        <v>124</v>
      </c>
      <c r="AF154" s="20">
        <v>790</v>
      </c>
      <c r="AG154" s="20">
        <v>492</v>
      </c>
      <c r="AH154" s="20">
        <f t="shared" si="62"/>
        <v>298</v>
      </c>
      <c r="AI154" s="20"/>
      <c r="AJ154" s="5"/>
      <c r="AK154" s="62">
        <v>2005</v>
      </c>
      <c r="AL154" s="63" t="s">
        <v>42</v>
      </c>
      <c r="AM154" s="35">
        <f t="shared" si="49"/>
        <v>0.6601694915254237</v>
      </c>
      <c r="AN154" s="35">
        <f t="shared" si="50"/>
        <v>0.72129629629629632</v>
      </c>
      <c r="AO154" s="35">
        <f t="shared" si="51"/>
        <v>0.9152542372881356</v>
      </c>
      <c r="AP154" s="20">
        <v>1180</v>
      </c>
      <c r="AQ154" s="27">
        <f t="shared" si="63"/>
        <v>100</v>
      </c>
      <c r="AR154" s="20">
        <v>1080</v>
      </c>
      <c r="AS154" s="20">
        <v>779</v>
      </c>
      <c r="AT154" s="20">
        <f t="shared" si="64"/>
        <v>301</v>
      </c>
      <c r="AU154" s="29"/>
    </row>
    <row r="155" spans="1:47" s="3" customFormat="1" ht="12.75">
      <c r="A155" s="64">
        <v>2005</v>
      </c>
      <c r="B155" s="65" t="s">
        <v>43</v>
      </c>
      <c r="C155" s="35">
        <f t="shared" si="36"/>
        <v>0.72946908943254496</v>
      </c>
      <c r="D155" s="35">
        <f t="shared" si="37"/>
        <v>0.76626146299850717</v>
      </c>
      <c r="E155" s="35">
        <f t="shared" si="38"/>
        <v>0.95198457009440662</v>
      </c>
      <c r="F155" s="27">
        <f t="shared" si="54"/>
        <v>9851</v>
      </c>
      <c r="G155" s="20">
        <f t="shared" si="55"/>
        <v>473</v>
      </c>
      <c r="H155" s="27">
        <f t="shared" si="56"/>
        <v>9378</v>
      </c>
      <c r="I155" s="27">
        <f t="shared" si="57"/>
        <v>7186</v>
      </c>
      <c r="J155" s="20">
        <f t="shared" si="58"/>
        <v>2192</v>
      </c>
      <c r="K155" s="27"/>
      <c r="L155" s="4"/>
      <c r="M155" s="64">
        <v>2005</v>
      </c>
      <c r="N155" s="65" t="s">
        <v>43</v>
      </c>
      <c r="O155" s="35">
        <f t="shared" si="39"/>
        <v>0.73440102498398463</v>
      </c>
      <c r="P155" s="35">
        <f t="shared" si="40"/>
        <v>0.76375749500333112</v>
      </c>
      <c r="Q155" s="35">
        <f t="shared" si="41"/>
        <v>0.96156310057655348</v>
      </c>
      <c r="R155" s="20">
        <v>7805</v>
      </c>
      <c r="S155" s="27">
        <f t="shared" si="59"/>
        <v>300</v>
      </c>
      <c r="T155" s="20">
        <v>7505</v>
      </c>
      <c r="U155" s="20">
        <v>5732</v>
      </c>
      <c r="V155" s="20">
        <f t="shared" si="60"/>
        <v>1773</v>
      </c>
      <c r="W155" s="20"/>
      <c r="X155" s="5"/>
      <c r="Y155" s="64">
        <v>2005</v>
      </c>
      <c r="Z155" s="65" t="s">
        <v>43</v>
      </c>
      <c r="AA155" s="35">
        <f t="shared" si="44"/>
        <v>0.6029411764705882</v>
      </c>
      <c r="AB155" s="35">
        <f t="shared" si="45"/>
        <v>0.69764397905759157</v>
      </c>
      <c r="AC155" s="35">
        <f t="shared" si="46"/>
        <v>0.86425339366515841</v>
      </c>
      <c r="AD155" s="20">
        <v>884</v>
      </c>
      <c r="AE155" s="27">
        <f t="shared" si="61"/>
        <v>120</v>
      </c>
      <c r="AF155" s="20">
        <v>764</v>
      </c>
      <c r="AG155" s="20">
        <v>533</v>
      </c>
      <c r="AH155" s="20">
        <f t="shared" si="62"/>
        <v>231</v>
      </c>
      <c r="AI155" s="20"/>
      <c r="AJ155" s="5"/>
      <c r="AK155" s="64">
        <v>2005</v>
      </c>
      <c r="AL155" s="65" t="s">
        <v>43</v>
      </c>
      <c r="AM155" s="35">
        <f t="shared" si="49"/>
        <v>0.79259896729776247</v>
      </c>
      <c r="AN155" s="35">
        <f t="shared" si="50"/>
        <v>0.83047790802524801</v>
      </c>
      <c r="AO155" s="35">
        <f t="shared" si="51"/>
        <v>0.95438898450946641</v>
      </c>
      <c r="AP155" s="20">
        <v>1162</v>
      </c>
      <c r="AQ155" s="27">
        <f t="shared" si="63"/>
        <v>53</v>
      </c>
      <c r="AR155" s="20">
        <v>1109</v>
      </c>
      <c r="AS155" s="20">
        <v>921</v>
      </c>
      <c r="AT155" s="20">
        <f t="shared" si="64"/>
        <v>188</v>
      </c>
      <c r="AU155" s="29"/>
    </row>
    <row r="156" spans="1:47" s="3" customFormat="1" ht="12.75">
      <c r="A156" s="62">
        <v>2005</v>
      </c>
      <c r="B156" s="63" t="s">
        <v>44</v>
      </c>
      <c r="C156" s="35">
        <f t="shared" si="36"/>
        <v>0.68400079697150828</v>
      </c>
      <c r="D156" s="35">
        <f t="shared" si="37"/>
        <v>0.75342916712388897</v>
      </c>
      <c r="E156" s="35">
        <f t="shared" si="38"/>
        <v>0.90785016935644547</v>
      </c>
      <c r="F156" s="27">
        <f t="shared" si="54"/>
        <v>10038</v>
      </c>
      <c r="G156" s="20">
        <f t="shared" si="55"/>
        <v>925</v>
      </c>
      <c r="H156" s="27">
        <f t="shared" si="56"/>
        <v>9113</v>
      </c>
      <c r="I156" s="27">
        <f t="shared" si="57"/>
        <v>6866</v>
      </c>
      <c r="J156" s="20">
        <f t="shared" si="58"/>
        <v>2247</v>
      </c>
      <c r="K156" s="27"/>
      <c r="L156" s="4"/>
      <c r="M156" s="62">
        <v>2005</v>
      </c>
      <c r="N156" s="63" t="s">
        <v>44</v>
      </c>
      <c r="O156" s="35">
        <f t="shared" si="39"/>
        <v>0.73048841893252769</v>
      </c>
      <c r="P156" s="35">
        <f t="shared" si="40"/>
        <v>0.77229172211871178</v>
      </c>
      <c r="Q156" s="35">
        <f t="shared" si="41"/>
        <v>0.94587109768378652</v>
      </c>
      <c r="R156" s="20">
        <v>7944</v>
      </c>
      <c r="S156" s="27">
        <f t="shared" si="59"/>
        <v>430</v>
      </c>
      <c r="T156" s="20">
        <v>7514</v>
      </c>
      <c r="U156" s="20">
        <v>5803</v>
      </c>
      <c r="V156" s="20">
        <f t="shared" si="60"/>
        <v>1711</v>
      </c>
      <c r="W156" s="20"/>
      <c r="X156" s="5"/>
      <c r="Y156" s="62">
        <v>2005</v>
      </c>
      <c r="Z156" s="63" t="s">
        <v>44</v>
      </c>
      <c r="AA156" s="35">
        <f t="shared" si="44"/>
        <v>0.38402625820568925</v>
      </c>
      <c r="AB156" s="35">
        <f t="shared" si="45"/>
        <v>0.52</v>
      </c>
      <c r="AC156" s="35">
        <f t="shared" si="46"/>
        <v>0.73851203501094087</v>
      </c>
      <c r="AD156" s="20">
        <v>914</v>
      </c>
      <c r="AE156" s="27">
        <f t="shared" si="61"/>
        <v>239</v>
      </c>
      <c r="AF156" s="20">
        <v>675</v>
      </c>
      <c r="AG156" s="20">
        <v>351</v>
      </c>
      <c r="AH156" s="20">
        <f t="shared" si="62"/>
        <v>324</v>
      </c>
      <c r="AI156" s="20"/>
      <c r="AJ156" s="5"/>
      <c r="AK156" s="62">
        <v>2005</v>
      </c>
      <c r="AL156" s="63" t="s">
        <v>44</v>
      </c>
      <c r="AM156" s="35">
        <f t="shared" si="49"/>
        <v>0.60338983050847461</v>
      </c>
      <c r="AN156" s="35">
        <f t="shared" si="50"/>
        <v>0.77056277056277056</v>
      </c>
      <c r="AO156" s="35">
        <f t="shared" si="51"/>
        <v>0.7830508474576271</v>
      </c>
      <c r="AP156" s="20">
        <v>1180</v>
      </c>
      <c r="AQ156" s="27">
        <f t="shared" si="63"/>
        <v>256</v>
      </c>
      <c r="AR156" s="20">
        <v>924</v>
      </c>
      <c r="AS156" s="20">
        <v>712</v>
      </c>
      <c r="AT156" s="20">
        <f t="shared" si="64"/>
        <v>212</v>
      </c>
      <c r="AU156" s="29"/>
    </row>
    <row r="157" spans="1:47" s="3" customFormat="1" ht="12.75">
      <c r="A157" s="64">
        <v>2005</v>
      </c>
      <c r="B157" s="65" t="s">
        <v>45</v>
      </c>
      <c r="C157" s="35">
        <f t="shared" si="36"/>
        <v>0.68030139935414424</v>
      </c>
      <c r="D157" s="35">
        <f t="shared" si="37"/>
        <v>0.75368603642671295</v>
      </c>
      <c r="E157" s="35">
        <f t="shared" si="38"/>
        <v>0.90263235150210397</v>
      </c>
      <c r="F157" s="27">
        <f t="shared" si="54"/>
        <v>10219</v>
      </c>
      <c r="G157" s="20">
        <f t="shared" si="55"/>
        <v>995</v>
      </c>
      <c r="H157" s="27">
        <f t="shared" si="56"/>
        <v>9224</v>
      </c>
      <c r="I157" s="27">
        <f t="shared" si="57"/>
        <v>6952</v>
      </c>
      <c r="J157" s="20">
        <f t="shared" si="58"/>
        <v>2272</v>
      </c>
      <c r="K157" s="27"/>
      <c r="L157" s="4"/>
      <c r="M157" s="64">
        <v>2005</v>
      </c>
      <c r="N157" s="65" t="s">
        <v>45</v>
      </c>
      <c r="O157" s="35">
        <f t="shared" si="39"/>
        <v>0.70119767872576866</v>
      </c>
      <c r="P157" s="35">
        <f t="shared" si="40"/>
        <v>0.76732873935954604</v>
      </c>
      <c r="Q157" s="35">
        <f t="shared" si="41"/>
        <v>0.91381652055809359</v>
      </c>
      <c r="R157" s="20">
        <v>8099</v>
      </c>
      <c r="S157" s="27">
        <f t="shared" si="59"/>
        <v>698</v>
      </c>
      <c r="T157" s="20">
        <v>7401</v>
      </c>
      <c r="U157" s="20">
        <v>5679</v>
      </c>
      <c r="V157" s="20">
        <f t="shared" si="60"/>
        <v>1722</v>
      </c>
      <c r="W157" s="20"/>
      <c r="X157" s="5"/>
      <c r="Y157" s="64">
        <v>2005</v>
      </c>
      <c r="Z157" s="65" t="s">
        <v>45</v>
      </c>
      <c r="AA157" s="35">
        <f t="shared" si="44"/>
        <v>0.57111597374179435</v>
      </c>
      <c r="AB157" s="35">
        <f t="shared" si="45"/>
        <v>0.68593955321944811</v>
      </c>
      <c r="AC157" s="35">
        <f t="shared" si="46"/>
        <v>0.83260393873085337</v>
      </c>
      <c r="AD157" s="20">
        <v>914</v>
      </c>
      <c r="AE157" s="27">
        <f t="shared" si="61"/>
        <v>153</v>
      </c>
      <c r="AF157" s="20">
        <v>761</v>
      </c>
      <c r="AG157" s="20">
        <v>522</v>
      </c>
      <c r="AH157" s="20">
        <f t="shared" si="62"/>
        <v>239</v>
      </c>
      <c r="AI157" s="20"/>
      <c r="AJ157" s="5"/>
      <c r="AK157" s="64">
        <v>2005</v>
      </c>
      <c r="AL157" s="65" t="s">
        <v>45</v>
      </c>
      <c r="AM157" s="35">
        <f t="shared" si="49"/>
        <v>0.62271973466003316</v>
      </c>
      <c r="AN157" s="35">
        <f t="shared" si="50"/>
        <v>0.70715630885122416</v>
      </c>
      <c r="AO157" s="35">
        <f t="shared" si="51"/>
        <v>0.88059701492537312</v>
      </c>
      <c r="AP157" s="20">
        <v>1206</v>
      </c>
      <c r="AQ157" s="27">
        <f t="shared" si="63"/>
        <v>144</v>
      </c>
      <c r="AR157" s="20">
        <v>1062</v>
      </c>
      <c r="AS157" s="20">
        <v>751</v>
      </c>
      <c r="AT157" s="20">
        <f t="shared" si="64"/>
        <v>311</v>
      </c>
      <c r="AU157" s="29"/>
    </row>
    <row r="158" spans="1:47" s="3" customFormat="1" ht="12.75">
      <c r="A158" s="62">
        <v>2005</v>
      </c>
      <c r="B158" s="63" t="s">
        <v>46</v>
      </c>
      <c r="C158" s="35">
        <f t="shared" si="36"/>
        <v>0.689431704885344</v>
      </c>
      <c r="D158" s="35">
        <f t="shared" si="37"/>
        <v>0.73878205128205132</v>
      </c>
      <c r="E158" s="35">
        <f t="shared" si="38"/>
        <v>0.93320039880358918</v>
      </c>
      <c r="F158" s="27">
        <f t="shared" si="54"/>
        <v>10030</v>
      </c>
      <c r="G158" s="20">
        <f t="shared" si="55"/>
        <v>670</v>
      </c>
      <c r="H158" s="27">
        <f t="shared" si="56"/>
        <v>9360</v>
      </c>
      <c r="I158" s="27">
        <f t="shared" si="57"/>
        <v>6915</v>
      </c>
      <c r="J158" s="20">
        <f t="shared" si="58"/>
        <v>2445</v>
      </c>
      <c r="K158" s="27"/>
      <c r="L158" s="4"/>
      <c r="M158" s="62">
        <v>2005</v>
      </c>
      <c r="N158" s="63" t="s">
        <v>46</v>
      </c>
      <c r="O158" s="35">
        <f t="shared" si="39"/>
        <v>0.69841668760995224</v>
      </c>
      <c r="P158" s="35">
        <f t="shared" si="40"/>
        <v>0.73929236499068907</v>
      </c>
      <c r="Q158" s="35">
        <f t="shared" si="41"/>
        <v>0.94470972606182457</v>
      </c>
      <c r="R158" s="20">
        <v>7958</v>
      </c>
      <c r="S158" s="27">
        <f t="shared" si="59"/>
        <v>440</v>
      </c>
      <c r="T158" s="20">
        <v>7518</v>
      </c>
      <c r="U158" s="20">
        <v>5558</v>
      </c>
      <c r="V158" s="20">
        <f t="shared" si="60"/>
        <v>1960</v>
      </c>
      <c r="W158" s="20"/>
      <c r="X158" s="5"/>
      <c r="Y158" s="62">
        <v>2005</v>
      </c>
      <c r="Z158" s="63" t="s">
        <v>46</v>
      </c>
      <c r="AA158" s="35">
        <f t="shared" si="44"/>
        <v>0.5565610859728507</v>
      </c>
      <c r="AB158" s="35">
        <f t="shared" si="45"/>
        <v>0.64313725490196083</v>
      </c>
      <c r="AC158" s="35">
        <f t="shared" si="46"/>
        <v>0.86538461538461542</v>
      </c>
      <c r="AD158" s="20">
        <v>884</v>
      </c>
      <c r="AE158" s="27">
        <f t="shared" si="61"/>
        <v>119</v>
      </c>
      <c r="AF158" s="20">
        <v>765</v>
      </c>
      <c r="AG158" s="20">
        <v>492</v>
      </c>
      <c r="AH158" s="20">
        <f t="shared" si="62"/>
        <v>273</v>
      </c>
      <c r="AI158" s="20"/>
      <c r="AJ158" s="5"/>
      <c r="AK158" s="62">
        <v>2005</v>
      </c>
      <c r="AL158" s="63" t="s">
        <v>46</v>
      </c>
      <c r="AM158" s="35">
        <f t="shared" si="49"/>
        <v>0.72811447811447816</v>
      </c>
      <c r="AN158" s="35">
        <f t="shared" si="50"/>
        <v>0.80315691736304551</v>
      </c>
      <c r="AO158" s="35">
        <f t="shared" si="51"/>
        <v>0.90656565656565657</v>
      </c>
      <c r="AP158" s="20">
        <v>1188</v>
      </c>
      <c r="AQ158" s="27">
        <f t="shared" si="63"/>
        <v>111</v>
      </c>
      <c r="AR158" s="20">
        <v>1077</v>
      </c>
      <c r="AS158" s="20">
        <v>865</v>
      </c>
      <c r="AT158" s="20">
        <f t="shared" si="64"/>
        <v>212</v>
      </c>
      <c r="AU158" s="29"/>
    </row>
    <row r="159" spans="1:47" s="3" customFormat="1" ht="12.75">
      <c r="A159" s="64">
        <v>2005</v>
      </c>
      <c r="B159" s="65" t="s">
        <v>47</v>
      </c>
      <c r="C159" s="35">
        <f t="shared" si="36"/>
        <v>0.59447415329768272</v>
      </c>
      <c r="D159" s="35">
        <f t="shared" si="37"/>
        <v>0.67945670628183363</v>
      </c>
      <c r="E159" s="35">
        <f t="shared" si="38"/>
        <v>0.87492572786690437</v>
      </c>
      <c r="F159" s="27">
        <f t="shared" si="54"/>
        <v>10098</v>
      </c>
      <c r="G159" s="20">
        <f t="shared" si="55"/>
        <v>1263</v>
      </c>
      <c r="H159" s="27">
        <f t="shared" si="56"/>
        <v>8835</v>
      </c>
      <c r="I159" s="27">
        <f t="shared" si="57"/>
        <v>6003</v>
      </c>
      <c r="J159" s="20">
        <f t="shared" si="58"/>
        <v>2832</v>
      </c>
      <c r="K159" s="27"/>
      <c r="L159" s="4"/>
      <c r="M159" s="64">
        <v>2005</v>
      </c>
      <c r="N159" s="65" t="s">
        <v>47</v>
      </c>
      <c r="O159" s="35">
        <f t="shared" si="39"/>
        <v>0.6041172800998128</v>
      </c>
      <c r="P159" s="35">
        <f t="shared" si="40"/>
        <v>0.67399777282850781</v>
      </c>
      <c r="Q159" s="35">
        <f t="shared" si="41"/>
        <v>0.89631940112289454</v>
      </c>
      <c r="R159" s="20">
        <v>8015</v>
      </c>
      <c r="S159" s="27">
        <f t="shared" si="59"/>
        <v>831</v>
      </c>
      <c r="T159" s="20">
        <v>7184</v>
      </c>
      <c r="U159" s="20">
        <v>4842</v>
      </c>
      <c r="V159" s="20">
        <f t="shared" si="60"/>
        <v>2342</v>
      </c>
      <c r="W159" s="20"/>
      <c r="X159" s="5"/>
      <c r="Y159" s="64">
        <v>2005</v>
      </c>
      <c r="Z159" s="65" t="s">
        <v>47</v>
      </c>
      <c r="AA159" s="35">
        <f t="shared" si="44"/>
        <v>0.43956043956043955</v>
      </c>
      <c r="AB159" s="35">
        <f t="shared" si="45"/>
        <v>0.57636887608069165</v>
      </c>
      <c r="AC159" s="35">
        <f t="shared" si="46"/>
        <v>0.76263736263736259</v>
      </c>
      <c r="AD159" s="20">
        <v>910</v>
      </c>
      <c r="AE159" s="27">
        <f t="shared" si="61"/>
        <v>216</v>
      </c>
      <c r="AF159" s="20">
        <v>694</v>
      </c>
      <c r="AG159" s="20">
        <v>400</v>
      </c>
      <c r="AH159" s="20">
        <f t="shared" si="62"/>
        <v>294</v>
      </c>
      <c r="AI159" s="20"/>
      <c r="AJ159" s="5"/>
      <c r="AK159" s="64">
        <v>2005</v>
      </c>
      <c r="AL159" s="65" t="s">
        <v>47</v>
      </c>
      <c r="AM159" s="35">
        <f t="shared" si="49"/>
        <v>0.64876385336743392</v>
      </c>
      <c r="AN159" s="35">
        <f t="shared" si="50"/>
        <v>0.79519331243469171</v>
      </c>
      <c r="AO159" s="35">
        <f t="shared" si="51"/>
        <v>0.81585677749360619</v>
      </c>
      <c r="AP159" s="20">
        <v>1173</v>
      </c>
      <c r="AQ159" s="27">
        <f t="shared" si="63"/>
        <v>216</v>
      </c>
      <c r="AR159" s="20">
        <v>957</v>
      </c>
      <c r="AS159" s="20">
        <v>761</v>
      </c>
      <c r="AT159" s="20">
        <f t="shared" si="64"/>
        <v>196</v>
      </c>
      <c r="AU159" s="29"/>
    </row>
    <row r="160" spans="1:47" s="3" customFormat="1" ht="12.75">
      <c r="A160" s="62">
        <v>2005</v>
      </c>
      <c r="B160" s="63" t="s">
        <v>48</v>
      </c>
      <c r="C160" s="35">
        <f t="shared" si="36"/>
        <v>0.68973080757726823</v>
      </c>
      <c r="D160" s="35">
        <f t="shared" si="37"/>
        <v>0.76307081403044341</v>
      </c>
      <c r="E160" s="35">
        <f t="shared" si="38"/>
        <v>0.90388833499501497</v>
      </c>
      <c r="F160" s="27">
        <f t="shared" si="54"/>
        <v>10030</v>
      </c>
      <c r="G160" s="20">
        <f t="shared" si="55"/>
        <v>964</v>
      </c>
      <c r="H160" s="27">
        <f t="shared" si="56"/>
        <v>9066</v>
      </c>
      <c r="I160" s="27">
        <f t="shared" si="57"/>
        <v>6918</v>
      </c>
      <c r="J160" s="20">
        <f t="shared" si="58"/>
        <v>2148</v>
      </c>
      <c r="K160" s="27"/>
      <c r="L160" s="4"/>
      <c r="M160" s="62">
        <v>2005</v>
      </c>
      <c r="N160" s="63" t="s">
        <v>48</v>
      </c>
      <c r="O160" s="35">
        <f t="shared" si="39"/>
        <v>0.70909776325709972</v>
      </c>
      <c r="P160" s="35">
        <f t="shared" si="40"/>
        <v>0.77132312739201747</v>
      </c>
      <c r="Q160" s="35">
        <f t="shared" si="41"/>
        <v>0.9193264639356622</v>
      </c>
      <c r="R160" s="20">
        <v>7958</v>
      </c>
      <c r="S160" s="27">
        <f t="shared" si="59"/>
        <v>642</v>
      </c>
      <c r="T160" s="20">
        <v>7316</v>
      </c>
      <c r="U160" s="20">
        <v>5643</v>
      </c>
      <c r="V160" s="20">
        <f t="shared" si="60"/>
        <v>1673</v>
      </c>
      <c r="W160" s="20"/>
      <c r="X160" s="5"/>
      <c r="Y160" s="62">
        <v>2005</v>
      </c>
      <c r="Z160" s="63" t="s">
        <v>48</v>
      </c>
      <c r="AA160" s="35">
        <f t="shared" si="44"/>
        <v>0.46493212669683259</v>
      </c>
      <c r="AB160" s="35">
        <f t="shared" si="45"/>
        <v>0.58798283261802575</v>
      </c>
      <c r="AC160" s="35">
        <f t="shared" si="46"/>
        <v>0.79072398190045246</v>
      </c>
      <c r="AD160" s="20">
        <v>884</v>
      </c>
      <c r="AE160" s="27">
        <f t="shared" si="61"/>
        <v>185</v>
      </c>
      <c r="AF160" s="20">
        <v>699</v>
      </c>
      <c r="AG160" s="20">
        <v>411</v>
      </c>
      <c r="AH160" s="20">
        <f t="shared" si="62"/>
        <v>288</v>
      </c>
      <c r="AI160" s="20"/>
      <c r="AJ160" s="5"/>
      <c r="AK160" s="62">
        <v>2005</v>
      </c>
      <c r="AL160" s="63" t="s">
        <v>48</v>
      </c>
      <c r="AM160" s="35">
        <f t="shared" si="49"/>
        <v>0.72727272727272729</v>
      </c>
      <c r="AN160" s="35">
        <f t="shared" si="50"/>
        <v>0.82207421503330158</v>
      </c>
      <c r="AO160" s="35">
        <f t="shared" si="51"/>
        <v>0.88468013468013473</v>
      </c>
      <c r="AP160" s="20">
        <v>1188</v>
      </c>
      <c r="AQ160" s="27">
        <f t="shared" si="63"/>
        <v>137</v>
      </c>
      <c r="AR160" s="20">
        <v>1051</v>
      </c>
      <c r="AS160" s="20">
        <v>864</v>
      </c>
      <c r="AT160" s="20">
        <f t="shared" si="64"/>
        <v>187</v>
      </c>
      <c r="AU160" s="29"/>
    </row>
    <row r="161" spans="1:55" s="3" customFormat="1" ht="12.75">
      <c r="A161" s="64">
        <v>2005</v>
      </c>
      <c r="B161" s="65" t="s">
        <v>49</v>
      </c>
      <c r="C161" s="35">
        <f t="shared" si="36"/>
        <v>0.70628334321280384</v>
      </c>
      <c r="D161" s="35">
        <f t="shared" si="37"/>
        <v>0.75811240721102868</v>
      </c>
      <c r="E161" s="35">
        <f t="shared" si="38"/>
        <v>0.93163406441414742</v>
      </c>
      <c r="F161" s="27">
        <f t="shared" si="54"/>
        <v>10122</v>
      </c>
      <c r="G161" s="20">
        <f t="shared" si="55"/>
        <v>692</v>
      </c>
      <c r="H161" s="27">
        <f t="shared" si="56"/>
        <v>9430</v>
      </c>
      <c r="I161" s="27">
        <f t="shared" si="57"/>
        <v>7149</v>
      </c>
      <c r="J161" s="20">
        <f t="shared" si="58"/>
        <v>2281</v>
      </c>
      <c r="K161" s="27"/>
      <c r="L161" s="10"/>
      <c r="M161" s="64">
        <v>2005</v>
      </c>
      <c r="N161" s="65" t="s">
        <v>49</v>
      </c>
      <c r="O161" s="35">
        <f t="shared" si="39"/>
        <v>0.72694371646075129</v>
      </c>
      <c r="P161" s="35">
        <f t="shared" si="40"/>
        <v>0.76483718487394958</v>
      </c>
      <c r="Q161" s="35">
        <f t="shared" si="41"/>
        <v>0.95045550979658056</v>
      </c>
      <c r="R161" s="20">
        <v>8013</v>
      </c>
      <c r="S161" s="27">
        <f t="shared" si="59"/>
        <v>397</v>
      </c>
      <c r="T161" s="20">
        <v>7616</v>
      </c>
      <c r="U161" s="20">
        <v>5825</v>
      </c>
      <c r="V161" s="20">
        <f t="shared" si="60"/>
        <v>1791</v>
      </c>
      <c r="W161" s="20"/>
      <c r="X161" s="5"/>
      <c r="Y161" s="64">
        <v>2005</v>
      </c>
      <c r="Z161" s="65" t="s">
        <v>49</v>
      </c>
      <c r="AA161" s="35">
        <f t="shared" si="44"/>
        <v>0.56813186813186811</v>
      </c>
      <c r="AB161" s="35">
        <f t="shared" si="45"/>
        <v>0.69395973154362411</v>
      </c>
      <c r="AC161" s="35">
        <f t="shared" si="46"/>
        <v>0.81868131868131866</v>
      </c>
      <c r="AD161" s="20">
        <v>910</v>
      </c>
      <c r="AE161" s="27">
        <f t="shared" si="61"/>
        <v>165</v>
      </c>
      <c r="AF161" s="20">
        <v>745</v>
      </c>
      <c r="AG161" s="20">
        <v>517</v>
      </c>
      <c r="AH161" s="20">
        <f t="shared" si="62"/>
        <v>228</v>
      </c>
      <c r="AI161" s="20"/>
      <c r="AJ161" s="5"/>
      <c r="AK161" s="64">
        <v>2005</v>
      </c>
      <c r="AL161" s="65" t="s">
        <v>49</v>
      </c>
      <c r="AM161" s="35">
        <f t="shared" si="49"/>
        <v>0.67306088407005837</v>
      </c>
      <c r="AN161" s="35">
        <f t="shared" si="50"/>
        <v>0.75491113189897097</v>
      </c>
      <c r="AO161" s="35">
        <f t="shared" si="51"/>
        <v>0.89157631359466227</v>
      </c>
      <c r="AP161" s="20">
        <v>1199</v>
      </c>
      <c r="AQ161" s="27">
        <f t="shared" si="63"/>
        <v>130</v>
      </c>
      <c r="AR161" s="20">
        <v>1069</v>
      </c>
      <c r="AS161" s="20">
        <v>807</v>
      </c>
      <c r="AT161" s="20">
        <f t="shared" si="64"/>
        <v>262</v>
      </c>
      <c r="AU161" s="29"/>
    </row>
    <row r="162" spans="1:55" s="3" customFormat="1" ht="12.75">
      <c r="A162" s="62">
        <v>2006</v>
      </c>
      <c r="B162" s="63" t="s">
        <v>38</v>
      </c>
      <c r="C162" s="35">
        <f t="shared" si="36"/>
        <v>0.71631275075839118</v>
      </c>
      <c r="D162" s="35">
        <f t="shared" si="37"/>
        <v>0.78913324708926258</v>
      </c>
      <c r="E162" s="35">
        <f t="shared" si="38"/>
        <v>0.90772091202661709</v>
      </c>
      <c r="F162" s="27">
        <f t="shared" si="54"/>
        <v>10219</v>
      </c>
      <c r="G162" s="20">
        <f t="shared" si="55"/>
        <v>943</v>
      </c>
      <c r="H162" s="27">
        <f t="shared" si="56"/>
        <v>9276</v>
      </c>
      <c r="I162" s="27">
        <f t="shared" si="57"/>
        <v>7320</v>
      </c>
      <c r="J162" s="20">
        <f t="shared" si="58"/>
        <v>1956</v>
      </c>
      <c r="K162" s="27"/>
      <c r="L162" s="4"/>
      <c r="M162" s="62">
        <v>2006</v>
      </c>
      <c r="N162" s="63" t="s">
        <v>38</v>
      </c>
      <c r="O162" s="35">
        <f t="shared" si="39"/>
        <v>0.75688356587232997</v>
      </c>
      <c r="P162" s="35">
        <f t="shared" si="40"/>
        <v>0.81213566507684154</v>
      </c>
      <c r="Q162" s="35">
        <f t="shared" si="41"/>
        <v>0.93196690949499938</v>
      </c>
      <c r="R162" s="20">
        <v>8099</v>
      </c>
      <c r="S162" s="27">
        <f t="shared" ref="S162:S173" si="65">R162-T162</f>
        <v>551</v>
      </c>
      <c r="T162" s="20">
        <v>7548</v>
      </c>
      <c r="U162" s="20">
        <v>6130</v>
      </c>
      <c r="V162" s="20">
        <f t="shared" ref="V162:V173" si="66">T162-U162</f>
        <v>1418</v>
      </c>
      <c r="W162" s="20"/>
      <c r="X162" s="5"/>
      <c r="Y162" s="62">
        <v>2006</v>
      </c>
      <c r="Z162" s="63" t="s">
        <v>38</v>
      </c>
      <c r="AA162" s="35">
        <f t="shared" si="44"/>
        <v>0.56564551422319476</v>
      </c>
      <c r="AB162" s="35">
        <f t="shared" si="45"/>
        <v>0.73022598870056499</v>
      </c>
      <c r="AC162" s="35">
        <f t="shared" si="46"/>
        <v>0.77461706783369799</v>
      </c>
      <c r="AD162" s="20">
        <v>914</v>
      </c>
      <c r="AE162" s="27">
        <f t="shared" ref="AE162:AE173" si="67">AD162-AF162</f>
        <v>206</v>
      </c>
      <c r="AF162" s="20">
        <v>708</v>
      </c>
      <c r="AG162" s="20">
        <v>517</v>
      </c>
      <c r="AH162" s="20">
        <f t="shared" ref="AH162:AH173" si="68">AF162-AG162</f>
        <v>191</v>
      </c>
      <c r="AI162" s="20"/>
      <c r="AJ162" s="5"/>
      <c r="AK162" s="62">
        <v>2006</v>
      </c>
      <c r="AL162" s="63" t="s">
        <v>38</v>
      </c>
      <c r="AM162" s="35">
        <f t="shared" si="49"/>
        <v>0.55804311774461024</v>
      </c>
      <c r="AN162" s="35">
        <f t="shared" si="50"/>
        <v>0.65980392156862744</v>
      </c>
      <c r="AO162" s="35">
        <f t="shared" si="51"/>
        <v>0.845771144278607</v>
      </c>
      <c r="AP162" s="20">
        <v>1206</v>
      </c>
      <c r="AQ162" s="27">
        <f t="shared" ref="AQ162:AQ173" si="69">AP162-AR162</f>
        <v>186</v>
      </c>
      <c r="AR162" s="20">
        <v>1020</v>
      </c>
      <c r="AS162" s="20">
        <v>673</v>
      </c>
      <c r="AT162" s="20">
        <f t="shared" ref="AT162:AT173" si="70">AR162-AS162</f>
        <v>347</v>
      </c>
      <c r="AU162" s="29"/>
    </row>
    <row r="163" spans="1:55" s="3" customFormat="1" ht="12.75">
      <c r="A163" s="64">
        <v>2006</v>
      </c>
      <c r="B163" s="65" t="s">
        <v>39</v>
      </c>
      <c r="C163" s="35">
        <f t="shared" si="36"/>
        <v>0.73422356235192765</v>
      </c>
      <c r="D163" s="35">
        <f t="shared" si="37"/>
        <v>0.78875520592318371</v>
      </c>
      <c r="E163" s="35">
        <f t="shared" si="38"/>
        <v>0.9308636657333621</v>
      </c>
      <c r="F163" s="27">
        <f t="shared" si="54"/>
        <v>9286</v>
      </c>
      <c r="G163" s="20">
        <f t="shared" si="55"/>
        <v>642</v>
      </c>
      <c r="H163" s="27">
        <f t="shared" si="56"/>
        <v>8644</v>
      </c>
      <c r="I163" s="27">
        <f t="shared" si="57"/>
        <v>6818</v>
      </c>
      <c r="J163" s="20">
        <f t="shared" si="58"/>
        <v>1826</v>
      </c>
      <c r="K163" s="27"/>
      <c r="L163" s="4"/>
      <c r="M163" s="64">
        <v>2006</v>
      </c>
      <c r="N163" s="65" t="s">
        <v>39</v>
      </c>
      <c r="O163" s="35">
        <f t="shared" si="39"/>
        <v>0.76609616951915238</v>
      </c>
      <c r="P163" s="35">
        <f t="shared" si="40"/>
        <v>0.81221198156682028</v>
      </c>
      <c r="Q163" s="35">
        <f t="shared" si="41"/>
        <v>0.94322195055691394</v>
      </c>
      <c r="R163" s="20">
        <v>7362</v>
      </c>
      <c r="S163" s="27">
        <f t="shared" si="65"/>
        <v>418</v>
      </c>
      <c r="T163" s="20">
        <v>6944</v>
      </c>
      <c r="U163" s="20">
        <v>5640</v>
      </c>
      <c r="V163" s="20">
        <f t="shared" si="66"/>
        <v>1304</v>
      </c>
      <c r="W163" s="20"/>
      <c r="X163" s="5"/>
      <c r="Y163" s="64">
        <v>2006</v>
      </c>
      <c r="Z163" s="65" t="s">
        <v>39</v>
      </c>
      <c r="AA163" s="35">
        <f t="shared" si="44"/>
        <v>0.6310679611650486</v>
      </c>
      <c r="AB163" s="35">
        <f t="shared" si="45"/>
        <v>0.74179743223965766</v>
      </c>
      <c r="AC163" s="35">
        <f t="shared" si="46"/>
        <v>0.85072815533980584</v>
      </c>
      <c r="AD163" s="20">
        <v>824</v>
      </c>
      <c r="AE163" s="27">
        <f t="shared" si="67"/>
        <v>123</v>
      </c>
      <c r="AF163" s="20">
        <v>701</v>
      </c>
      <c r="AG163" s="20">
        <v>520</v>
      </c>
      <c r="AH163" s="20">
        <f t="shared" si="68"/>
        <v>181</v>
      </c>
      <c r="AI163" s="20"/>
      <c r="AJ163" s="5"/>
      <c r="AK163" s="64">
        <v>2006</v>
      </c>
      <c r="AL163" s="65" t="s">
        <v>39</v>
      </c>
      <c r="AM163" s="35">
        <f t="shared" si="49"/>
        <v>0.59818181818181815</v>
      </c>
      <c r="AN163" s="35">
        <f t="shared" si="50"/>
        <v>0.65865865865865869</v>
      </c>
      <c r="AO163" s="35">
        <f t="shared" si="51"/>
        <v>0.9081818181818182</v>
      </c>
      <c r="AP163" s="20">
        <v>1100</v>
      </c>
      <c r="AQ163" s="27">
        <f t="shared" si="69"/>
        <v>101</v>
      </c>
      <c r="AR163" s="20">
        <v>999</v>
      </c>
      <c r="AS163" s="20">
        <v>658</v>
      </c>
      <c r="AT163" s="20">
        <f t="shared" si="70"/>
        <v>341</v>
      </c>
      <c r="AU163" s="29"/>
    </row>
    <row r="164" spans="1:55" s="3" customFormat="1" ht="12.75">
      <c r="A164" s="62">
        <v>2006</v>
      </c>
      <c r="B164" s="63" t="s">
        <v>40</v>
      </c>
      <c r="C164" s="35">
        <f t="shared" si="36"/>
        <v>0.66953713670613568</v>
      </c>
      <c r="D164" s="35">
        <f t="shared" si="37"/>
        <v>0.73475085910652926</v>
      </c>
      <c r="E164" s="35">
        <f t="shared" si="38"/>
        <v>0.91124376162051079</v>
      </c>
      <c r="F164" s="27">
        <f t="shared" si="54"/>
        <v>10219</v>
      </c>
      <c r="G164" s="20">
        <f t="shared" si="55"/>
        <v>907</v>
      </c>
      <c r="H164" s="27">
        <f t="shared" si="56"/>
        <v>9312</v>
      </c>
      <c r="I164" s="27">
        <f t="shared" si="57"/>
        <v>6842</v>
      </c>
      <c r="J164" s="20">
        <f t="shared" si="58"/>
        <v>2470</v>
      </c>
      <c r="K164" s="27"/>
      <c r="L164" s="4"/>
      <c r="M164" s="62">
        <v>2006</v>
      </c>
      <c r="N164" s="63" t="s">
        <v>40</v>
      </c>
      <c r="O164" s="35">
        <f t="shared" si="39"/>
        <v>0.69786393381899003</v>
      </c>
      <c r="P164" s="35">
        <f t="shared" si="40"/>
        <v>0.74801482265749075</v>
      </c>
      <c r="Q164" s="35">
        <f t="shared" si="41"/>
        <v>0.93295468576367457</v>
      </c>
      <c r="R164" s="20">
        <v>8099</v>
      </c>
      <c r="S164" s="27">
        <f t="shared" si="65"/>
        <v>543</v>
      </c>
      <c r="T164" s="20">
        <v>7556</v>
      </c>
      <c r="U164" s="20">
        <v>5652</v>
      </c>
      <c r="V164" s="20">
        <f t="shared" si="66"/>
        <v>1904</v>
      </c>
      <c r="W164" s="20"/>
      <c r="X164" s="5"/>
      <c r="Y164" s="62">
        <v>2006</v>
      </c>
      <c r="Z164" s="63" t="s">
        <v>40</v>
      </c>
      <c r="AA164" s="35">
        <f t="shared" si="44"/>
        <v>0.50656455142231949</v>
      </c>
      <c r="AB164" s="35">
        <f t="shared" si="45"/>
        <v>0.62398921832884102</v>
      </c>
      <c r="AC164" s="35">
        <f t="shared" si="46"/>
        <v>0.81181619256017501</v>
      </c>
      <c r="AD164" s="20">
        <v>914</v>
      </c>
      <c r="AE164" s="27">
        <f t="shared" si="67"/>
        <v>172</v>
      </c>
      <c r="AF164" s="20">
        <v>742</v>
      </c>
      <c r="AG164" s="20">
        <v>463</v>
      </c>
      <c r="AH164" s="20">
        <f t="shared" si="68"/>
        <v>279</v>
      </c>
      <c r="AI164" s="20"/>
      <c r="AJ164" s="5"/>
      <c r="AK164" s="62">
        <v>2006</v>
      </c>
      <c r="AL164" s="63" t="s">
        <v>40</v>
      </c>
      <c r="AM164" s="35">
        <f t="shared" si="49"/>
        <v>0.60281923714759533</v>
      </c>
      <c r="AN164" s="35">
        <f t="shared" si="50"/>
        <v>0.71696252465483234</v>
      </c>
      <c r="AO164" s="35">
        <f t="shared" si="51"/>
        <v>0.84079601990049746</v>
      </c>
      <c r="AP164" s="20">
        <v>1206</v>
      </c>
      <c r="AQ164" s="27">
        <f t="shared" si="69"/>
        <v>192</v>
      </c>
      <c r="AR164" s="20">
        <v>1014</v>
      </c>
      <c r="AS164" s="20">
        <v>727</v>
      </c>
      <c r="AT164" s="20">
        <f t="shared" si="70"/>
        <v>287</v>
      </c>
      <c r="AU164" s="29"/>
    </row>
    <row r="165" spans="1:55" s="3" customFormat="1" ht="12.75">
      <c r="A165" s="64">
        <v>2006</v>
      </c>
      <c r="B165" s="65" t="s">
        <v>41</v>
      </c>
      <c r="C165" s="35">
        <f t="shared" si="36"/>
        <v>0.89647968244019638</v>
      </c>
      <c r="D165" s="35">
        <f t="shared" si="37"/>
        <v>0.92868737149659131</v>
      </c>
      <c r="E165" s="35">
        <f t="shared" si="38"/>
        <v>0.9653191267105401</v>
      </c>
      <c r="F165" s="27">
        <f t="shared" si="54"/>
        <v>9573</v>
      </c>
      <c r="G165" s="20">
        <f t="shared" si="55"/>
        <v>332</v>
      </c>
      <c r="H165" s="27">
        <f t="shared" si="56"/>
        <v>9241</v>
      </c>
      <c r="I165" s="27">
        <f t="shared" si="57"/>
        <v>8582</v>
      </c>
      <c r="J165" s="20">
        <f t="shared" si="58"/>
        <v>659</v>
      </c>
      <c r="K165" s="27"/>
      <c r="L165" s="4"/>
      <c r="M165" s="64">
        <v>2006</v>
      </c>
      <c r="N165" s="65" t="s">
        <v>41</v>
      </c>
      <c r="O165" s="35">
        <f t="shared" si="39"/>
        <v>1</v>
      </c>
      <c r="P165" s="35">
        <f t="shared" si="40"/>
        <v>1</v>
      </c>
      <c r="Q165" s="35">
        <f t="shared" si="41"/>
        <v>1</v>
      </c>
      <c r="R165" s="20">
        <v>7564</v>
      </c>
      <c r="S165" s="27">
        <f t="shared" si="65"/>
        <v>0</v>
      </c>
      <c r="T165" s="20">
        <v>7564</v>
      </c>
      <c r="U165" s="20">
        <v>7564</v>
      </c>
      <c r="V165" s="20">
        <f t="shared" si="66"/>
        <v>0</v>
      </c>
      <c r="W165" s="20"/>
      <c r="X165" s="5"/>
      <c r="Y165" s="64">
        <v>2006</v>
      </c>
      <c r="Z165" s="65" t="s">
        <v>41</v>
      </c>
      <c r="AA165" s="35">
        <f t="shared" si="44"/>
        <v>0.41363636363636364</v>
      </c>
      <c r="AB165" s="35">
        <f t="shared" si="45"/>
        <v>0.529839883551674</v>
      </c>
      <c r="AC165" s="35">
        <f t="shared" si="46"/>
        <v>0.78068181818181814</v>
      </c>
      <c r="AD165" s="20">
        <v>880</v>
      </c>
      <c r="AE165" s="27">
        <f t="shared" si="67"/>
        <v>193</v>
      </c>
      <c r="AF165" s="20">
        <v>687</v>
      </c>
      <c r="AG165" s="20">
        <v>364</v>
      </c>
      <c r="AH165" s="20">
        <f t="shared" si="68"/>
        <v>323</v>
      </c>
      <c r="AI165" s="20"/>
      <c r="AJ165" s="5"/>
      <c r="AK165" s="64">
        <v>2006</v>
      </c>
      <c r="AL165" s="65" t="s">
        <v>41</v>
      </c>
      <c r="AM165" s="35">
        <f t="shared" si="49"/>
        <v>0.57927369353410096</v>
      </c>
      <c r="AN165" s="35">
        <f t="shared" si="50"/>
        <v>0.66060606060606064</v>
      </c>
      <c r="AO165" s="35">
        <f t="shared" si="51"/>
        <v>0.87688219663418954</v>
      </c>
      <c r="AP165" s="20">
        <v>1129</v>
      </c>
      <c r="AQ165" s="27">
        <f t="shared" si="69"/>
        <v>139</v>
      </c>
      <c r="AR165" s="20">
        <v>990</v>
      </c>
      <c r="AS165" s="20">
        <v>654</v>
      </c>
      <c r="AT165" s="20">
        <f t="shared" si="70"/>
        <v>336</v>
      </c>
      <c r="AU165" s="29"/>
    </row>
    <row r="166" spans="1:55" s="3" customFormat="1" ht="12.75">
      <c r="A166" s="62">
        <v>2006</v>
      </c>
      <c r="B166" s="63" t="s">
        <v>42</v>
      </c>
      <c r="C166" s="35">
        <f t="shared" si="36"/>
        <v>0.66221868153754238</v>
      </c>
      <c r="D166" s="35">
        <f t="shared" si="37"/>
        <v>0.73692375886524819</v>
      </c>
      <c r="E166" s="35">
        <f t="shared" si="38"/>
        <v>0.8986257717586138</v>
      </c>
      <c r="F166" s="27">
        <f t="shared" si="54"/>
        <v>10042</v>
      </c>
      <c r="G166" s="20">
        <f t="shared" si="55"/>
        <v>1018</v>
      </c>
      <c r="H166" s="27">
        <f t="shared" si="56"/>
        <v>9024</v>
      </c>
      <c r="I166" s="27">
        <f t="shared" si="57"/>
        <v>6650</v>
      </c>
      <c r="J166" s="20">
        <f t="shared" si="58"/>
        <v>2374</v>
      </c>
      <c r="K166" s="27"/>
      <c r="L166" s="4"/>
      <c r="M166" s="62">
        <v>2006</v>
      </c>
      <c r="N166" s="63" t="s">
        <v>42</v>
      </c>
      <c r="O166" s="35">
        <f t="shared" si="39"/>
        <v>0.6969048817312532</v>
      </c>
      <c r="P166" s="35">
        <f t="shared" si="40"/>
        <v>0.75370798748128998</v>
      </c>
      <c r="Q166" s="35">
        <f t="shared" si="41"/>
        <v>0.92463512833417216</v>
      </c>
      <c r="R166" s="20">
        <v>7948</v>
      </c>
      <c r="S166" s="27">
        <f t="shared" si="65"/>
        <v>599</v>
      </c>
      <c r="T166" s="20">
        <v>7349</v>
      </c>
      <c r="U166" s="20">
        <v>5539</v>
      </c>
      <c r="V166" s="20">
        <f t="shared" si="66"/>
        <v>1810</v>
      </c>
      <c r="W166" s="20"/>
      <c r="X166" s="5"/>
      <c r="Y166" s="62">
        <v>2006</v>
      </c>
      <c r="Z166" s="63" t="s">
        <v>42</v>
      </c>
      <c r="AA166" s="35">
        <f t="shared" si="44"/>
        <v>0.44967177242888401</v>
      </c>
      <c r="AB166" s="35">
        <f t="shared" si="45"/>
        <v>0.56767955801104975</v>
      </c>
      <c r="AC166" s="35">
        <f t="shared" si="46"/>
        <v>0.79212253829321666</v>
      </c>
      <c r="AD166" s="20">
        <v>914</v>
      </c>
      <c r="AE166" s="27">
        <f t="shared" si="67"/>
        <v>190</v>
      </c>
      <c r="AF166" s="20">
        <v>724</v>
      </c>
      <c r="AG166" s="20">
        <v>411</v>
      </c>
      <c r="AH166" s="20">
        <f t="shared" si="68"/>
        <v>313</v>
      </c>
      <c r="AI166" s="20"/>
      <c r="AJ166" s="5"/>
      <c r="AK166" s="62">
        <v>2006</v>
      </c>
      <c r="AL166" s="63" t="s">
        <v>42</v>
      </c>
      <c r="AM166" s="35">
        <f t="shared" si="49"/>
        <v>0.59322033898305082</v>
      </c>
      <c r="AN166" s="35">
        <f t="shared" si="50"/>
        <v>0.73606729758149314</v>
      </c>
      <c r="AO166" s="35">
        <f t="shared" si="51"/>
        <v>0.80593220338983051</v>
      </c>
      <c r="AP166" s="20">
        <v>1180</v>
      </c>
      <c r="AQ166" s="27">
        <f t="shared" si="69"/>
        <v>229</v>
      </c>
      <c r="AR166" s="20">
        <v>951</v>
      </c>
      <c r="AS166" s="20">
        <v>700</v>
      </c>
      <c r="AT166" s="20">
        <f t="shared" si="70"/>
        <v>251</v>
      </c>
      <c r="AU166" s="29"/>
    </row>
    <row r="167" spans="1:55" s="3" customFormat="1" ht="12.75">
      <c r="A167" s="64">
        <v>2006</v>
      </c>
      <c r="B167" s="65" t="s">
        <v>43</v>
      </c>
      <c r="C167" s="35">
        <f t="shared" si="36"/>
        <v>0.67536025979297742</v>
      </c>
      <c r="D167" s="35">
        <f t="shared" si="37"/>
        <v>0.72605280384027926</v>
      </c>
      <c r="E167" s="35">
        <f t="shared" si="38"/>
        <v>0.93018063730464784</v>
      </c>
      <c r="F167" s="27">
        <f t="shared" si="54"/>
        <v>9854</v>
      </c>
      <c r="G167" s="20">
        <f t="shared" si="55"/>
        <v>688</v>
      </c>
      <c r="H167" s="27">
        <f t="shared" si="56"/>
        <v>9166</v>
      </c>
      <c r="I167" s="27">
        <f t="shared" si="57"/>
        <v>6655</v>
      </c>
      <c r="J167" s="20">
        <f t="shared" si="58"/>
        <v>2511</v>
      </c>
      <c r="K167" s="27"/>
      <c r="L167" s="4"/>
      <c r="M167" s="64">
        <v>2006</v>
      </c>
      <c r="N167" s="65" t="s">
        <v>43</v>
      </c>
      <c r="O167" s="35">
        <f t="shared" si="39"/>
        <v>0.70414959016393441</v>
      </c>
      <c r="P167" s="35">
        <f t="shared" si="40"/>
        <v>0.75037532414357855</v>
      </c>
      <c r="Q167" s="35">
        <f t="shared" si="41"/>
        <v>0.93839651639344257</v>
      </c>
      <c r="R167" s="20">
        <v>7808</v>
      </c>
      <c r="S167" s="27">
        <f t="shared" si="65"/>
        <v>481</v>
      </c>
      <c r="T167" s="20">
        <v>7327</v>
      </c>
      <c r="U167" s="20">
        <v>5498</v>
      </c>
      <c r="V167" s="20">
        <f t="shared" si="66"/>
        <v>1829</v>
      </c>
      <c r="W167" s="20"/>
      <c r="X167" s="5"/>
      <c r="Y167" s="64">
        <v>2006</v>
      </c>
      <c r="Z167" s="65" t="s">
        <v>43</v>
      </c>
      <c r="AA167" s="35">
        <f t="shared" si="44"/>
        <v>0.51244343891402711</v>
      </c>
      <c r="AB167" s="35">
        <f t="shared" si="45"/>
        <v>0.60399999999999998</v>
      </c>
      <c r="AC167" s="35">
        <f t="shared" si="46"/>
        <v>0.84841628959276016</v>
      </c>
      <c r="AD167" s="20">
        <v>884</v>
      </c>
      <c r="AE167" s="27">
        <f t="shared" si="67"/>
        <v>134</v>
      </c>
      <c r="AF167" s="20">
        <v>750</v>
      </c>
      <c r="AG167" s="20">
        <v>453</v>
      </c>
      <c r="AH167" s="20">
        <f t="shared" si="68"/>
        <v>297</v>
      </c>
      <c r="AI167" s="20"/>
      <c r="AJ167" s="5"/>
      <c r="AK167" s="64">
        <v>2006</v>
      </c>
      <c r="AL167" s="65" t="s">
        <v>43</v>
      </c>
      <c r="AM167" s="35">
        <f t="shared" si="49"/>
        <v>0.60585197934595525</v>
      </c>
      <c r="AN167" s="35">
        <f t="shared" si="50"/>
        <v>0.64646464646464652</v>
      </c>
      <c r="AO167" s="35">
        <f t="shared" si="51"/>
        <v>0.93717728055077454</v>
      </c>
      <c r="AP167" s="20">
        <v>1162</v>
      </c>
      <c r="AQ167" s="27">
        <f t="shared" si="69"/>
        <v>73</v>
      </c>
      <c r="AR167" s="20">
        <v>1089</v>
      </c>
      <c r="AS167" s="20">
        <v>704</v>
      </c>
      <c r="AT167" s="20">
        <f t="shared" si="70"/>
        <v>385</v>
      </c>
      <c r="AU167" s="29"/>
    </row>
    <row r="168" spans="1:55" s="3" customFormat="1" ht="12.75">
      <c r="A168" s="62">
        <v>2006</v>
      </c>
      <c r="B168" s="63" t="s">
        <v>44</v>
      </c>
      <c r="C168" s="35">
        <f t="shared" si="36"/>
        <v>0.67137355584082159</v>
      </c>
      <c r="D168" s="35">
        <f t="shared" si="37"/>
        <v>0.72856836690955851</v>
      </c>
      <c r="E168" s="35">
        <f t="shared" si="38"/>
        <v>0.92149698824923476</v>
      </c>
      <c r="F168" s="27">
        <f t="shared" si="54"/>
        <v>10127</v>
      </c>
      <c r="G168" s="20">
        <f t="shared" si="55"/>
        <v>795</v>
      </c>
      <c r="H168" s="27">
        <f t="shared" si="56"/>
        <v>9332</v>
      </c>
      <c r="I168" s="27">
        <f t="shared" si="57"/>
        <v>6799</v>
      </c>
      <c r="J168" s="20">
        <f t="shared" si="58"/>
        <v>2533</v>
      </c>
      <c r="K168" s="27"/>
      <c r="L168" s="4"/>
      <c r="M168" s="62">
        <v>2006</v>
      </c>
      <c r="N168" s="63" t="s">
        <v>44</v>
      </c>
      <c r="O168" s="35">
        <f t="shared" si="39"/>
        <v>0.71314542279870297</v>
      </c>
      <c r="P168" s="35">
        <f t="shared" si="40"/>
        <v>0.75455265241488523</v>
      </c>
      <c r="Q168" s="35">
        <f t="shared" si="41"/>
        <v>0.94512347218757797</v>
      </c>
      <c r="R168" s="20">
        <v>8018</v>
      </c>
      <c r="S168" s="27">
        <f t="shared" si="65"/>
        <v>440</v>
      </c>
      <c r="T168" s="20">
        <v>7578</v>
      </c>
      <c r="U168" s="20">
        <v>5718</v>
      </c>
      <c r="V168" s="20">
        <f t="shared" si="66"/>
        <v>1860</v>
      </c>
      <c r="W168" s="20"/>
      <c r="X168" s="5"/>
      <c r="Y168" s="62">
        <v>2006</v>
      </c>
      <c r="Z168" s="63" t="s">
        <v>44</v>
      </c>
      <c r="AA168" s="35">
        <f t="shared" si="44"/>
        <v>0.39780219780219778</v>
      </c>
      <c r="AB168" s="35">
        <f t="shared" si="45"/>
        <v>0.50208044382801664</v>
      </c>
      <c r="AC168" s="35">
        <f t="shared" si="46"/>
        <v>0.79230769230769227</v>
      </c>
      <c r="AD168" s="20">
        <v>910</v>
      </c>
      <c r="AE168" s="27">
        <f t="shared" si="67"/>
        <v>189</v>
      </c>
      <c r="AF168" s="20">
        <v>721</v>
      </c>
      <c r="AG168" s="20">
        <v>362</v>
      </c>
      <c r="AH168" s="20">
        <f t="shared" si="68"/>
        <v>359</v>
      </c>
      <c r="AI168" s="20"/>
      <c r="AJ168" s="5"/>
      <c r="AK168" s="62">
        <v>2006</v>
      </c>
      <c r="AL168" s="63" t="s">
        <v>44</v>
      </c>
      <c r="AM168" s="35">
        <f t="shared" si="49"/>
        <v>0.59966638865721433</v>
      </c>
      <c r="AN168" s="35">
        <f t="shared" si="50"/>
        <v>0.6960309777347532</v>
      </c>
      <c r="AO168" s="35">
        <f t="shared" si="51"/>
        <v>0.86155129274395326</v>
      </c>
      <c r="AP168" s="20">
        <v>1199</v>
      </c>
      <c r="AQ168" s="27">
        <f t="shared" si="69"/>
        <v>166</v>
      </c>
      <c r="AR168" s="20">
        <v>1033</v>
      </c>
      <c r="AS168" s="20">
        <v>719</v>
      </c>
      <c r="AT168" s="20">
        <f t="shared" si="70"/>
        <v>314</v>
      </c>
      <c r="AU168" s="29"/>
    </row>
    <row r="169" spans="1:55" s="3" customFormat="1" ht="12.75">
      <c r="A169" s="64">
        <v>2006</v>
      </c>
      <c r="B169" s="65" t="s">
        <v>45</v>
      </c>
      <c r="C169" s="35">
        <f t="shared" si="36"/>
        <v>0.65695286524545282</v>
      </c>
      <c r="D169" s="35">
        <f t="shared" si="37"/>
        <v>0.72004287245444798</v>
      </c>
      <c r="E169" s="35">
        <f t="shared" si="38"/>
        <v>0.91238020731468805</v>
      </c>
      <c r="F169" s="27">
        <f t="shared" si="54"/>
        <v>10226</v>
      </c>
      <c r="G169" s="20">
        <f t="shared" si="55"/>
        <v>896</v>
      </c>
      <c r="H169" s="27">
        <f t="shared" si="56"/>
        <v>9330</v>
      </c>
      <c r="I169" s="27">
        <f t="shared" si="57"/>
        <v>6718</v>
      </c>
      <c r="J169" s="20">
        <f t="shared" si="58"/>
        <v>2612</v>
      </c>
      <c r="K169" s="27"/>
      <c r="L169" s="4"/>
      <c r="M169" s="64">
        <v>2006</v>
      </c>
      <c r="N169" s="65" t="s">
        <v>45</v>
      </c>
      <c r="O169" s="35">
        <f t="shared" si="39"/>
        <v>0.68825561312607941</v>
      </c>
      <c r="P169" s="35">
        <f t="shared" si="40"/>
        <v>0.74198696635190853</v>
      </c>
      <c r="Q169" s="35">
        <f t="shared" si="41"/>
        <v>0.92758450530471259</v>
      </c>
      <c r="R169" s="20">
        <v>8106</v>
      </c>
      <c r="S169" s="27">
        <f t="shared" si="65"/>
        <v>587</v>
      </c>
      <c r="T169" s="20">
        <v>7519</v>
      </c>
      <c r="U169" s="20">
        <v>5579</v>
      </c>
      <c r="V169" s="20">
        <f t="shared" si="66"/>
        <v>1940</v>
      </c>
      <c r="W169" s="20"/>
      <c r="X169" s="5"/>
      <c r="Y169" s="64">
        <v>2006</v>
      </c>
      <c r="Z169" s="65" t="s">
        <v>45</v>
      </c>
      <c r="AA169" s="35">
        <f t="shared" si="44"/>
        <v>0.38402625820568925</v>
      </c>
      <c r="AB169" s="35">
        <f t="shared" si="45"/>
        <v>0.46551724137931033</v>
      </c>
      <c r="AC169" s="35">
        <f t="shared" si="46"/>
        <v>0.82494529540481398</v>
      </c>
      <c r="AD169" s="20">
        <v>914</v>
      </c>
      <c r="AE169" s="27">
        <f t="shared" si="67"/>
        <v>160</v>
      </c>
      <c r="AF169" s="20">
        <v>754</v>
      </c>
      <c r="AG169" s="20">
        <v>351</v>
      </c>
      <c r="AH169" s="20">
        <f t="shared" si="68"/>
        <v>403</v>
      </c>
      <c r="AI169" s="20"/>
      <c r="AJ169" s="5"/>
      <c r="AK169" s="64">
        <v>2006</v>
      </c>
      <c r="AL169" s="65" t="s">
        <v>45</v>
      </c>
      <c r="AM169" s="35">
        <f t="shared" si="49"/>
        <v>0.65339966832504148</v>
      </c>
      <c r="AN169" s="35">
        <f t="shared" si="50"/>
        <v>0.74550614947965943</v>
      </c>
      <c r="AO169" s="35">
        <f t="shared" si="51"/>
        <v>0.87645107794361521</v>
      </c>
      <c r="AP169" s="20">
        <v>1206</v>
      </c>
      <c r="AQ169" s="27">
        <f t="shared" si="69"/>
        <v>149</v>
      </c>
      <c r="AR169" s="20">
        <v>1057</v>
      </c>
      <c r="AS169" s="20">
        <v>788</v>
      </c>
      <c r="AT169" s="20">
        <f t="shared" si="70"/>
        <v>269</v>
      </c>
      <c r="AU169" s="29"/>
    </row>
    <row r="170" spans="1:55" s="3" customFormat="1" ht="12.75">
      <c r="A170" s="62">
        <v>2006</v>
      </c>
      <c r="B170" s="63" t="s">
        <v>46</v>
      </c>
      <c r="C170" s="35">
        <f t="shared" si="36"/>
        <v>0.69664956233021436</v>
      </c>
      <c r="D170" s="35">
        <f t="shared" si="37"/>
        <v>0.75672131147540989</v>
      </c>
      <c r="E170" s="35">
        <f t="shared" si="38"/>
        <v>0.92061575611228497</v>
      </c>
      <c r="F170" s="27">
        <f t="shared" ref="F170:F201" si="71">+R170+AD170+AP170</f>
        <v>9939</v>
      </c>
      <c r="G170" s="20">
        <f t="shared" si="55"/>
        <v>789</v>
      </c>
      <c r="H170" s="27">
        <f t="shared" ref="H170:H201" si="72">+T170+AF170+AR170</f>
        <v>9150</v>
      </c>
      <c r="I170" s="27">
        <f t="shared" ref="I170:I201" si="73">+U170+AG170+AS170</f>
        <v>6924</v>
      </c>
      <c r="J170" s="20">
        <f t="shared" si="58"/>
        <v>2226</v>
      </c>
      <c r="K170" s="27"/>
      <c r="L170" s="4"/>
      <c r="M170" s="62">
        <v>2006</v>
      </c>
      <c r="N170" s="63" t="s">
        <v>46</v>
      </c>
      <c r="O170" s="35">
        <f t="shared" si="39"/>
        <v>0.74727088093424732</v>
      </c>
      <c r="P170" s="35">
        <f t="shared" si="40"/>
        <v>0.79489603024574673</v>
      </c>
      <c r="Q170" s="35">
        <f t="shared" si="41"/>
        <v>0.94008631632394013</v>
      </c>
      <c r="R170" s="20">
        <v>7878</v>
      </c>
      <c r="S170" s="27">
        <f t="shared" si="65"/>
        <v>472</v>
      </c>
      <c r="T170" s="20">
        <v>7406</v>
      </c>
      <c r="U170" s="20">
        <v>5887</v>
      </c>
      <c r="V170" s="20">
        <f t="shared" si="66"/>
        <v>1519</v>
      </c>
      <c r="W170" s="20"/>
      <c r="X170" s="5"/>
      <c r="Y170" s="62">
        <v>2006</v>
      </c>
      <c r="Z170" s="63" t="s">
        <v>46</v>
      </c>
      <c r="AA170" s="35">
        <f t="shared" si="44"/>
        <v>0.29659090909090907</v>
      </c>
      <c r="AB170" s="35">
        <f t="shared" si="45"/>
        <v>0.37608069164265129</v>
      </c>
      <c r="AC170" s="35">
        <f t="shared" si="46"/>
        <v>0.78863636363636369</v>
      </c>
      <c r="AD170" s="20">
        <v>880</v>
      </c>
      <c r="AE170" s="27">
        <f t="shared" si="67"/>
        <v>186</v>
      </c>
      <c r="AF170" s="20">
        <v>694</v>
      </c>
      <c r="AG170" s="20">
        <v>261</v>
      </c>
      <c r="AH170" s="20">
        <f t="shared" si="68"/>
        <v>433</v>
      </c>
      <c r="AI170" s="20"/>
      <c r="AJ170" s="5"/>
      <c r="AK170" s="62">
        <v>2006</v>
      </c>
      <c r="AL170" s="63" t="s">
        <v>46</v>
      </c>
      <c r="AM170" s="35">
        <f t="shared" si="49"/>
        <v>0.65707027942421681</v>
      </c>
      <c r="AN170" s="35">
        <f t="shared" si="50"/>
        <v>0.73904761904761906</v>
      </c>
      <c r="AO170" s="35">
        <f t="shared" si="51"/>
        <v>0.88907705334462317</v>
      </c>
      <c r="AP170" s="20">
        <v>1181</v>
      </c>
      <c r="AQ170" s="27">
        <f t="shared" si="69"/>
        <v>131</v>
      </c>
      <c r="AR170" s="20">
        <v>1050</v>
      </c>
      <c r="AS170" s="20">
        <v>776</v>
      </c>
      <c r="AT170" s="20">
        <f t="shared" si="70"/>
        <v>274</v>
      </c>
      <c r="AU170" s="29"/>
    </row>
    <row r="171" spans="1:55" s="3" customFormat="1" ht="12.75">
      <c r="A171" s="64">
        <v>2006</v>
      </c>
      <c r="B171" s="65" t="s">
        <v>47</v>
      </c>
      <c r="C171" s="35">
        <f t="shared" si="36"/>
        <v>0.7317267476598287</v>
      </c>
      <c r="D171" s="35">
        <f t="shared" si="37"/>
        <v>0.79053254437869824</v>
      </c>
      <c r="E171" s="35">
        <f t="shared" si="38"/>
        <v>0.9256124278032265</v>
      </c>
      <c r="F171" s="27">
        <f t="shared" si="71"/>
        <v>10042</v>
      </c>
      <c r="G171" s="20">
        <f t="shared" si="55"/>
        <v>747</v>
      </c>
      <c r="H171" s="27">
        <f t="shared" si="72"/>
        <v>9295</v>
      </c>
      <c r="I171" s="27">
        <f t="shared" si="73"/>
        <v>7348</v>
      </c>
      <c r="J171" s="20">
        <f t="shared" si="58"/>
        <v>1947</v>
      </c>
      <c r="K171" s="27"/>
      <c r="L171" s="4"/>
      <c r="M171" s="64">
        <v>2006</v>
      </c>
      <c r="N171" s="65" t="s">
        <v>47</v>
      </c>
      <c r="O171" s="35">
        <f t="shared" si="39"/>
        <v>0.76534977352793154</v>
      </c>
      <c r="P171" s="35">
        <f t="shared" si="40"/>
        <v>0.81782737294971763</v>
      </c>
      <c r="Q171" s="35">
        <f t="shared" si="41"/>
        <v>0.93583291394061396</v>
      </c>
      <c r="R171" s="20">
        <v>7948</v>
      </c>
      <c r="S171" s="27">
        <f t="shared" si="65"/>
        <v>510</v>
      </c>
      <c r="T171" s="20">
        <v>7438</v>
      </c>
      <c r="U171" s="20">
        <v>6083</v>
      </c>
      <c r="V171" s="20">
        <f t="shared" si="66"/>
        <v>1355</v>
      </c>
      <c r="W171" s="20"/>
      <c r="X171" s="5"/>
      <c r="Y171" s="64">
        <v>2006</v>
      </c>
      <c r="Z171" s="65" t="s">
        <v>47</v>
      </c>
      <c r="AA171" s="35">
        <f t="shared" si="44"/>
        <v>0.57221006564551424</v>
      </c>
      <c r="AB171" s="35">
        <f t="shared" si="45"/>
        <v>0.65538847117794485</v>
      </c>
      <c r="AC171" s="35">
        <f t="shared" si="46"/>
        <v>0.87308533916849018</v>
      </c>
      <c r="AD171" s="20">
        <v>914</v>
      </c>
      <c r="AE171" s="27">
        <f t="shared" si="67"/>
        <v>116</v>
      </c>
      <c r="AF171" s="20">
        <v>798</v>
      </c>
      <c r="AG171" s="20">
        <v>523</v>
      </c>
      <c r="AH171" s="20">
        <f t="shared" si="68"/>
        <v>275</v>
      </c>
      <c r="AI171" s="20"/>
      <c r="AJ171" s="5"/>
      <c r="AK171" s="64">
        <v>2006</v>
      </c>
      <c r="AL171" s="65" t="s">
        <v>47</v>
      </c>
      <c r="AM171" s="35">
        <f t="shared" si="49"/>
        <v>0.62881355932203387</v>
      </c>
      <c r="AN171" s="35">
        <f t="shared" si="50"/>
        <v>0.70066100094428707</v>
      </c>
      <c r="AO171" s="35">
        <f t="shared" si="51"/>
        <v>0.89745762711864407</v>
      </c>
      <c r="AP171" s="20">
        <v>1180</v>
      </c>
      <c r="AQ171" s="27">
        <f t="shared" si="69"/>
        <v>121</v>
      </c>
      <c r="AR171" s="20">
        <v>1059</v>
      </c>
      <c r="AS171" s="20">
        <v>742</v>
      </c>
      <c r="AT171" s="20">
        <f t="shared" si="70"/>
        <v>317</v>
      </c>
      <c r="AU171" s="29"/>
    </row>
    <row r="172" spans="1:55" s="3" customFormat="1" ht="12.75">
      <c r="A172" s="62">
        <v>2006</v>
      </c>
      <c r="B172" s="63" t="s">
        <v>48</v>
      </c>
      <c r="C172" s="35">
        <f t="shared" si="36"/>
        <v>0.73595057791948981</v>
      </c>
      <c r="D172" s="35">
        <f t="shared" si="37"/>
        <v>0.78725218503517369</v>
      </c>
      <c r="E172" s="35">
        <f t="shared" si="38"/>
        <v>0.93483459545635716</v>
      </c>
      <c r="F172" s="27">
        <f t="shared" si="71"/>
        <v>10036</v>
      </c>
      <c r="G172" s="20">
        <f t="shared" si="55"/>
        <v>654</v>
      </c>
      <c r="H172" s="27">
        <f t="shared" si="72"/>
        <v>9382</v>
      </c>
      <c r="I172" s="27">
        <f t="shared" si="73"/>
        <v>7386</v>
      </c>
      <c r="J172" s="20">
        <f t="shared" si="58"/>
        <v>1996</v>
      </c>
      <c r="K172" s="27"/>
      <c r="L172" s="4"/>
      <c r="M172" s="62">
        <v>2006</v>
      </c>
      <c r="N172" s="63" t="s">
        <v>48</v>
      </c>
      <c r="O172" s="35">
        <f t="shared" si="39"/>
        <v>0.73179306880964334</v>
      </c>
      <c r="P172" s="35">
        <f t="shared" si="40"/>
        <v>0.78597437626432909</v>
      </c>
      <c r="Q172" s="35">
        <f t="shared" si="41"/>
        <v>0.93106479156202915</v>
      </c>
      <c r="R172" s="20">
        <v>7964</v>
      </c>
      <c r="S172" s="27">
        <f t="shared" si="65"/>
        <v>549</v>
      </c>
      <c r="T172" s="20">
        <v>7415</v>
      </c>
      <c r="U172" s="20">
        <v>5828</v>
      </c>
      <c r="V172" s="20">
        <f t="shared" si="66"/>
        <v>1587</v>
      </c>
      <c r="W172" s="20"/>
      <c r="X172" s="5"/>
      <c r="Y172" s="62">
        <v>2006</v>
      </c>
      <c r="Z172" s="63" t="s">
        <v>48</v>
      </c>
      <c r="AA172" s="35">
        <f t="shared" si="44"/>
        <v>0.68891402714932126</v>
      </c>
      <c r="AB172" s="35">
        <f t="shared" si="45"/>
        <v>0.73728813559322037</v>
      </c>
      <c r="AC172" s="35">
        <f t="shared" si="46"/>
        <v>0.93438914027149322</v>
      </c>
      <c r="AD172" s="20">
        <v>884</v>
      </c>
      <c r="AE172" s="27">
        <f t="shared" si="67"/>
        <v>58</v>
      </c>
      <c r="AF172" s="20">
        <v>826</v>
      </c>
      <c r="AG172" s="20">
        <v>609</v>
      </c>
      <c r="AH172" s="20">
        <f t="shared" si="68"/>
        <v>217</v>
      </c>
      <c r="AI172" s="20"/>
      <c r="AJ172" s="5"/>
      <c r="AK172" s="62">
        <v>2006</v>
      </c>
      <c r="AL172" s="63" t="s">
        <v>48</v>
      </c>
      <c r="AM172" s="35">
        <f t="shared" si="49"/>
        <v>0.79882154882154888</v>
      </c>
      <c r="AN172" s="35">
        <f t="shared" si="50"/>
        <v>0.83172655565293607</v>
      </c>
      <c r="AO172" s="35">
        <f t="shared" si="51"/>
        <v>0.96043771043771042</v>
      </c>
      <c r="AP172" s="20">
        <v>1188</v>
      </c>
      <c r="AQ172" s="27">
        <f t="shared" si="69"/>
        <v>47</v>
      </c>
      <c r="AR172" s="20">
        <v>1141</v>
      </c>
      <c r="AS172" s="20">
        <v>949</v>
      </c>
      <c r="AT172" s="20">
        <f t="shared" si="70"/>
        <v>192</v>
      </c>
      <c r="AU172" s="29"/>
    </row>
    <row r="173" spans="1:55" s="3" customFormat="1" ht="12.75">
      <c r="A173" s="64">
        <v>2006</v>
      </c>
      <c r="B173" s="65" t="s">
        <v>49</v>
      </c>
      <c r="C173" s="35">
        <f t="shared" si="36"/>
        <v>0.68875460876689876</v>
      </c>
      <c r="D173" s="35">
        <f t="shared" si="37"/>
        <v>0.75022311468094605</v>
      </c>
      <c r="E173" s="35">
        <f t="shared" si="38"/>
        <v>0.91806636624334292</v>
      </c>
      <c r="F173" s="27">
        <f t="shared" si="71"/>
        <v>9764</v>
      </c>
      <c r="G173" s="20">
        <f t="shared" si="55"/>
        <v>800</v>
      </c>
      <c r="H173" s="27">
        <f t="shared" si="72"/>
        <v>8964</v>
      </c>
      <c r="I173" s="27">
        <f t="shared" si="73"/>
        <v>6725</v>
      </c>
      <c r="J173" s="20">
        <f t="shared" si="58"/>
        <v>2239</v>
      </c>
      <c r="K173" s="27"/>
      <c r="L173" s="10"/>
      <c r="M173" s="64">
        <v>2006</v>
      </c>
      <c r="N173" s="65" t="s">
        <v>49</v>
      </c>
      <c r="O173" s="35">
        <f t="shared" si="39"/>
        <v>0.68937329700272476</v>
      </c>
      <c r="P173" s="35">
        <f t="shared" si="40"/>
        <v>0.75222993062438059</v>
      </c>
      <c r="Q173" s="35">
        <f t="shared" si="41"/>
        <v>0.91643960036330607</v>
      </c>
      <c r="R173" s="20">
        <v>7707</v>
      </c>
      <c r="S173" s="27">
        <f t="shared" si="65"/>
        <v>644</v>
      </c>
      <c r="T173" s="20">
        <v>7063</v>
      </c>
      <c r="U173" s="20">
        <v>5313</v>
      </c>
      <c r="V173" s="20">
        <f t="shared" si="66"/>
        <v>1750</v>
      </c>
      <c r="W173" s="20"/>
      <c r="X173" s="5"/>
      <c r="Y173" s="64">
        <v>2006</v>
      </c>
      <c r="Z173" s="65" t="s">
        <v>49</v>
      </c>
      <c r="AA173" s="35">
        <f t="shared" si="44"/>
        <v>0.67802197802197806</v>
      </c>
      <c r="AB173" s="35">
        <f t="shared" si="45"/>
        <v>0.74697336561743344</v>
      </c>
      <c r="AC173" s="35">
        <f t="shared" si="46"/>
        <v>0.90769230769230769</v>
      </c>
      <c r="AD173" s="20">
        <v>910</v>
      </c>
      <c r="AE173" s="27">
        <f t="shared" si="67"/>
        <v>84</v>
      </c>
      <c r="AF173" s="20">
        <v>826</v>
      </c>
      <c r="AG173" s="20">
        <v>617</v>
      </c>
      <c r="AH173" s="20">
        <f t="shared" si="68"/>
        <v>209</v>
      </c>
      <c r="AI173" s="20"/>
      <c r="AJ173" s="5"/>
      <c r="AK173" s="64">
        <v>2006</v>
      </c>
      <c r="AL173" s="65" t="s">
        <v>49</v>
      </c>
      <c r="AM173" s="35">
        <f t="shared" si="49"/>
        <v>0.69311246730601572</v>
      </c>
      <c r="AN173" s="35">
        <f t="shared" si="50"/>
        <v>0.73953488372093024</v>
      </c>
      <c r="AO173" s="35">
        <f t="shared" si="51"/>
        <v>0.93722755013077597</v>
      </c>
      <c r="AP173" s="20">
        <v>1147</v>
      </c>
      <c r="AQ173" s="27">
        <f t="shared" si="69"/>
        <v>72</v>
      </c>
      <c r="AR173" s="20">
        <v>1075</v>
      </c>
      <c r="AS173" s="20">
        <v>795</v>
      </c>
      <c r="AT173" s="20">
        <f t="shared" si="70"/>
        <v>280</v>
      </c>
      <c r="AU173" s="29"/>
    </row>
    <row r="174" spans="1:55" s="3" customFormat="1" ht="12.75">
      <c r="A174" s="62">
        <v>2007</v>
      </c>
      <c r="B174" s="63" t="s">
        <v>38</v>
      </c>
      <c r="C174" s="35">
        <f t="shared" si="36"/>
        <v>0.73281173594132032</v>
      </c>
      <c r="D174" s="35">
        <f t="shared" si="37"/>
        <v>0.78584163607760882</v>
      </c>
      <c r="E174" s="35">
        <f t="shared" si="38"/>
        <v>0.93251833740831291</v>
      </c>
      <c r="F174" s="27">
        <f t="shared" si="71"/>
        <v>10225</v>
      </c>
      <c r="G174" s="20">
        <f t="shared" si="55"/>
        <v>690</v>
      </c>
      <c r="H174" s="27">
        <f t="shared" si="72"/>
        <v>9535</v>
      </c>
      <c r="I174" s="27">
        <f t="shared" si="73"/>
        <v>7493</v>
      </c>
      <c r="J174" s="20">
        <f t="shared" si="58"/>
        <v>2042</v>
      </c>
      <c r="K174" s="27"/>
      <c r="L174" s="4"/>
      <c r="M174" s="62">
        <v>2007</v>
      </c>
      <c r="N174" s="63" t="s">
        <v>38</v>
      </c>
      <c r="O174" s="35">
        <f t="shared" si="39"/>
        <v>0.75114127082048121</v>
      </c>
      <c r="P174" s="35">
        <f t="shared" si="40"/>
        <v>0.80699893955461299</v>
      </c>
      <c r="Q174" s="35">
        <f t="shared" si="41"/>
        <v>0.93078346699568171</v>
      </c>
      <c r="R174" s="20">
        <v>8105</v>
      </c>
      <c r="S174" s="27">
        <f t="shared" ref="S174:S185" si="74">R174-T174</f>
        <v>561</v>
      </c>
      <c r="T174" s="20">
        <v>7544</v>
      </c>
      <c r="U174" s="20">
        <v>6088</v>
      </c>
      <c r="V174" s="20">
        <f t="shared" ref="V174:V185" si="75">T174-U174</f>
        <v>1456</v>
      </c>
      <c r="W174" s="20"/>
      <c r="X174" s="5"/>
      <c r="Y174" s="62">
        <v>2007</v>
      </c>
      <c r="Z174" s="63" t="s">
        <v>38</v>
      </c>
      <c r="AA174" s="35">
        <f t="shared" si="44"/>
        <v>0.73194748358862149</v>
      </c>
      <c r="AB174" s="35">
        <f t="shared" si="45"/>
        <v>0.78798586572438167</v>
      </c>
      <c r="AC174" s="35">
        <f t="shared" si="46"/>
        <v>0.92888402625820565</v>
      </c>
      <c r="AD174" s="20">
        <v>914</v>
      </c>
      <c r="AE174" s="27">
        <f t="shared" ref="AE174:AE185" si="76">AD174-AF174</f>
        <v>65</v>
      </c>
      <c r="AF174" s="20">
        <v>849</v>
      </c>
      <c r="AG174" s="20">
        <v>669</v>
      </c>
      <c r="AH174" s="20">
        <f t="shared" ref="AH174:AH185" si="77">AF174-AG174</f>
        <v>180</v>
      </c>
      <c r="AI174" s="20"/>
      <c r="AJ174" s="5"/>
      <c r="AK174" s="62">
        <v>2007</v>
      </c>
      <c r="AL174" s="63" t="s">
        <v>38</v>
      </c>
      <c r="AM174" s="35">
        <f t="shared" si="49"/>
        <v>0.61028192371475953</v>
      </c>
      <c r="AN174" s="35">
        <f t="shared" si="50"/>
        <v>0.64448336252189142</v>
      </c>
      <c r="AO174" s="35">
        <f t="shared" si="51"/>
        <v>0.94693200663349919</v>
      </c>
      <c r="AP174" s="20">
        <v>1206</v>
      </c>
      <c r="AQ174" s="27">
        <f t="shared" ref="AQ174:AQ185" si="78">AP174-AR174</f>
        <v>64</v>
      </c>
      <c r="AR174" s="20">
        <v>1142</v>
      </c>
      <c r="AS174" s="20">
        <v>736</v>
      </c>
      <c r="AT174" s="20">
        <f t="shared" ref="AT174:AT185" si="79">AR174-AS174</f>
        <v>406</v>
      </c>
      <c r="AU174" s="29"/>
      <c r="AV174" s="3">
        <v>8706</v>
      </c>
      <c r="AW174" s="3">
        <v>7661</v>
      </c>
      <c r="AX174" s="3">
        <v>8844</v>
      </c>
      <c r="AY174" s="3">
        <v>8622</v>
      </c>
      <c r="AZ174" s="3">
        <v>7944</v>
      </c>
      <c r="BA174" s="3">
        <v>8717</v>
      </c>
      <c r="BB174" s="3">
        <v>8353</v>
      </c>
      <c r="BC174" s="3">
        <v>7640</v>
      </c>
    </row>
    <row r="175" spans="1:55" s="3" customFormat="1" ht="12.75">
      <c r="A175" s="64">
        <v>2007</v>
      </c>
      <c r="B175" s="65" t="s">
        <v>39</v>
      </c>
      <c r="C175" s="35">
        <f t="shared" si="36"/>
        <v>0.65615583297460178</v>
      </c>
      <c r="D175" s="35">
        <f t="shared" si="37"/>
        <v>0.7066527584608252</v>
      </c>
      <c r="E175" s="35">
        <f t="shared" si="38"/>
        <v>0.92854068015497204</v>
      </c>
      <c r="F175" s="27">
        <f t="shared" si="71"/>
        <v>9292</v>
      </c>
      <c r="G175" s="20">
        <f t="shared" si="55"/>
        <v>664</v>
      </c>
      <c r="H175" s="27">
        <f t="shared" si="72"/>
        <v>8628</v>
      </c>
      <c r="I175" s="27">
        <f t="shared" si="73"/>
        <v>6097</v>
      </c>
      <c r="J175" s="20">
        <f t="shared" si="58"/>
        <v>2531</v>
      </c>
      <c r="K175" s="27"/>
      <c r="L175" s="4"/>
      <c r="M175" s="64">
        <v>2007</v>
      </c>
      <c r="N175" s="65" t="s">
        <v>39</v>
      </c>
      <c r="O175" s="35">
        <f t="shared" si="39"/>
        <v>0.66218783930510317</v>
      </c>
      <c r="P175" s="35">
        <f t="shared" si="40"/>
        <v>0.71445306779909212</v>
      </c>
      <c r="Q175" s="35">
        <f t="shared" si="41"/>
        <v>0.92684581976112923</v>
      </c>
      <c r="R175" s="20">
        <v>7368</v>
      </c>
      <c r="S175" s="27">
        <f t="shared" si="74"/>
        <v>539</v>
      </c>
      <c r="T175" s="20">
        <v>6829</v>
      </c>
      <c r="U175" s="20">
        <v>4879</v>
      </c>
      <c r="V175" s="20">
        <f t="shared" si="75"/>
        <v>1950</v>
      </c>
      <c r="W175" s="20"/>
      <c r="X175" s="5"/>
      <c r="Y175" s="64">
        <v>2007</v>
      </c>
      <c r="Z175" s="65" t="s">
        <v>39</v>
      </c>
      <c r="AA175" s="35">
        <f t="shared" si="44"/>
        <v>0.69660194174757284</v>
      </c>
      <c r="AB175" s="35">
        <f t="shared" si="45"/>
        <v>0.76329787234042556</v>
      </c>
      <c r="AC175" s="35">
        <f t="shared" si="46"/>
        <v>0.91262135922330101</v>
      </c>
      <c r="AD175" s="20">
        <v>824</v>
      </c>
      <c r="AE175" s="27">
        <f t="shared" si="76"/>
        <v>72</v>
      </c>
      <c r="AF175" s="20">
        <v>752</v>
      </c>
      <c r="AG175" s="20">
        <v>574</v>
      </c>
      <c r="AH175" s="20">
        <f t="shared" si="77"/>
        <v>178</v>
      </c>
      <c r="AI175" s="20"/>
      <c r="AJ175" s="5"/>
      <c r="AK175" s="64">
        <v>2007</v>
      </c>
      <c r="AL175" s="65" t="s">
        <v>39</v>
      </c>
      <c r="AM175" s="35">
        <f t="shared" si="49"/>
        <v>0.58545454545454545</v>
      </c>
      <c r="AN175" s="35">
        <f t="shared" si="50"/>
        <v>0.61509073543457493</v>
      </c>
      <c r="AO175" s="35">
        <f t="shared" si="51"/>
        <v>0.95181818181818179</v>
      </c>
      <c r="AP175" s="20">
        <v>1100</v>
      </c>
      <c r="AQ175" s="27">
        <f t="shared" si="78"/>
        <v>53</v>
      </c>
      <c r="AR175" s="20">
        <v>1047</v>
      </c>
      <c r="AS175" s="20">
        <v>644</v>
      </c>
      <c r="AT175" s="20">
        <f t="shared" si="79"/>
        <v>403</v>
      </c>
      <c r="AU175" s="29"/>
    </row>
    <row r="176" spans="1:55" s="3" customFormat="1" ht="12.75">
      <c r="A176" s="62">
        <v>2007</v>
      </c>
      <c r="B176" s="63" t="s">
        <v>40</v>
      </c>
      <c r="C176" s="35">
        <f t="shared" si="36"/>
        <v>0.48029339853300734</v>
      </c>
      <c r="D176" s="35">
        <f t="shared" si="37"/>
        <v>0.5629943826665138</v>
      </c>
      <c r="E176" s="35">
        <f t="shared" si="38"/>
        <v>0.85310513447432768</v>
      </c>
      <c r="F176" s="27">
        <f t="shared" si="71"/>
        <v>10225</v>
      </c>
      <c r="G176" s="20">
        <f t="shared" si="55"/>
        <v>1502</v>
      </c>
      <c r="H176" s="27">
        <f t="shared" si="72"/>
        <v>8723</v>
      </c>
      <c r="I176" s="27">
        <f t="shared" si="73"/>
        <v>4911</v>
      </c>
      <c r="J176" s="20">
        <f t="shared" si="58"/>
        <v>3812</v>
      </c>
      <c r="K176" s="27"/>
      <c r="L176" s="4"/>
      <c r="M176" s="62">
        <v>2007</v>
      </c>
      <c r="N176" s="63" t="s">
        <v>40</v>
      </c>
      <c r="O176" s="35">
        <f t="shared" si="39"/>
        <v>0.46896977174583593</v>
      </c>
      <c r="P176" s="35">
        <f t="shared" si="40"/>
        <v>0.55335565584510116</v>
      </c>
      <c r="Q176" s="35">
        <f t="shared" si="41"/>
        <v>0.84750154225786556</v>
      </c>
      <c r="R176" s="20">
        <v>8105</v>
      </c>
      <c r="S176" s="27">
        <f t="shared" si="74"/>
        <v>1236</v>
      </c>
      <c r="T176" s="20">
        <v>6869</v>
      </c>
      <c r="U176" s="20">
        <v>3801</v>
      </c>
      <c r="V176" s="20">
        <f t="shared" si="75"/>
        <v>3068</v>
      </c>
      <c r="W176" s="20"/>
      <c r="X176" s="5"/>
      <c r="Y176" s="62">
        <v>2007</v>
      </c>
      <c r="Z176" s="63" t="s">
        <v>40</v>
      </c>
      <c r="AA176" s="35">
        <f t="shared" si="44"/>
        <v>0.62035010940919033</v>
      </c>
      <c r="AB176" s="35">
        <f t="shared" si="45"/>
        <v>0.69656019656019652</v>
      </c>
      <c r="AC176" s="35">
        <f t="shared" si="46"/>
        <v>0.89059080962800874</v>
      </c>
      <c r="AD176" s="20">
        <v>914</v>
      </c>
      <c r="AE176" s="27">
        <f t="shared" si="76"/>
        <v>100</v>
      </c>
      <c r="AF176" s="20">
        <v>814</v>
      </c>
      <c r="AG176" s="20">
        <v>567</v>
      </c>
      <c r="AH176" s="20">
        <f t="shared" si="77"/>
        <v>247</v>
      </c>
      <c r="AI176" s="20"/>
      <c r="AJ176" s="5"/>
      <c r="AK176" s="62">
        <v>2007</v>
      </c>
      <c r="AL176" s="63" t="s">
        <v>40</v>
      </c>
      <c r="AM176" s="35">
        <f t="shared" si="49"/>
        <v>0.45024875621890548</v>
      </c>
      <c r="AN176" s="35">
        <f t="shared" si="50"/>
        <v>0.52211538461538465</v>
      </c>
      <c r="AO176" s="35">
        <f t="shared" si="51"/>
        <v>0.86235489220563843</v>
      </c>
      <c r="AP176" s="20">
        <v>1206</v>
      </c>
      <c r="AQ176" s="27">
        <f t="shared" si="78"/>
        <v>166</v>
      </c>
      <c r="AR176" s="20">
        <v>1040</v>
      </c>
      <c r="AS176" s="20">
        <v>543</v>
      </c>
      <c r="AT176" s="20">
        <f t="shared" si="79"/>
        <v>497</v>
      </c>
      <c r="AU176" s="29"/>
    </row>
    <row r="177" spans="1:55" s="3" customFormat="1" ht="12.75">
      <c r="A177" s="64">
        <v>2007</v>
      </c>
      <c r="B177" s="65" t="s">
        <v>41</v>
      </c>
      <c r="C177" s="35">
        <f t="shared" si="36"/>
        <v>0.5220735433568644</v>
      </c>
      <c r="D177" s="35">
        <f t="shared" si="37"/>
        <v>0.58666824532322992</v>
      </c>
      <c r="E177" s="35">
        <f t="shared" si="38"/>
        <v>0.88989569065430407</v>
      </c>
      <c r="F177" s="27">
        <f t="shared" si="71"/>
        <v>9491</v>
      </c>
      <c r="G177" s="20">
        <f t="shared" si="55"/>
        <v>1045</v>
      </c>
      <c r="H177" s="27">
        <f t="shared" si="72"/>
        <v>8446</v>
      </c>
      <c r="I177" s="27">
        <f t="shared" si="73"/>
        <v>4955</v>
      </c>
      <c r="J177" s="20">
        <f t="shared" si="58"/>
        <v>3491</v>
      </c>
      <c r="K177" s="27"/>
      <c r="L177" s="4"/>
      <c r="M177" s="64">
        <v>2007</v>
      </c>
      <c r="N177" s="65" t="s">
        <v>41</v>
      </c>
      <c r="O177" s="35">
        <f t="shared" si="39"/>
        <v>0.51754034947312255</v>
      </c>
      <c r="P177" s="35">
        <f t="shared" si="40"/>
        <v>0.58258258258258255</v>
      </c>
      <c r="Q177" s="35">
        <f t="shared" si="41"/>
        <v>0.88835534213685474</v>
      </c>
      <c r="R177" s="20">
        <v>7497</v>
      </c>
      <c r="S177" s="27">
        <f t="shared" si="74"/>
        <v>837</v>
      </c>
      <c r="T177" s="20">
        <v>6660</v>
      </c>
      <c r="U177" s="20">
        <v>3880</v>
      </c>
      <c r="V177" s="20">
        <f t="shared" si="75"/>
        <v>2780</v>
      </c>
      <c r="W177" s="20"/>
      <c r="X177" s="5"/>
      <c r="Y177" s="64">
        <v>2007</v>
      </c>
      <c r="Z177" s="65" t="s">
        <v>41</v>
      </c>
      <c r="AA177" s="35">
        <f t="shared" si="44"/>
        <v>0.57692307692307687</v>
      </c>
      <c r="AB177" s="35">
        <f t="shared" si="45"/>
        <v>0.64231738035264485</v>
      </c>
      <c r="AC177" s="35">
        <f t="shared" si="46"/>
        <v>0.89819004524886881</v>
      </c>
      <c r="AD177" s="20">
        <v>884</v>
      </c>
      <c r="AE177" s="27">
        <f t="shared" si="76"/>
        <v>90</v>
      </c>
      <c r="AF177" s="20">
        <v>794</v>
      </c>
      <c r="AG177" s="20">
        <v>510</v>
      </c>
      <c r="AH177" s="20">
        <f t="shared" si="77"/>
        <v>284</v>
      </c>
      <c r="AI177" s="20"/>
      <c r="AJ177" s="5"/>
      <c r="AK177" s="64">
        <v>2007</v>
      </c>
      <c r="AL177" s="65" t="s">
        <v>41</v>
      </c>
      <c r="AM177" s="35">
        <f t="shared" si="49"/>
        <v>0.50900900900900903</v>
      </c>
      <c r="AN177" s="35">
        <f t="shared" si="50"/>
        <v>0.56955645161290325</v>
      </c>
      <c r="AO177" s="35">
        <f t="shared" si="51"/>
        <v>0.89369369369369367</v>
      </c>
      <c r="AP177" s="20">
        <v>1110</v>
      </c>
      <c r="AQ177" s="27">
        <f t="shared" si="78"/>
        <v>118</v>
      </c>
      <c r="AR177" s="20">
        <v>992</v>
      </c>
      <c r="AS177" s="20">
        <v>565</v>
      </c>
      <c r="AT177" s="20">
        <f t="shared" si="79"/>
        <v>427</v>
      </c>
      <c r="AU177" s="29"/>
    </row>
    <row r="178" spans="1:55" s="3" customFormat="1" ht="12.75">
      <c r="A178" s="62">
        <v>2007</v>
      </c>
      <c r="B178" s="63" t="s">
        <v>42</v>
      </c>
      <c r="C178" s="35">
        <f t="shared" si="36"/>
        <v>0.61128807485566394</v>
      </c>
      <c r="D178" s="35">
        <f t="shared" si="37"/>
        <v>0.65940083753892409</v>
      </c>
      <c r="E178" s="35">
        <f t="shared" si="38"/>
        <v>0.92703563607405937</v>
      </c>
      <c r="F178" s="27">
        <f t="shared" si="71"/>
        <v>10046</v>
      </c>
      <c r="G178" s="20">
        <f t="shared" si="55"/>
        <v>733</v>
      </c>
      <c r="H178" s="27">
        <f t="shared" si="72"/>
        <v>9313</v>
      </c>
      <c r="I178" s="27">
        <f t="shared" si="73"/>
        <v>6141</v>
      </c>
      <c r="J178" s="20">
        <f t="shared" si="58"/>
        <v>3172</v>
      </c>
      <c r="K178" s="27"/>
      <c r="L178" s="4"/>
      <c r="M178" s="62">
        <v>2007</v>
      </c>
      <c r="N178" s="63" t="s">
        <v>42</v>
      </c>
      <c r="O178" s="35">
        <f t="shared" si="39"/>
        <v>0.62009557344064381</v>
      </c>
      <c r="P178" s="35">
        <f t="shared" si="40"/>
        <v>0.66644141100148668</v>
      </c>
      <c r="Q178" s="35">
        <f t="shared" si="41"/>
        <v>0.93045774647887325</v>
      </c>
      <c r="R178" s="20">
        <v>7952</v>
      </c>
      <c r="S178" s="27">
        <f t="shared" si="74"/>
        <v>553</v>
      </c>
      <c r="T178" s="20">
        <v>7399</v>
      </c>
      <c r="U178" s="20">
        <v>4931</v>
      </c>
      <c r="V178" s="20">
        <f t="shared" si="75"/>
        <v>2468</v>
      </c>
      <c r="W178" s="20"/>
      <c r="X178" s="5"/>
      <c r="Y178" s="62">
        <v>2007</v>
      </c>
      <c r="Z178" s="63" t="s">
        <v>42</v>
      </c>
      <c r="AA178" s="35">
        <f t="shared" si="44"/>
        <v>0.6783369803063457</v>
      </c>
      <c r="AB178" s="35">
        <f t="shared" si="45"/>
        <v>0.73634204275534443</v>
      </c>
      <c r="AC178" s="35">
        <f t="shared" si="46"/>
        <v>0.92122538293216627</v>
      </c>
      <c r="AD178" s="20">
        <v>914</v>
      </c>
      <c r="AE178" s="27">
        <f t="shared" si="76"/>
        <v>72</v>
      </c>
      <c r="AF178" s="20">
        <v>842</v>
      </c>
      <c r="AG178" s="20">
        <v>620</v>
      </c>
      <c r="AH178" s="20">
        <f t="shared" si="77"/>
        <v>222</v>
      </c>
      <c r="AI178" s="20"/>
      <c r="AJ178" s="5"/>
      <c r="AK178" s="62">
        <v>2007</v>
      </c>
      <c r="AL178" s="63" t="s">
        <v>42</v>
      </c>
      <c r="AM178" s="35">
        <f t="shared" si="49"/>
        <v>0.5</v>
      </c>
      <c r="AN178" s="35">
        <f t="shared" si="50"/>
        <v>0.55037313432835822</v>
      </c>
      <c r="AO178" s="35">
        <f t="shared" si="51"/>
        <v>0.90847457627118644</v>
      </c>
      <c r="AP178" s="20">
        <v>1180</v>
      </c>
      <c r="AQ178" s="27">
        <f t="shared" si="78"/>
        <v>108</v>
      </c>
      <c r="AR178" s="20">
        <v>1072</v>
      </c>
      <c r="AS178" s="20">
        <v>590</v>
      </c>
      <c r="AT178" s="20">
        <f t="shared" si="79"/>
        <v>482</v>
      </c>
      <c r="AU178" s="29"/>
      <c r="AV178" s="3">
        <v>1013</v>
      </c>
      <c r="AW178" s="3">
        <v>826</v>
      </c>
      <c r="AX178" s="3">
        <v>1008</v>
      </c>
      <c r="AY178" s="3">
        <v>970</v>
      </c>
      <c r="AZ178" s="3">
        <v>793</v>
      </c>
      <c r="BA178" s="3">
        <v>990</v>
      </c>
      <c r="BB178" s="3">
        <v>979</v>
      </c>
      <c r="BC178" s="3">
        <v>828</v>
      </c>
    </row>
    <row r="179" spans="1:55" s="3" customFormat="1" ht="12.75">
      <c r="A179" s="64">
        <v>2007</v>
      </c>
      <c r="B179" s="65" t="s">
        <v>43</v>
      </c>
      <c r="C179" s="35">
        <f t="shared" si="36"/>
        <v>0.65183409754064192</v>
      </c>
      <c r="D179" s="35">
        <f t="shared" si="37"/>
        <v>0.69016881827209531</v>
      </c>
      <c r="E179" s="35">
        <f t="shared" si="38"/>
        <v>0.94445602334305956</v>
      </c>
      <c r="F179" s="27">
        <f t="shared" si="71"/>
        <v>9596</v>
      </c>
      <c r="G179" s="20">
        <f t="shared" si="55"/>
        <v>533</v>
      </c>
      <c r="H179" s="27">
        <f t="shared" si="72"/>
        <v>9063</v>
      </c>
      <c r="I179" s="27">
        <f t="shared" si="73"/>
        <v>6255</v>
      </c>
      <c r="J179" s="20">
        <f t="shared" si="58"/>
        <v>2808</v>
      </c>
      <c r="K179" s="27"/>
      <c r="L179" s="4"/>
      <c r="M179" s="64">
        <v>2007</v>
      </c>
      <c r="N179" s="65" t="s">
        <v>43</v>
      </c>
      <c r="O179" s="35">
        <f t="shared" si="39"/>
        <v>0.67664670658682635</v>
      </c>
      <c r="P179" s="35">
        <f t="shared" si="40"/>
        <v>0.70740337506804574</v>
      </c>
      <c r="Q179" s="35">
        <f t="shared" si="41"/>
        <v>0.95652173913043481</v>
      </c>
      <c r="R179" s="20">
        <v>7682</v>
      </c>
      <c r="S179" s="27">
        <f t="shared" si="74"/>
        <v>334</v>
      </c>
      <c r="T179" s="20">
        <v>7348</v>
      </c>
      <c r="U179" s="20">
        <v>5198</v>
      </c>
      <c r="V179" s="20">
        <f t="shared" si="75"/>
        <v>2150</v>
      </c>
      <c r="W179" s="20"/>
      <c r="X179" s="5"/>
      <c r="Y179" s="64">
        <v>2007</v>
      </c>
      <c r="Z179" s="65" t="s">
        <v>43</v>
      </c>
      <c r="AA179" s="35">
        <f t="shared" si="44"/>
        <v>0.71818181818181814</v>
      </c>
      <c r="AB179" s="35">
        <f t="shared" si="45"/>
        <v>0.75238095238095237</v>
      </c>
      <c r="AC179" s="35">
        <f t="shared" si="46"/>
        <v>0.95454545454545459</v>
      </c>
      <c r="AD179" s="20">
        <v>880</v>
      </c>
      <c r="AE179" s="27">
        <f t="shared" si="76"/>
        <v>40</v>
      </c>
      <c r="AF179" s="20">
        <v>840</v>
      </c>
      <c r="AG179" s="20">
        <v>632</v>
      </c>
      <c r="AH179" s="20">
        <f t="shared" si="77"/>
        <v>208</v>
      </c>
      <c r="AI179" s="20"/>
      <c r="AJ179" s="5"/>
      <c r="AK179" s="64">
        <v>2007</v>
      </c>
      <c r="AL179" s="65" t="s">
        <v>43</v>
      </c>
      <c r="AM179" s="35">
        <f t="shared" si="49"/>
        <v>0.41102514506769827</v>
      </c>
      <c r="AN179" s="35">
        <f t="shared" si="50"/>
        <v>0.48571428571428571</v>
      </c>
      <c r="AO179" s="35">
        <f t="shared" si="51"/>
        <v>0.84622823984526108</v>
      </c>
      <c r="AP179" s="20">
        <v>1034</v>
      </c>
      <c r="AQ179" s="27">
        <f t="shared" si="78"/>
        <v>159</v>
      </c>
      <c r="AR179" s="20">
        <v>875</v>
      </c>
      <c r="AS179" s="20">
        <v>425</v>
      </c>
      <c r="AT179" s="20">
        <f t="shared" si="79"/>
        <v>450</v>
      </c>
      <c r="AU179" s="29"/>
      <c r="AV179" s="3">
        <v>887</v>
      </c>
      <c r="AW179" s="3">
        <v>747</v>
      </c>
      <c r="AX179" s="3">
        <v>884</v>
      </c>
      <c r="AY179" s="3">
        <v>876</v>
      </c>
      <c r="AZ179" s="3">
        <v>789</v>
      </c>
      <c r="BA179" s="3">
        <v>914</v>
      </c>
      <c r="BB179" s="3">
        <v>882</v>
      </c>
      <c r="BC179" s="3">
        <v>804</v>
      </c>
    </row>
    <row r="180" spans="1:55" s="3" customFormat="1" ht="12.75">
      <c r="A180" s="62">
        <v>2007</v>
      </c>
      <c r="B180" s="63" t="s">
        <v>44</v>
      </c>
      <c r="C180" s="35">
        <f t="shared" si="36"/>
        <v>0.82756670123503351</v>
      </c>
      <c r="D180" s="35">
        <f t="shared" si="37"/>
        <v>0.86525381961557413</v>
      </c>
      <c r="E180" s="35">
        <f t="shared" si="38"/>
        <v>0.95644385782973507</v>
      </c>
      <c r="F180" s="27">
        <f t="shared" si="71"/>
        <v>10607</v>
      </c>
      <c r="G180" s="20">
        <f t="shared" si="55"/>
        <v>462</v>
      </c>
      <c r="H180" s="27">
        <f t="shared" si="72"/>
        <v>10145</v>
      </c>
      <c r="I180" s="27">
        <f t="shared" si="73"/>
        <v>8778</v>
      </c>
      <c r="J180" s="20">
        <f t="shared" si="58"/>
        <v>1367</v>
      </c>
      <c r="K180" s="27"/>
      <c r="L180" s="4"/>
      <c r="M180" s="62">
        <v>2007</v>
      </c>
      <c r="N180" s="63" t="s">
        <v>44</v>
      </c>
      <c r="O180" s="35">
        <f t="shared" si="39"/>
        <v>0.86108854589764416</v>
      </c>
      <c r="P180" s="35">
        <f t="shared" si="40"/>
        <v>0.8923631990378833</v>
      </c>
      <c r="Q180" s="35">
        <f t="shared" si="41"/>
        <v>0.96495299988395034</v>
      </c>
      <c r="R180" s="20">
        <v>8617</v>
      </c>
      <c r="S180" s="27">
        <f t="shared" si="74"/>
        <v>302</v>
      </c>
      <c r="T180" s="20">
        <v>8315</v>
      </c>
      <c r="U180" s="20">
        <v>7420</v>
      </c>
      <c r="V180" s="20">
        <f t="shared" si="75"/>
        <v>895</v>
      </c>
      <c r="W180" s="20"/>
      <c r="X180" s="5"/>
      <c r="Y180" s="62">
        <v>2007</v>
      </c>
      <c r="Z180" s="63" t="s">
        <v>44</v>
      </c>
      <c r="AA180" s="35">
        <f t="shared" si="44"/>
        <v>0.7724288840262582</v>
      </c>
      <c r="AB180" s="35">
        <f t="shared" si="45"/>
        <v>0.81056257175660162</v>
      </c>
      <c r="AC180" s="35">
        <f t="shared" si="46"/>
        <v>0.95295404814004381</v>
      </c>
      <c r="AD180" s="20">
        <v>914</v>
      </c>
      <c r="AE180" s="27">
        <f t="shared" si="76"/>
        <v>43</v>
      </c>
      <c r="AF180" s="20">
        <v>871</v>
      </c>
      <c r="AG180" s="20">
        <v>706</v>
      </c>
      <c r="AH180" s="20">
        <f t="shared" si="77"/>
        <v>165</v>
      </c>
      <c r="AI180" s="20"/>
      <c r="AJ180" s="5"/>
      <c r="AK180" s="62">
        <v>2007</v>
      </c>
      <c r="AL180" s="63" t="s">
        <v>44</v>
      </c>
      <c r="AM180" s="35">
        <f t="shared" si="49"/>
        <v>0.60594795539033453</v>
      </c>
      <c r="AN180" s="35">
        <f t="shared" si="50"/>
        <v>0.6798748696558915</v>
      </c>
      <c r="AO180" s="35">
        <f t="shared" si="51"/>
        <v>0.89126394052044611</v>
      </c>
      <c r="AP180" s="20">
        <v>1076</v>
      </c>
      <c r="AQ180" s="27">
        <f t="shared" si="78"/>
        <v>117</v>
      </c>
      <c r="AR180" s="20">
        <v>959</v>
      </c>
      <c r="AS180" s="20">
        <v>652</v>
      </c>
      <c r="AT180" s="20">
        <f t="shared" si="79"/>
        <v>307</v>
      </c>
      <c r="AU180" s="29"/>
    </row>
    <row r="181" spans="1:55" s="3" customFormat="1" ht="12.75">
      <c r="A181" s="64">
        <v>2007</v>
      </c>
      <c r="B181" s="65" t="s">
        <v>45</v>
      </c>
      <c r="C181" s="35">
        <f t="shared" si="36"/>
        <v>0.85610000912492012</v>
      </c>
      <c r="D181" s="35">
        <f t="shared" si="37"/>
        <v>0.88326115609113165</v>
      </c>
      <c r="E181" s="35">
        <f t="shared" si="38"/>
        <v>0.96924901907108307</v>
      </c>
      <c r="F181" s="27">
        <f t="shared" si="71"/>
        <v>10959</v>
      </c>
      <c r="G181" s="20">
        <f t="shared" si="55"/>
        <v>337</v>
      </c>
      <c r="H181" s="27">
        <f t="shared" si="72"/>
        <v>10622</v>
      </c>
      <c r="I181" s="27">
        <f t="shared" si="73"/>
        <v>9382</v>
      </c>
      <c r="J181" s="20">
        <f t="shared" si="58"/>
        <v>1240</v>
      </c>
      <c r="K181" s="27"/>
      <c r="L181" s="4"/>
      <c r="M181" s="64">
        <v>2007</v>
      </c>
      <c r="N181" s="65" t="s">
        <v>45</v>
      </c>
      <c r="O181" s="35">
        <f t="shared" si="39"/>
        <v>0.87337842332852866</v>
      </c>
      <c r="P181" s="35">
        <f t="shared" si="40"/>
        <v>0.9027045610818244</v>
      </c>
      <c r="Q181" s="35">
        <f t="shared" si="41"/>
        <v>0.96751302805189043</v>
      </c>
      <c r="R181" s="20">
        <v>9019</v>
      </c>
      <c r="S181" s="27">
        <f t="shared" si="74"/>
        <v>293</v>
      </c>
      <c r="T181" s="20">
        <v>8726</v>
      </c>
      <c r="U181" s="20">
        <v>7877</v>
      </c>
      <c r="V181" s="20">
        <f t="shared" si="75"/>
        <v>849</v>
      </c>
      <c r="W181" s="20"/>
      <c r="X181" s="5"/>
      <c r="Y181" s="64">
        <v>2007</v>
      </c>
      <c r="Z181" s="65" t="s">
        <v>45</v>
      </c>
      <c r="AA181" s="35">
        <f t="shared" si="44"/>
        <v>0.83479212253829327</v>
      </c>
      <c r="AB181" s="35">
        <f t="shared" si="45"/>
        <v>0.84589800443458985</v>
      </c>
      <c r="AC181" s="35">
        <f t="shared" si="46"/>
        <v>0.98687089715536103</v>
      </c>
      <c r="AD181" s="20">
        <v>914</v>
      </c>
      <c r="AE181" s="27">
        <f t="shared" si="76"/>
        <v>12</v>
      </c>
      <c r="AF181" s="20">
        <v>902</v>
      </c>
      <c r="AG181" s="20">
        <v>763</v>
      </c>
      <c r="AH181" s="20">
        <f t="shared" si="77"/>
        <v>139</v>
      </c>
      <c r="AI181" s="20"/>
      <c r="AJ181" s="5"/>
      <c r="AK181" s="64">
        <v>2007</v>
      </c>
      <c r="AL181" s="65" t="s">
        <v>45</v>
      </c>
      <c r="AM181" s="35">
        <f t="shared" si="49"/>
        <v>0.72319688109161795</v>
      </c>
      <c r="AN181" s="35">
        <f t="shared" si="50"/>
        <v>0.74647887323943662</v>
      </c>
      <c r="AO181" s="35">
        <f t="shared" si="51"/>
        <v>0.96881091617933723</v>
      </c>
      <c r="AP181" s="20">
        <v>1026</v>
      </c>
      <c r="AQ181" s="27">
        <f t="shared" si="78"/>
        <v>32</v>
      </c>
      <c r="AR181" s="20">
        <v>994</v>
      </c>
      <c r="AS181" s="20">
        <v>742</v>
      </c>
      <c r="AT181" s="20">
        <f t="shared" si="79"/>
        <v>252</v>
      </c>
      <c r="AU181" s="29"/>
    </row>
    <row r="182" spans="1:55" s="3" customFormat="1" ht="12.75">
      <c r="A182" s="62">
        <v>2007</v>
      </c>
      <c r="B182" s="63" t="s">
        <v>46</v>
      </c>
      <c r="C182" s="35">
        <f t="shared" si="36"/>
        <v>0.86832061068702293</v>
      </c>
      <c r="D182" s="35">
        <f t="shared" si="37"/>
        <v>0.88997555012224938</v>
      </c>
      <c r="E182" s="35">
        <f t="shared" si="38"/>
        <v>0.97566793893129766</v>
      </c>
      <c r="F182" s="27">
        <f t="shared" si="71"/>
        <v>10480</v>
      </c>
      <c r="G182" s="20">
        <f t="shared" si="55"/>
        <v>255</v>
      </c>
      <c r="H182" s="27">
        <f t="shared" si="72"/>
        <v>10225</v>
      </c>
      <c r="I182" s="27">
        <f t="shared" si="73"/>
        <v>9100</v>
      </c>
      <c r="J182" s="20">
        <f t="shared" si="58"/>
        <v>1125</v>
      </c>
      <c r="K182" s="27"/>
      <c r="L182" s="4"/>
      <c r="M182" s="62">
        <v>2007</v>
      </c>
      <c r="N182" s="63" t="s">
        <v>46</v>
      </c>
      <c r="O182" s="35">
        <f t="shared" si="39"/>
        <v>0.89895470383275267</v>
      </c>
      <c r="P182" s="35">
        <f t="shared" si="40"/>
        <v>0.91891250148403181</v>
      </c>
      <c r="Q182" s="35">
        <f t="shared" si="41"/>
        <v>0.97828106852497099</v>
      </c>
      <c r="R182" s="20">
        <v>8610</v>
      </c>
      <c r="S182" s="27">
        <f t="shared" si="74"/>
        <v>187</v>
      </c>
      <c r="T182" s="20">
        <v>8423</v>
      </c>
      <c r="U182" s="20">
        <v>7740</v>
      </c>
      <c r="V182" s="20">
        <f t="shared" si="75"/>
        <v>683</v>
      </c>
      <c r="W182" s="20"/>
      <c r="X182" s="5"/>
      <c r="Y182" s="62">
        <v>2007</v>
      </c>
      <c r="Z182" s="63" t="s">
        <v>46</v>
      </c>
      <c r="AA182" s="35">
        <f t="shared" si="44"/>
        <v>0.71590909090909094</v>
      </c>
      <c r="AB182" s="35">
        <f t="shared" si="45"/>
        <v>0.74644549763033174</v>
      </c>
      <c r="AC182" s="35">
        <f t="shared" si="46"/>
        <v>0.95909090909090911</v>
      </c>
      <c r="AD182" s="20">
        <v>880</v>
      </c>
      <c r="AE182" s="27">
        <f t="shared" si="76"/>
        <v>36</v>
      </c>
      <c r="AF182" s="20">
        <v>844</v>
      </c>
      <c r="AG182" s="20">
        <v>630</v>
      </c>
      <c r="AH182" s="20">
        <f t="shared" si="77"/>
        <v>214</v>
      </c>
      <c r="AI182" s="20"/>
      <c r="AJ182" s="5"/>
      <c r="AK182" s="62">
        <v>2007</v>
      </c>
      <c r="AL182" s="63" t="s">
        <v>46</v>
      </c>
      <c r="AM182" s="35">
        <f t="shared" si="49"/>
        <v>0.73737373737373735</v>
      </c>
      <c r="AN182" s="35">
        <f t="shared" si="50"/>
        <v>0.76200417536534448</v>
      </c>
      <c r="AO182" s="35">
        <f t="shared" si="51"/>
        <v>0.96767676767676769</v>
      </c>
      <c r="AP182" s="20">
        <v>990</v>
      </c>
      <c r="AQ182" s="27">
        <f t="shared" si="78"/>
        <v>32</v>
      </c>
      <c r="AR182" s="20">
        <v>958</v>
      </c>
      <c r="AS182" s="20">
        <v>730</v>
      </c>
      <c r="AT182" s="20">
        <f t="shared" si="79"/>
        <v>228</v>
      </c>
      <c r="AU182" s="29"/>
    </row>
    <row r="183" spans="1:55" s="3" customFormat="1" ht="12.75">
      <c r="A183" s="64">
        <v>2007</v>
      </c>
      <c r="B183" s="65" t="s">
        <v>47</v>
      </c>
      <c r="C183" s="35">
        <f t="shared" si="36"/>
        <v>0.84259512729263619</v>
      </c>
      <c r="D183" s="35">
        <f t="shared" si="37"/>
        <v>0.87063926079577603</v>
      </c>
      <c r="E183" s="35">
        <f t="shared" si="38"/>
        <v>0.96778903184597131</v>
      </c>
      <c r="F183" s="27">
        <f t="shared" si="71"/>
        <v>10959</v>
      </c>
      <c r="G183" s="20">
        <f t="shared" si="55"/>
        <v>353</v>
      </c>
      <c r="H183" s="27">
        <f t="shared" si="72"/>
        <v>10606</v>
      </c>
      <c r="I183" s="27">
        <f t="shared" si="73"/>
        <v>9234</v>
      </c>
      <c r="J183" s="20">
        <f t="shared" si="58"/>
        <v>1372</v>
      </c>
      <c r="K183" s="27"/>
      <c r="L183" s="4"/>
      <c r="M183" s="64">
        <v>2007</v>
      </c>
      <c r="N183" s="65" t="s">
        <v>47</v>
      </c>
      <c r="O183" s="35">
        <f t="shared" si="39"/>
        <v>0.84942898325756733</v>
      </c>
      <c r="P183" s="35">
        <f t="shared" si="40"/>
        <v>0.87996783827245573</v>
      </c>
      <c r="Q183" s="35">
        <f t="shared" si="41"/>
        <v>0.96529548730457926</v>
      </c>
      <c r="R183" s="20">
        <v>9019</v>
      </c>
      <c r="S183" s="27">
        <f t="shared" si="74"/>
        <v>313</v>
      </c>
      <c r="T183" s="20">
        <v>8706</v>
      </c>
      <c r="U183" s="20">
        <v>7661</v>
      </c>
      <c r="V183" s="20">
        <f t="shared" si="75"/>
        <v>1045</v>
      </c>
      <c r="W183" s="20"/>
      <c r="X183" s="5"/>
      <c r="Y183" s="64">
        <v>2007</v>
      </c>
      <c r="Z183" s="65" t="s">
        <v>47</v>
      </c>
      <c r="AA183" s="35">
        <f t="shared" si="44"/>
        <v>0.8172866520787746</v>
      </c>
      <c r="AB183" s="35">
        <f t="shared" si="45"/>
        <v>0.84216459977452085</v>
      </c>
      <c r="AC183" s="35">
        <f t="shared" si="46"/>
        <v>0.97045951859956237</v>
      </c>
      <c r="AD183" s="20">
        <v>914</v>
      </c>
      <c r="AE183" s="27">
        <f t="shared" si="76"/>
        <v>27</v>
      </c>
      <c r="AF183" s="20">
        <v>887</v>
      </c>
      <c r="AG183" s="20">
        <v>747</v>
      </c>
      <c r="AH183" s="20">
        <f t="shared" si="77"/>
        <v>140</v>
      </c>
      <c r="AI183" s="20"/>
      <c r="AJ183" s="5"/>
      <c r="AK183" s="64">
        <v>2007</v>
      </c>
      <c r="AL183" s="65" t="s">
        <v>47</v>
      </c>
      <c r="AM183" s="35">
        <f t="shared" si="49"/>
        <v>0.80506822612085771</v>
      </c>
      <c r="AN183" s="35">
        <f t="shared" si="50"/>
        <v>0.8153998025666338</v>
      </c>
      <c r="AO183" s="35">
        <f t="shared" si="51"/>
        <v>0.98732943469785572</v>
      </c>
      <c r="AP183" s="20">
        <v>1026</v>
      </c>
      <c r="AQ183" s="27">
        <f t="shared" si="78"/>
        <v>13</v>
      </c>
      <c r="AR183" s="20">
        <v>1013</v>
      </c>
      <c r="AS183" s="20">
        <v>826</v>
      </c>
      <c r="AT183" s="20">
        <f t="shared" si="79"/>
        <v>187</v>
      </c>
      <c r="AU183" s="29"/>
    </row>
    <row r="184" spans="1:55" s="3" customFormat="1" ht="12.75">
      <c r="A184" s="62">
        <v>2007</v>
      </c>
      <c r="B184" s="63" t="s">
        <v>48</v>
      </c>
      <c r="C184" s="35">
        <f t="shared" si="36"/>
        <v>0.88729508196721307</v>
      </c>
      <c r="D184" s="35">
        <f t="shared" si="37"/>
        <v>0.91001146350783335</v>
      </c>
      <c r="E184" s="35">
        <f t="shared" si="38"/>
        <v>0.97503725782414308</v>
      </c>
      <c r="F184" s="27">
        <f t="shared" si="71"/>
        <v>10736</v>
      </c>
      <c r="G184" s="20">
        <f t="shared" si="55"/>
        <v>268</v>
      </c>
      <c r="H184" s="27">
        <f t="shared" si="72"/>
        <v>10468</v>
      </c>
      <c r="I184" s="27">
        <f t="shared" si="73"/>
        <v>9526</v>
      </c>
      <c r="J184" s="20">
        <f t="shared" si="58"/>
        <v>942</v>
      </c>
      <c r="K184" s="27"/>
      <c r="L184" s="4"/>
      <c r="M184" s="62">
        <v>2007</v>
      </c>
      <c r="N184" s="63" t="s">
        <v>48</v>
      </c>
      <c r="O184" s="35">
        <f t="shared" si="39"/>
        <v>0.89823609226594303</v>
      </c>
      <c r="P184" s="35">
        <f t="shared" si="40"/>
        <v>0.9213639526791928</v>
      </c>
      <c r="Q184" s="35">
        <f t="shared" si="41"/>
        <v>0.97489823609226589</v>
      </c>
      <c r="R184" s="20">
        <v>8844</v>
      </c>
      <c r="S184" s="27">
        <f t="shared" si="74"/>
        <v>222</v>
      </c>
      <c r="T184" s="20">
        <v>8622</v>
      </c>
      <c r="U184" s="20">
        <v>7944</v>
      </c>
      <c r="V184" s="20">
        <f t="shared" si="75"/>
        <v>678</v>
      </c>
      <c r="W184" s="20"/>
      <c r="X184" s="5"/>
      <c r="Y184" s="62">
        <v>2007</v>
      </c>
      <c r="Z184" s="63" t="s">
        <v>48</v>
      </c>
      <c r="AA184" s="35">
        <f t="shared" si="44"/>
        <v>0.89253393665158376</v>
      </c>
      <c r="AB184" s="35">
        <f t="shared" si="45"/>
        <v>0.90068493150684936</v>
      </c>
      <c r="AC184" s="35">
        <f t="shared" si="46"/>
        <v>0.99095022624434392</v>
      </c>
      <c r="AD184" s="20">
        <v>884</v>
      </c>
      <c r="AE184" s="27">
        <f t="shared" si="76"/>
        <v>8</v>
      </c>
      <c r="AF184" s="20">
        <v>876</v>
      </c>
      <c r="AG184" s="20">
        <v>789</v>
      </c>
      <c r="AH184" s="20">
        <f t="shared" si="77"/>
        <v>87</v>
      </c>
      <c r="AI184" s="20"/>
      <c r="AJ184" s="5"/>
      <c r="AK184" s="62">
        <v>2007</v>
      </c>
      <c r="AL184" s="63" t="s">
        <v>48</v>
      </c>
      <c r="AM184" s="35">
        <f t="shared" si="49"/>
        <v>0.78670634920634919</v>
      </c>
      <c r="AN184" s="35">
        <f t="shared" si="50"/>
        <v>0.81752577319587627</v>
      </c>
      <c r="AO184" s="35">
        <f t="shared" si="51"/>
        <v>0.96230158730158732</v>
      </c>
      <c r="AP184" s="20">
        <v>1008</v>
      </c>
      <c r="AQ184" s="27">
        <f t="shared" si="78"/>
        <v>38</v>
      </c>
      <c r="AR184" s="20">
        <v>970</v>
      </c>
      <c r="AS184" s="20">
        <v>793</v>
      </c>
      <c r="AT184" s="20">
        <f t="shared" si="79"/>
        <v>177</v>
      </c>
      <c r="AU184" s="29"/>
    </row>
    <row r="185" spans="1:55" s="3" customFormat="1" ht="12.75">
      <c r="A185" s="64">
        <v>2007</v>
      </c>
      <c r="B185" s="65" t="s">
        <v>49</v>
      </c>
      <c r="C185" s="35">
        <f t="shared" si="36"/>
        <v>0.87298747763864037</v>
      </c>
      <c r="D185" s="35">
        <f t="shared" si="37"/>
        <v>0.90777364401801452</v>
      </c>
      <c r="E185" s="35">
        <f t="shared" si="38"/>
        <v>0.96167969117785523</v>
      </c>
      <c r="F185" s="27">
        <f t="shared" si="71"/>
        <v>10621</v>
      </c>
      <c r="G185" s="20">
        <f t="shared" si="55"/>
        <v>407</v>
      </c>
      <c r="H185" s="27">
        <f t="shared" si="72"/>
        <v>10214</v>
      </c>
      <c r="I185" s="27">
        <f t="shared" si="73"/>
        <v>9272</v>
      </c>
      <c r="J185" s="20">
        <f t="shared" si="58"/>
        <v>942</v>
      </c>
      <c r="K185" s="27"/>
      <c r="L185" s="10"/>
      <c r="M185" s="64">
        <v>2007</v>
      </c>
      <c r="N185" s="65" t="s">
        <v>49</v>
      </c>
      <c r="O185" s="35">
        <f t="shared" si="39"/>
        <v>0.87644831937593204</v>
      </c>
      <c r="P185" s="35">
        <f t="shared" si="40"/>
        <v>0.91464144618699872</v>
      </c>
      <c r="Q185" s="35">
        <f t="shared" si="41"/>
        <v>0.95824251462659171</v>
      </c>
      <c r="R185" s="20">
        <v>8717</v>
      </c>
      <c r="S185" s="27">
        <f t="shared" si="74"/>
        <v>364</v>
      </c>
      <c r="T185" s="20">
        <v>8353</v>
      </c>
      <c r="U185" s="20">
        <v>7640</v>
      </c>
      <c r="V185" s="20">
        <f t="shared" si="75"/>
        <v>713</v>
      </c>
      <c r="W185" s="20"/>
      <c r="X185" s="5"/>
      <c r="Y185" s="64">
        <v>2007</v>
      </c>
      <c r="Z185" s="65" t="s">
        <v>49</v>
      </c>
      <c r="AA185" s="35">
        <f t="shared" si="44"/>
        <v>0.87964989059080967</v>
      </c>
      <c r="AB185" s="35">
        <f t="shared" si="45"/>
        <v>0.91156462585034015</v>
      </c>
      <c r="AC185" s="35">
        <f t="shared" si="46"/>
        <v>0.96498905908096277</v>
      </c>
      <c r="AD185" s="20">
        <v>914</v>
      </c>
      <c r="AE185" s="27">
        <f t="shared" si="76"/>
        <v>32</v>
      </c>
      <c r="AF185" s="20">
        <v>882</v>
      </c>
      <c r="AG185" s="20">
        <v>804</v>
      </c>
      <c r="AH185" s="20">
        <f t="shared" si="77"/>
        <v>78</v>
      </c>
      <c r="AI185" s="20"/>
      <c r="AJ185" s="5"/>
      <c r="AK185" s="64">
        <v>2007</v>
      </c>
      <c r="AL185" s="65" t="s">
        <v>49</v>
      </c>
      <c r="AM185" s="35">
        <f t="shared" si="49"/>
        <v>0.83636363636363631</v>
      </c>
      <c r="AN185" s="35">
        <f t="shared" si="50"/>
        <v>0.84576098059244131</v>
      </c>
      <c r="AO185" s="35">
        <f t="shared" si="51"/>
        <v>0.98888888888888893</v>
      </c>
      <c r="AP185" s="20">
        <v>990</v>
      </c>
      <c r="AQ185" s="27">
        <f t="shared" si="78"/>
        <v>11</v>
      </c>
      <c r="AR185" s="20">
        <v>979</v>
      </c>
      <c r="AS185" s="20">
        <v>828</v>
      </c>
      <c r="AT185" s="20">
        <f t="shared" si="79"/>
        <v>151</v>
      </c>
      <c r="AU185" s="29"/>
    </row>
    <row r="186" spans="1:55" s="3" customFormat="1" ht="12.75">
      <c r="A186" s="62">
        <v>2008</v>
      </c>
      <c r="B186" s="63" t="s">
        <v>38</v>
      </c>
      <c r="C186" s="35">
        <f t="shared" si="36"/>
        <v>0.90089343280832646</v>
      </c>
      <c r="D186" s="35">
        <f t="shared" si="37"/>
        <v>0.92021827076865181</v>
      </c>
      <c r="E186" s="35">
        <f t="shared" si="38"/>
        <v>0.97899972368057475</v>
      </c>
      <c r="F186" s="27">
        <f t="shared" si="71"/>
        <v>10857</v>
      </c>
      <c r="G186" s="20">
        <f t="shared" si="55"/>
        <v>228</v>
      </c>
      <c r="H186" s="27">
        <f t="shared" si="72"/>
        <v>10629</v>
      </c>
      <c r="I186" s="27">
        <f t="shared" si="73"/>
        <v>9781</v>
      </c>
      <c r="J186" s="20">
        <f t="shared" si="58"/>
        <v>848</v>
      </c>
      <c r="K186" s="27"/>
      <c r="L186" s="4"/>
      <c r="M186" s="62">
        <v>2008</v>
      </c>
      <c r="N186" s="63" t="s">
        <v>38</v>
      </c>
      <c r="O186" s="35">
        <f t="shared" si="39"/>
        <v>0.91521812268700231</v>
      </c>
      <c r="P186" s="35">
        <f t="shared" si="40"/>
        <v>0.93364603592266326</v>
      </c>
      <c r="Q186" s="35">
        <f t="shared" si="41"/>
        <v>0.98026242009644504</v>
      </c>
      <c r="R186" s="20">
        <v>8917</v>
      </c>
      <c r="S186" s="27">
        <f t="shared" ref="S186:S197" si="80">R186-T186</f>
        <v>176</v>
      </c>
      <c r="T186" s="20">
        <v>8741</v>
      </c>
      <c r="U186" s="20">
        <v>8161</v>
      </c>
      <c r="V186" s="20">
        <f t="shared" ref="V186:V197" si="81">T186-U186</f>
        <v>580</v>
      </c>
      <c r="W186" s="20"/>
      <c r="X186" s="5"/>
      <c r="Y186" s="62">
        <v>2008</v>
      </c>
      <c r="Z186" s="63" t="s">
        <v>38</v>
      </c>
      <c r="AA186" s="35">
        <f t="shared" si="44"/>
        <v>0.88621444201312916</v>
      </c>
      <c r="AB186" s="35">
        <f t="shared" si="45"/>
        <v>0.91940976163450627</v>
      </c>
      <c r="AC186" s="35">
        <f t="shared" si="46"/>
        <v>0.96389496717724288</v>
      </c>
      <c r="AD186" s="20">
        <v>914</v>
      </c>
      <c r="AE186" s="27">
        <f t="shared" ref="AE186:AE197" si="82">AD186-AF186</f>
        <v>33</v>
      </c>
      <c r="AF186" s="20">
        <v>881</v>
      </c>
      <c r="AG186" s="20">
        <v>810</v>
      </c>
      <c r="AH186" s="20">
        <f t="shared" ref="AH186:AH197" si="83">AF186-AG186</f>
        <v>71</v>
      </c>
      <c r="AI186" s="20"/>
      <c r="AJ186" s="5"/>
      <c r="AK186" s="62">
        <v>2008</v>
      </c>
      <c r="AL186" s="63" t="s">
        <v>38</v>
      </c>
      <c r="AM186" s="35">
        <f t="shared" si="49"/>
        <v>0.78947368421052633</v>
      </c>
      <c r="AN186" s="35">
        <f t="shared" si="50"/>
        <v>0.80436941410129092</v>
      </c>
      <c r="AO186" s="35">
        <f t="shared" si="51"/>
        <v>0.98148148148148151</v>
      </c>
      <c r="AP186" s="20">
        <v>1026</v>
      </c>
      <c r="AQ186" s="27">
        <f t="shared" ref="AQ186:AQ197" si="84">AP186-AR186</f>
        <v>19</v>
      </c>
      <c r="AR186" s="20">
        <v>1007</v>
      </c>
      <c r="AS186" s="20">
        <v>810</v>
      </c>
      <c r="AT186" s="20">
        <f t="shared" ref="AT186:AT197" si="85">AR186-AS186</f>
        <v>197</v>
      </c>
      <c r="AU186" s="29"/>
    </row>
    <row r="187" spans="1:55" s="3" customFormat="1" ht="12.75">
      <c r="A187" s="64">
        <v>2008</v>
      </c>
      <c r="B187" s="65" t="s">
        <v>39</v>
      </c>
      <c r="C187" s="35">
        <f t="shared" si="36"/>
        <v>0.88774703557312251</v>
      </c>
      <c r="D187" s="35">
        <f t="shared" si="37"/>
        <v>0.91310092489074091</v>
      </c>
      <c r="E187" s="35">
        <f t="shared" si="38"/>
        <v>0.97223320158102766</v>
      </c>
      <c r="F187" s="27">
        <f t="shared" si="71"/>
        <v>10120</v>
      </c>
      <c r="G187" s="20">
        <f t="shared" si="55"/>
        <v>281</v>
      </c>
      <c r="H187" s="27">
        <f t="shared" si="72"/>
        <v>9839</v>
      </c>
      <c r="I187" s="27">
        <f t="shared" si="73"/>
        <v>8984</v>
      </c>
      <c r="J187" s="20">
        <f t="shared" si="58"/>
        <v>855</v>
      </c>
      <c r="K187" s="27"/>
      <c r="L187" s="4"/>
      <c r="M187" s="64">
        <v>2008</v>
      </c>
      <c r="N187" s="65" t="s">
        <v>39</v>
      </c>
      <c r="O187" s="35">
        <f t="shared" si="39"/>
        <v>0.89522546419098148</v>
      </c>
      <c r="P187" s="35">
        <f t="shared" si="40"/>
        <v>0.92041651171439198</v>
      </c>
      <c r="Q187" s="35">
        <f t="shared" si="41"/>
        <v>0.97263081745840363</v>
      </c>
      <c r="R187" s="20">
        <v>8294</v>
      </c>
      <c r="S187" s="27">
        <f t="shared" si="80"/>
        <v>227</v>
      </c>
      <c r="T187" s="20">
        <v>8067</v>
      </c>
      <c r="U187" s="20">
        <v>7425</v>
      </c>
      <c r="V187" s="20">
        <f t="shared" si="81"/>
        <v>642</v>
      </c>
      <c r="W187" s="20"/>
      <c r="X187" s="5"/>
      <c r="Y187" s="64">
        <v>2008</v>
      </c>
      <c r="Z187" s="65" t="s">
        <v>39</v>
      </c>
      <c r="AA187" s="35">
        <f t="shared" si="44"/>
        <v>0.87470725995316156</v>
      </c>
      <c r="AB187" s="35">
        <f t="shared" si="45"/>
        <v>0.89675870348139253</v>
      </c>
      <c r="AC187" s="35">
        <f t="shared" si="46"/>
        <v>0.97540983606557374</v>
      </c>
      <c r="AD187" s="20">
        <v>854</v>
      </c>
      <c r="AE187" s="27">
        <f t="shared" si="82"/>
        <v>21</v>
      </c>
      <c r="AF187" s="20">
        <v>833</v>
      </c>
      <c r="AG187" s="20">
        <v>747</v>
      </c>
      <c r="AH187" s="20">
        <f t="shared" si="83"/>
        <v>86</v>
      </c>
      <c r="AI187" s="20"/>
      <c r="AJ187" s="5"/>
      <c r="AK187" s="64">
        <v>2008</v>
      </c>
      <c r="AL187" s="65" t="s">
        <v>39</v>
      </c>
      <c r="AM187" s="35">
        <f t="shared" si="49"/>
        <v>0.83539094650205759</v>
      </c>
      <c r="AN187" s="35">
        <f t="shared" si="50"/>
        <v>0.86474973375931841</v>
      </c>
      <c r="AO187" s="35">
        <f t="shared" si="51"/>
        <v>0.96604938271604934</v>
      </c>
      <c r="AP187" s="20">
        <v>972</v>
      </c>
      <c r="AQ187" s="27">
        <f t="shared" si="84"/>
        <v>33</v>
      </c>
      <c r="AR187" s="20">
        <v>939</v>
      </c>
      <c r="AS187" s="20">
        <v>812</v>
      </c>
      <c r="AT187" s="20">
        <f t="shared" si="85"/>
        <v>127</v>
      </c>
      <c r="AU187" s="29"/>
    </row>
    <row r="188" spans="1:55" s="3" customFormat="1" ht="12.75">
      <c r="A188" s="62">
        <v>2008</v>
      </c>
      <c r="B188" s="63" t="s">
        <v>40</v>
      </c>
      <c r="C188" s="35">
        <f t="shared" si="36"/>
        <v>0.87798485730926035</v>
      </c>
      <c r="D188" s="35">
        <f t="shared" si="37"/>
        <v>0.90224438902743143</v>
      </c>
      <c r="E188" s="35">
        <f t="shared" si="38"/>
        <v>0.97311201708406136</v>
      </c>
      <c r="F188" s="27">
        <f t="shared" si="71"/>
        <v>10302</v>
      </c>
      <c r="G188" s="20">
        <f t="shared" si="55"/>
        <v>277</v>
      </c>
      <c r="H188" s="27">
        <f t="shared" si="72"/>
        <v>10025</v>
      </c>
      <c r="I188" s="27">
        <f t="shared" si="73"/>
        <v>9045</v>
      </c>
      <c r="J188" s="20">
        <f t="shared" si="58"/>
        <v>980</v>
      </c>
      <c r="K188" s="27"/>
      <c r="L188" s="4"/>
      <c r="M188" s="62">
        <v>2008</v>
      </c>
      <c r="N188" s="63" t="s">
        <v>40</v>
      </c>
      <c r="O188" s="35">
        <f t="shared" si="39"/>
        <v>0.89300166626993571</v>
      </c>
      <c r="P188" s="35">
        <f t="shared" si="40"/>
        <v>0.91768590998043054</v>
      </c>
      <c r="Q188" s="35">
        <f t="shared" si="41"/>
        <v>0.97310164246607955</v>
      </c>
      <c r="R188" s="20">
        <v>8402</v>
      </c>
      <c r="S188" s="27">
        <f t="shared" si="80"/>
        <v>226</v>
      </c>
      <c r="T188" s="20">
        <v>8176</v>
      </c>
      <c r="U188" s="20">
        <v>7503</v>
      </c>
      <c r="V188" s="20">
        <f t="shared" si="81"/>
        <v>673</v>
      </c>
      <c r="W188" s="20"/>
      <c r="X188" s="5"/>
      <c r="Y188" s="62">
        <v>2008</v>
      </c>
      <c r="Z188" s="63" t="s">
        <v>40</v>
      </c>
      <c r="AA188" s="35">
        <f t="shared" si="44"/>
        <v>0.90109890109890112</v>
      </c>
      <c r="AB188" s="35">
        <f t="shared" si="45"/>
        <v>0.91928251121076232</v>
      </c>
      <c r="AC188" s="35">
        <f t="shared" si="46"/>
        <v>0.98021978021978018</v>
      </c>
      <c r="AD188" s="20">
        <v>910</v>
      </c>
      <c r="AE188" s="27">
        <f t="shared" si="82"/>
        <v>18</v>
      </c>
      <c r="AF188" s="20">
        <v>892</v>
      </c>
      <c r="AG188" s="20">
        <v>820</v>
      </c>
      <c r="AH188" s="20">
        <f t="shared" si="83"/>
        <v>72</v>
      </c>
      <c r="AI188" s="20"/>
      <c r="AJ188" s="5"/>
      <c r="AK188" s="62">
        <v>2008</v>
      </c>
      <c r="AL188" s="63" t="s">
        <v>40</v>
      </c>
      <c r="AM188" s="35">
        <f t="shared" si="49"/>
        <v>0.72929292929292933</v>
      </c>
      <c r="AN188" s="35">
        <f t="shared" si="50"/>
        <v>0.75444096133751304</v>
      </c>
      <c r="AO188" s="35">
        <f t="shared" si="51"/>
        <v>0.96666666666666667</v>
      </c>
      <c r="AP188" s="20">
        <v>990</v>
      </c>
      <c r="AQ188" s="27">
        <f t="shared" si="84"/>
        <v>33</v>
      </c>
      <c r="AR188" s="20">
        <v>957</v>
      </c>
      <c r="AS188" s="20">
        <v>722</v>
      </c>
      <c r="AT188" s="20">
        <f t="shared" si="85"/>
        <v>235</v>
      </c>
      <c r="AU188" s="29"/>
    </row>
    <row r="189" spans="1:55" s="3" customFormat="1" ht="12.75">
      <c r="A189" s="64">
        <v>2008</v>
      </c>
      <c r="B189" s="65" t="s">
        <v>41</v>
      </c>
      <c r="C189" s="35">
        <f t="shared" si="36"/>
        <v>0.86438382665892821</v>
      </c>
      <c r="D189" s="35">
        <f t="shared" si="37"/>
        <v>0.88326579025402785</v>
      </c>
      <c r="E189" s="35">
        <f t="shared" si="38"/>
        <v>0.97862255755465277</v>
      </c>
      <c r="F189" s="27">
        <f t="shared" si="71"/>
        <v>10338</v>
      </c>
      <c r="G189" s="20">
        <f t="shared" si="55"/>
        <v>221</v>
      </c>
      <c r="H189" s="27">
        <f t="shared" si="72"/>
        <v>10117</v>
      </c>
      <c r="I189" s="27">
        <f t="shared" si="73"/>
        <v>8936</v>
      </c>
      <c r="J189" s="20">
        <f t="shared" si="58"/>
        <v>1181</v>
      </c>
      <c r="K189" s="27"/>
      <c r="L189" s="4"/>
      <c r="M189" s="64">
        <v>2008</v>
      </c>
      <c r="N189" s="65" t="s">
        <v>41</v>
      </c>
      <c r="O189" s="35">
        <f t="shared" si="39"/>
        <v>0.8724007561436673</v>
      </c>
      <c r="P189" s="35">
        <f t="shared" si="40"/>
        <v>0.89221846302561625</v>
      </c>
      <c r="Q189" s="35">
        <f t="shared" si="41"/>
        <v>0.97778827977315685</v>
      </c>
      <c r="R189" s="20">
        <v>8464</v>
      </c>
      <c r="S189" s="27">
        <f t="shared" si="80"/>
        <v>188</v>
      </c>
      <c r="T189" s="20">
        <v>8276</v>
      </c>
      <c r="U189" s="20">
        <v>7384</v>
      </c>
      <c r="V189" s="20">
        <f t="shared" si="81"/>
        <v>892</v>
      </c>
      <c r="W189" s="20"/>
      <c r="X189" s="5"/>
      <c r="Y189" s="64">
        <v>2008</v>
      </c>
      <c r="Z189" s="65" t="s">
        <v>41</v>
      </c>
      <c r="AA189" s="35">
        <f t="shared" si="44"/>
        <v>0.91063348416289591</v>
      </c>
      <c r="AB189" s="35">
        <f t="shared" si="45"/>
        <v>0.92528735632183912</v>
      </c>
      <c r="AC189" s="35">
        <f t="shared" si="46"/>
        <v>0.98416289592760176</v>
      </c>
      <c r="AD189" s="20">
        <v>884</v>
      </c>
      <c r="AE189" s="27">
        <f t="shared" si="82"/>
        <v>14</v>
      </c>
      <c r="AF189" s="20">
        <v>870</v>
      </c>
      <c r="AG189" s="20">
        <v>805</v>
      </c>
      <c r="AH189" s="20">
        <f t="shared" si="83"/>
        <v>65</v>
      </c>
      <c r="AI189" s="20"/>
      <c r="AJ189" s="5"/>
      <c r="AK189" s="64">
        <v>2008</v>
      </c>
      <c r="AL189" s="65" t="s">
        <v>41</v>
      </c>
      <c r="AM189" s="35">
        <f t="shared" si="49"/>
        <v>0.75454545454545452</v>
      </c>
      <c r="AN189" s="35">
        <f t="shared" si="50"/>
        <v>0.76930998970133879</v>
      </c>
      <c r="AO189" s="35">
        <f t="shared" si="51"/>
        <v>0.9808080808080808</v>
      </c>
      <c r="AP189" s="20">
        <v>990</v>
      </c>
      <c r="AQ189" s="27">
        <f t="shared" si="84"/>
        <v>19</v>
      </c>
      <c r="AR189" s="20">
        <v>971</v>
      </c>
      <c r="AS189" s="20">
        <v>747</v>
      </c>
      <c r="AT189" s="20">
        <f t="shared" si="85"/>
        <v>224</v>
      </c>
      <c r="AU189" s="29"/>
    </row>
    <row r="190" spans="1:55" s="3" customFormat="1" ht="12.75">
      <c r="A190" s="62">
        <v>2008</v>
      </c>
      <c r="B190" s="63" t="s">
        <v>42</v>
      </c>
      <c r="C190" s="35">
        <f t="shared" si="36"/>
        <v>0.88994005245410268</v>
      </c>
      <c r="D190" s="35">
        <f t="shared" si="37"/>
        <v>0.90901262916188286</v>
      </c>
      <c r="E190" s="35">
        <f t="shared" si="38"/>
        <v>0.97901835893593103</v>
      </c>
      <c r="F190" s="27">
        <f t="shared" si="71"/>
        <v>10676</v>
      </c>
      <c r="G190" s="20">
        <f t="shared" si="55"/>
        <v>224</v>
      </c>
      <c r="H190" s="27">
        <f t="shared" si="72"/>
        <v>10452</v>
      </c>
      <c r="I190" s="27">
        <f t="shared" si="73"/>
        <v>9501</v>
      </c>
      <c r="J190" s="20">
        <f t="shared" si="58"/>
        <v>951</v>
      </c>
      <c r="K190" s="27"/>
      <c r="L190" s="4"/>
      <c r="M190" s="62">
        <v>2008</v>
      </c>
      <c r="N190" s="63" t="s">
        <v>42</v>
      </c>
      <c r="O190" s="35">
        <f t="shared" si="39"/>
        <v>0.88524027459954235</v>
      </c>
      <c r="P190" s="35">
        <f t="shared" si="40"/>
        <v>0.90629026590137052</v>
      </c>
      <c r="Q190" s="35">
        <f t="shared" si="41"/>
        <v>0.97677345537757432</v>
      </c>
      <c r="R190" s="20">
        <v>8740</v>
      </c>
      <c r="S190" s="27">
        <f t="shared" si="80"/>
        <v>203</v>
      </c>
      <c r="T190" s="20">
        <v>8537</v>
      </c>
      <c r="U190" s="20">
        <v>7737</v>
      </c>
      <c r="V190" s="20">
        <f t="shared" si="81"/>
        <v>800</v>
      </c>
      <c r="W190" s="20"/>
      <c r="X190" s="5"/>
      <c r="Y190" s="62">
        <v>2008</v>
      </c>
      <c r="Z190" s="63" t="s">
        <v>42</v>
      </c>
      <c r="AA190" s="35">
        <f t="shared" si="44"/>
        <v>0.92197802197802203</v>
      </c>
      <c r="AB190" s="35">
        <f t="shared" si="45"/>
        <v>0.92400881057268724</v>
      </c>
      <c r="AC190" s="35">
        <f t="shared" si="46"/>
        <v>0.99780219780219781</v>
      </c>
      <c r="AD190" s="20">
        <v>910</v>
      </c>
      <c r="AE190" s="27">
        <f t="shared" si="82"/>
        <v>2</v>
      </c>
      <c r="AF190" s="20">
        <v>908</v>
      </c>
      <c r="AG190" s="20">
        <v>839</v>
      </c>
      <c r="AH190" s="20">
        <f t="shared" si="83"/>
        <v>69</v>
      </c>
      <c r="AI190" s="20"/>
      <c r="AJ190" s="5"/>
      <c r="AK190" s="62">
        <v>2008</v>
      </c>
      <c r="AL190" s="63" t="s">
        <v>42</v>
      </c>
      <c r="AM190" s="35">
        <f t="shared" si="49"/>
        <v>0.90155945419103312</v>
      </c>
      <c r="AN190" s="35">
        <f t="shared" si="50"/>
        <v>0.91857000993048654</v>
      </c>
      <c r="AO190" s="35">
        <f t="shared" si="51"/>
        <v>0.98148148148148151</v>
      </c>
      <c r="AP190" s="20">
        <v>1026</v>
      </c>
      <c r="AQ190" s="27">
        <f t="shared" si="84"/>
        <v>19</v>
      </c>
      <c r="AR190" s="20">
        <v>1007</v>
      </c>
      <c r="AS190" s="20">
        <v>925</v>
      </c>
      <c r="AT190" s="20">
        <f t="shared" si="85"/>
        <v>82</v>
      </c>
      <c r="AU190" s="29"/>
    </row>
    <row r="191" spans="1:55" s="3" customFormat="1" ht="12.75">
      <c r="A191" s="64">
        <v>2008</v>
      </c>
      <c r="B191" s="65" t="s">
        <v>43</v>
      </c>
      <c r="C191" s="35">
        <f t="shared" si="36"/>
        <v>0.85755013763271726</v>
      </c>
      <c r="D191" s="35">
        <f t="shared" si="37"/>
        <v>0.88173455978975035</v>
      </c>
      <c r="E191" s="35">
        <f t="shared" si="38"/>
        <v>0.97257176563114434</v>
      </c>
      <c r="F191" s="27">
        <f t="shared" si="71"/>
        <v>10172</v>
      </c>
      <c r="G191" s="20">
        <f t="shared" si="55"/>
        <v>279</v>
      </c>
      <c r="H191" s="27">
        <f t="shared" si="72"/>
        <v>9893</v>
      </c>
      <c r="I191" s="27">
        <f t="shared" si="73"/>
        <v>8723</v>
      </c>
      <c r="J191" s="20">
        <f t="shared" si="58"/>
        <v>1170</v>
      </c>
      <c r="K191" s="27"/>
      <c r="L191" s="4"/>
      <c r="M191" s="64">
        <v>2008</v>
      </c>
      <c r="N191" s="65" t="s">
        <v>43</v>
      </c>
      <c r="O191" s="35">
        <f t="shared" si="39"/>
        <v>0.85858585858585856</v>
      </c>
      <c r="P191" s="35">
        <f t="shared" si="40"/>
        <v>0.88344469190794361</v>
      </c>
      <c r="Q191" s="35">
        <f t="shared" si="41"/>
        <v>0.97186147186147187</v>
      </c>
      <c r="R191" s="20">
        <v>8316</v>
      </c>
      <c r="S191" s="27">
        <f t="shared" si="80"/>
        <v>234</v>
      </c>
      <c r="T191" s="20">
        <v>8082</v>
      </c>
      <c r="U191" s="20">
        <v>7140</v>
      </c>
      <c r="V191" s="20">
        <f t="shared" si="81"/>
        <v>942</v>
      </c>
      <c r="W191" s="20"/>
      <c r="X191" s="5"/>
      <c r="Y191" s="64">
        <v>2008</v>
      </c>
      <c r="Z191" s="65" t="s">
        <v>43</v>
      </c>
      <c r="AA191" s="35">
        <f t="shared" si="44"/>
        <v>0.89479638009049778</v>
      </c>
      <c r="AB191" s="35">
        <f t="shared" si="45"/>
        <v>0.9155092592592593</v>
      </c>
      <c r="AC191" s="35">
        <f t="shared" si="46"/>
        <v>0.9773755656108597</v>
      </c>
      <c r="AD191" s="20">
        <v>884</v>
      </c>
      <c r="AE191" s="27">
        <f t="shared" si="82"/>
        <v>20</v>
      </c>
      <c r="AF191" s="20">
        <v>864</v>
      </c>
      <c r="AG191" s="20">
        <v>791</v>
      </c>
      <c r="AH191" s="20">
        <f t="shared" si="83"/>
        <v>73</v>
      </c>
      <c r="AI191" s="20"/>
      <c r="AJ191" s="5"/>
      <c r="AK191" s="64">
        <v>2008</v>
      </c>
      <c r="AL191" s="65" t="s">
        <v>43</v>
      </c>
      <c r="AM191" s="35">
        <f t="shared" si="49"/>
        <v>0.81481481481481477</v>
      </c>
      <c r="AN191" s="35">
        <f t="shared" si="50"/>
        <v>0.83632523759239707</v>
      </c>
      <c r="AO191" s="35">
        <f t="shared" si="51"/>
        <v>0.97427983539094654</v>
      </c>
      <c r="AP191" s="20">
        <v>972</v>
      </c>
      <c r="AQ191" s="27">
        <f t="shared" si="84"/>
        <v>25</v>
      </c>
      <c r="AR191" s="20">
        <v>947</v>
      </c>
      <c r="AS191" s="20">
        <v>792</v>
      </c>
      <c r="AT191" s="20">
        <f t="shared" si="85"/>
        <v>155</v>
      </c>
      <c r="AU191" s="29"/>
    </row>
    <row r="192" spans="1:55" s="3" customFormat="1" ht="12.75">
      <c r="A192" s="62">
        <v>2008</v>
      </c>
      <c r="B192" s="63" t="s">
        <v>44</v>
      </c>
      <c r="C192" s="35">
        <f t="shared" si="36"/>
        <v>0.87101287073307221</v>
      </c>
      <c r="D192" s="35">
        <f t="shared" si="37"/>
        <v>0.89471163058057102</v>
      </c>
      <c r="E192" s="35">
        <f t="shared" si="38"/>
        <v>0.9735124044021638</v>
      </c>
      <c r="F192" s="27">
        <f t="shared" si="71"/>
        <v>10722</v>
      </c>
      <c r="G192" s="20">
        <f t="shared" si="55"/>
        <v>284</v>
      </c>
      <c r="H192" s="27">
        <f t="shared" si="72"/>
        <v>10438</v>
      </c>
      <c r="I192" s="27">
        <f t="shared" si="73"/>
        <v>9339</v>
      </c>
      <c r="J192" s="20">
        <f t="shared" si="58"/>
        <v>1099</v>
      </c>
      <c r="K192" s="27"/>
      <c r="L192" s="4"/>
      <c r="M192" s="62">
        <v>2008</v>
      </c>
      <c r="N192" s="63" t="s">
        <v>44</v>
      </c>
      <c r="O192" s="35">
        <f t="shared" si="39"/>
        <v>0.87599635618310179</v>
      </c>
      <c r="P192" s="35">
        <f t="shared" si="40"/>
        <v>0.8996608583791369</v>
      </c>
      <c r="Q192" s="35">
        <f t="shared" si="41"/>
        <v>0.97369619676611252</v>
      </c>
      <c r="R192" s="20">
        <v>8782</v>
      </c>
      <c r="S192" s="27">
        <f t="shared" si="80"/>
        <v>231</v>
      </c>
      <c r="T192" s="20">
        <v>8551</v>
      </c>
      <c r="U192" s="20">
        <v>7693</v>
      </c>
      <c r="V192" s="20">
        <f t="shared" si="81"/>
        <v>858</v>
      </c>
      <c r="W192" s="20"/>
      <c r="X192" s="5"/>
      <c r="Y192" s="62">
        <v>2008</v>
      </c>
      <c r="Z192" s="63" t="s">
        <v>44</v>
      </c>
      <c r="AA192" s="35">
        <f t="shared" si="44"/>
        <v>0.92013129102844637</v>
      </c>
      <c r="AB192" s="35">
        <f t="shared" si="45"/>
        <v>0.93756967670011149</v>
      </c>
      <c r="AC192" s="35">
        <f t="shared" si="46"/>
        <v>0.98140043763676144</v>
      </c>
      <c r="AD192" s="20">
        <v>914</v>
      </c>
      <c r="AE192" s="27">
        <f t="shared" si="82"/>
        <v>17</v>
      </c>
      <c r="AF192" s="20">
        <v>897</v>
      </c>
      <c r="AG192" s="20">
        <v>841</v>
      </c>
      <c r="AH192" s="20">
        <f t="shared" si="83"/>
        <v>56</v>
      </c>
      <c r="AI192" s="20"/>
      <c r="AJ192" s="5"/>
      <c r="AK192" s="62">
        <v>2008</v>
      </c>
      <c r="AL192" s="63" t="s">
        <v>44</v>
      </c>
      <c r="AM192" s="35">
        <f t="shared" si="49"/>
        <v>0.78460038986354774</v>
      </c>
      <c r="AN192" s="35">
        <f t="shared" si="50"/>
        <v>0.81313131313131315</v>
      </c>
      <c r="AO192" s="35">
        <f t="shared" si="51"/>
        <v>0.96491228070175439</v>
      </c>
      <c r="AP192" s="20">
        <v>1026</v>
      </c>
      <c r="AQ192" s="27">
        <f t="shared" si="84"/>
        <v>36</v>
      </c>
      <c r="AR192" s="20">
        <v>990</v>
      </c>
      <c r="AS192" s="20">
        <v>805</v>
      </c>
      <c r="AT192" s="20">
        <f t="shared" si="85"/>
        <v>185</v>
      </c>
      <c r="AU192" s="29"/>
    </row>
    <row r="193" spans="1:47" s="3" customFormat="1" ht="12.75">
      <c r="A193" s="64">
        <v>2008</v>
      </c>
      <c r="B193" s="65" t="s">
        <v>45</v>
      </c>
      <c r="C193" s="35">
        <f t="shared" si="36"/>
        <v>0.89663737103553687</v>
      </c>
      <c r="D193" s="35">
        <f t="shared" si="37"/>
        <v>0.91321268729324767</v>
      </c>
      <c r="E193" s="35">
        <f t="shared" si="38"/>
        <v>0.98184944593045476</v>
      </c>
      <c r="F193" s="27">
        <f t="shared" si="71"/>
        <v>10468</v>
      </c>
      <c r="G193" s="20">
        <f t="shared" si="55"/>
        <v>190</v>
      </c>
      <c r="H193" s="27">
        <f t="shared" si="72"/>
        <v>10278</v>
      </c>
      <c r="I193" s="27">
        <f t="shared" si="73"/>
        <v>9386</v>
      </c>
      <c r="J193" s="20">
        <f t="shared" si="58"/>
        <v>892</v>
      </c>
      <c r="K193" s="27"/>
      <c r="L193" s="4"/>
      <c r="M193" s="64">
        <v>2008</v>
      </c>
      <c r="N193" s="65" t="s">
        <v>45</v>
      </c>
      <c r="O193" s="35">
        <f t="shared" si="39"/>
        <v>0.89847953216374266</v>
      </c>
      <c r="P193" s="35">
        <f t="shared" si="40"/>
        <v>0.91572297055668139</v>
      </c>
      <c r="Q193" s="35">
        <f t="shared" si="41"/>
        <v>0.9811695906432748</v>
      </c>
      <c r="R193" s="20">
        <v>8550</v>
      </c>
      <c r="S193" s="27">
        <f t="shared" si="80"/>
        <v>161</v>
      </c>
      <c r="T193" s="20">
        <v>8389</v>
      </c>
      <c r="U193" s="20">
        <v>7682</v>
      </c>
      <c r="V193" s="20">
        <f t="shared" si="81"/>
        <v>707</v>
      </c>
      <c r="W193" s="20"/>
      <c r="X193" s="5"/>
      <c r="Y193" s="64">
        <v>2008</v>
      </c>
      <c r="Z193" s="65" t="s">
        <v>45</v>
      </c>
      <c r="AA193" s="35">
        <f t="shared" si="44"/>
        <v>0.91538461538461535</v>
      </c>
      <c r="AB193" s="35">
        <f t="shared" si="45"/>
        <v>0.9296875</v>
      </c>
      <c r="AC193" s="35">
        <f t="shared" si="46"/>
        <v>0.98461538461538467</v>
      </c>
      <c r="AD193" s="20">
        <v>910</v>
      </c>
      <c r="AE193" s="27">
        <f t="shared" si="82"/>
        <v>14</v>
      </c>
      <c r="AF193" s="20">
        <v>896</v>
      </c>
      <c r="AG193" s="20">
        <v>833</v>
      </c>
      <c r="AH193" s="20">
        <f t="shared" si="83"/>
        <v>63</v>
      </c>
      <c r="AI193" s="20"/>
      <c r="AJ193" s="5"/>
      <c r="AK193" s="64">
        <v>2008</v>
      </c>
      <c r="AL193" s="65" t="s">
        <v>45</v>
      </c>
      <c r="AM193" s="35">
        <f t="shared" si="49"/>
        <v>0.86408730158730163</v>
      </c>
      <c r="AN193" s="35">
        <f t="shared" si="50"/>
        <v>0.87713997985901304</v>
      </c>
      <c r="AO193" s="35">
        <f t="shared" si="51"/>
        <v>0.98511904761904767</v>
      </c>
      <c r="AP193" s="20">
        <v>1008</v>
      </c>
      <c r="AQ193" s="27">
        <f t="shared" si="84"/>
        <v>15</v>
      </c>
      <c r="AR193" s="20">
        <v>993</v>
      </c>
      <c r="AS193" s="20">
        <v>871</v>
      </c>
      <c r="AT193" s="20">
        <f t="shared" si="85"/>
        <v>122</v>
      </c>
      <c r="AU193" s="29"/>
    </row>
    <row r="194" spans="1:47" s="3" customFormat="1" ht="12.75">
      <c r="A194" s="62">
        <v>2008</v>
      </c>
      <c r="B194" s="63" t="s">
        <v>46</v>
      </c>
      <c r="C194" s="35">
        <f t="shared" si="36"/>
        <v>0.87423838537699927</v>
      </c>
      <c r="D194" s="35">
        <f t="shared" si="37"/>
        <v>0.92570564516129028</v>
      </c>
      <c r="E194" s="35">
        <f t="shared" si="38"/>
        <v>0.9444021325209444</v>
      </c>
      <c r="F194" s="27">
        <f t="shared" si="71"/>
        <v>10504</v>
      </c>
      <c r="G194" s="20">
        <f t="shared" si="55"/>
        <v>584</v>
      </c>
      <c r="H194" s="27">
        <f t="shared" si="72"/>
        <v>9920</v>
      </c>
      <c r="I194" s="27">
        <f t="shared" si="73"/>
        <v>9183</v>
      </c>
      <c r="J194" s="20">
        <f t="shared" si="58"/>
        <v>737</v>
      </c>
      <c r="K194" s="27"/>
      <c r="L194" s="4"/>
      <c r="M194" s="62">
        <v>2008</v>
      </c>
      <c r="N194" s="63" t="s">
        <v>46</v>
      </c>
      <c r="O194" s="35">
        <f t="shared" si="39"/>
        <v>0.87273571760334412</v>
      </c>
      <c r="P194" s="35">
        <f t="shared" si="40"/>
        <v>0.92687137748181037</v>
      </c>
      <c r="Q194" s="35">
        <f t="shared" si="41"/>
        <v>0.94159312587087785</v>
      </c>
      <c r="R194" s="20">
        <v>8612</v>
      </c>
      <c r="S194" s="27">
        <f t="shared" si="80"/>
        <v>503</v>
      </c>
      <c r="T194" s="20">
        <v>8109</v>
      </c>
      <c r="U194" s="20">
        <v>7516</v>
      </c>
      <c r="V194" s="20">
        <f t="shared" si="81"/>
        <v>593</v>
      </c>
      <c r="W194" s="20"/>
      <c r="X194" s="5"/>
      <c r="Y194" s="62">
        <v>2008</v>
      </c>
      <c r="Z194" s="63" t="s">
        <v>46</v>
      </c>
      <c r="AA194" s="35">
        <f t="shared" si="44"/>
        <v>0.87669683257918551</v>
      </c>
      <c r="AB194" s="35">
        <f t="shared" si="45"/>
        <v>0.9215219976218787</v>
      </c>
      <c r="AC194" s="35">
        <f t="shared" si="46"/>
        <v>0.95135746606334837</v>
      </c>
      <c r="AD194" s="20">
        <v>884</v>
      </c>
      <c r="AE194" s="27">
        <f t="shared" si="82"/>
        <v>43</v>
      </c>
      <c r="AF194" s="20">
        <v>841</v>
      </c>
      <c r="AG194" s="20">
        <v>775</v>
      </c>
      <c r="AH194" s="20">
        <f t="shared" si="83"/>
        <v>66</v>
      </c>
      <c r="AI194" s="20"/>
      <c r="AJ194" s="5"/>
      <c r="AK194" s="62">
        <v>2008</v>
      </c>
      <c r="AL194" s="63" t="s">
        <v>46</v>
      </c>
      <c r="AM194" s="35">
        <f t="shared" si="49"/>
        <v>0.88492063492063489</v>
      </c>
      <c r="AN194" s="35">
        <f t="shared" si="50"/>
        <v>0.91958762886597933</v>
      </c>
      <c r="AO194" s="35">
        <f t="shared" si="51"/>
        <v>0.96230158730158732</v>
      </c>
      <c r="AP194" s="20">
        <v>1008</v>
      </c>
      <c r="AQ194" s="27">
        <f t="shared" si="84"/>
        <v>38</v>
      </c>
      <c r="AR194" s="20">
        <v>970</v>
      </c>
      <c r="AS194" s="20">
        <v>892</v>
      </c>
      <c r="AT194" s="20">
        <f t="shared" si="85"/>
        <v>78</v>
      </c>
      <c r="AU194" s="29"/>
    </row>
    <row r="195" spans="1:47" s="3" customFormat="1" ht="12.75">
      <c r="A195" s="64">
        <v>2008</v>
      </c>
      <c r="B195" s="65" t="s">
        <v>47</v>
      </c>
      <c r="C195" s="35">
        <f t="shared" si="36"/>
        <v>0.89927252378287637</v>
      </c>
      <c r="D195" s="35">
        <f t="shared" si="37"/>
        <v>0.91549563235852638</v>
      </c>
      <c r="E195" s="35">
        <f t="shared" si="38"/>
        <v>0.98227942548032088</v>
      </c>
      <c r="F195" s="27">
        <f t="shared" si="71"/>
        <v>10722</v>
      </c>
      <c r="G195" s="20">
        <f t="shared" si="55"/>
        <v>190</v>
      </c>
      <c r="H195" s="27">
        <f t="shared" si="72"/>
        <v>10532</v>
      </c>
      <c r="I195" s="27">
        <f t="shared" si="73"/>
        <v>9642</v>
      </c>
      <c r="J195" s="20">
        <f t="shared" si="58"/>
        <v>890</v>
      </c>
      <c r="K195" s="27"/>
      <c r="L195" s="4"/>
      <c r="M195" s="64">
        <v>2008</v>
      </c>
      <c r="N195" s="65" t="s">
        <v>47</v>
      </c>
      <c r="O195" s="35">
        <f t="shared" si="39"/>
        <v>0.90366659075381461</v>
      </c>
      <c r="P195" s="35">
        <f t="shared" si="40"/>
        <v>0.91979601298099212</v>
      </c>
      <c r="Q195" s="35">
        <f t="shared" si="41"/>
        <v>0.98246413117740838</v>
      </c>
      <c r="R195" s="20">
        <v>8782</v>
      </c>
      <c r="S195" s="27">
        <f t="shared" si="80"/>
        <v>154</v>
      </c>
      <c r="T195" s="20">
        <v>8628</v>
      </c>
      <c r="U195" s="20">
        <v>7936</v>
      </c>
      <c r="V195" s="20">
        <f t="shared" si="81"/>
        <v>692</v>
      </c>
      <c r="W195" s="20"/>
      <c r="X195" s="5"/>
      <c r="Y195" s="64">
        <v>2008</v>
      </c>
      <c r="Z195" s="65" t="s">
        <v>47</v>
      </c>
      <c r="AA195" s="35">
        <f t="shared" si="44"/>
        <v>0.90043763676148791</v>
      </c>
      <c r="AB195" s="35">
        <f t="shared" si="45"/>
        <v>0.90738699007717749</v>
      </c>
      <c r="AC195" s="35">
        <f t="shared" si="46"/>
        <v>0.99234135667396062</v>
      </c>
      <c r="AD195" s="20">
        <v>914</v>
      </c>
      <c r="AE195" s="27">
        <f t="shared" si="82"/>
        <v>7</v>
      </c>
      <c r="AF195" s="20">
        <v>907</v>
      </c>
      <c r="AG195" s="20">
        <v>823</v>
      </c>
      <c r="AH195" s="20">
        <f t="shared" si="83"/>
        <v>84</v>
      </c>
      <c r="AI195" s="20"/>
      <c r="AJ195" s="5"/>
      <c r="AK195" s="64">
        <v>2008</v>
      </c>
      <c r="AL195" s="65" t="s">
        <v>47</v>
      </c>
      <c r="AM195" s="35">
        <f t="shared" si="49"/>
        <v>0.86062378167641329</v>
      </c>
      <c r="AN195" s="35">
        <f t="shared" si="50"/>
        <v>0.88565697091273821</v>
      </c>
      <c r="AO195" s="35">
        <f t="shared" si="51"/>
        <v>0.97173489278752434</v>
      </c>
      <c r="AP195" s="20">
        <v>1026</v>
      </c>
      <c r="AQ195" s="27">
        <f t="shared" si="84"/>
        <v>29</v>
      </c>
      <c r="AR195" s="20">
        <v>997</v>
      </c>
      <c r="AS195" s="20">
        <v>883</v>
      </c>
      <c r="AT195" s="20">
        <f t="shared" si="85"/>
        <v>114</v>
      </c>
      <c r="AU195" s="29"/>
    </row>
    <row r="196" spans="1:47" s="3" customFormat="1" ht="12.75">
      <c r="A196" s="62">
        <v>2008</v>
      </c>
      <c r="B196" s="63" t="s">
        <v>48</v>
      </c>
      <c r="C196" s="35">
        <f t="shared" si="36"/>
        <v>0.86802575107296143</v>
      </c>
      <c r="D196" s="35">
        <f t="shared" si="37"/>
        <v>0.89563204508856686</v>
      </c>
      <c r="E196" s="35">
        <f t="shared" si="38"/>
        <v>0.9691767460007803</v>
      </c>
      <c r="F196" s="27">
        <f t="shared" si="71"/>
        <v>10252</v>
      </c>
      <c r="G196" s="20">
        <f t="shared" si="55"/>
        <v>316</v>
      </c>
      <c r="H196" s="27">
        <f t="shared" si="72"/>
        <v>9936</v>
      </c>
      <c r="I196" s="27">
        <f t="shared" si="73"/>
        <v>8899</v>
      </c>
      <c r="J196" s="20">
        <f t="shared" si="58"/>
        <v>1037</v>
      </c>
      <c r="K196" s="27"/>
      <c r="L196" s="4"/>
      <c r="M196" s="62">
        <v>2008</v>
      </c>
      <c r="N196" s="63" t="s">
        <v>48</v>
      </c>
      <c r="O196" s="35">
        <f t="shared" si="39"/>
        <v>0.87198759246003343</v>
      </c>
      <c r="P196" s="35">
        <f t="shared" si="40"/>
        <v>0.90234567901234564</v>
      </c>
      <c r="Q196" s="35">
        <f t="shared" si="41"/>
        <v>0.96635647816750181</v>
      </c>
      <c r="R196" s="20">
        <v>8382</v>
      </c>
      <c r="S196" s="27">
        <f t="shared" si="80"/>
        <v>282</v>
      </c>
      <c r="T196" s="20">
        <v>8100</v>
      </c>
      <c r="U196" s="20">
        <v>7309</v>
      </c>
      <c r="V196" s="20">
        <f t="shared" si="81"/>
        <v>791</v>
      </c>
      <c r="W196" s="20"/>
      <c r="X196" s="5"/>
      <c r="Y196" s="62">
        <v>2008</v>
      </c>
      <c r="Z196" s="63" t="s">
        <v>48</v>
      </c>
      <c r="AA196" s="35">
        <f t="shared" si="44"/>
        <v>0.83750000000000002</v>
      </c>
      <c r="AB196" s="35">
        <f t="shared" si="45"/>
        <v>0.86299765807962525</v>
      </c>
      <c r="AC196" s="35">
        <f t="shared" si="46"/>
        <v>0.97045454545454546</v>
      </c>
      <c r="AD196" s="20">
        <v>880</v>
      </c>
      <c r="AE196" s="27">
        <f t="shared" si="82"/>
        <v>26</v>
      </c>
      <c r="AF196" s="20">
        <v>854</v>
      </c>
      <c r="AG196" s="20">
        <v>737</v>
      </c>
      <c r="AH196" s="20">
        <f t="shared" si="83"/>
        <v>117</v>
      </c>
      <c r="AI196" s="20"/>
      <c r="AJ196" s="5"/>
      <c r="AK196" s="62">
        <v>2008</v>
      </c>
      <c r="AL196" s="63" t="s">
        <v>48</v>
      </c>
      <c r="AM196" s="35">
        <f t="shared" si="49"/>
        <v>0.86161616161616161</v>
      </c>
      <c r="AN196" s="35">
        <f t="shared" si="50"/>
        <v>0.8686354378818737</v>
      </c>
      <c r="AO196" s="35">
        <f t="shared" si="51"/>
        <v>0.99191919191919187</v>
      </c>
      <c r="AP196" s="20">
        <v>990</v>
      </c>
      <c r="AQ196" s="27">
        <f t="shared" si="84"/>
        <v>8</v>
      </c>
      <c r="AR196" s="20">
        <v>982</v>
      </c>
      <c r="AS196" s="20">
        <v>853</v>
      </c>
      <c r="AT196" s="20">
        <f t="shared" si="85"/>
        <v>129</v>
      </c>
      <c r="AU196" s="29"/>
    </row>
    <row r="197" spans="1:47" s="3" customFormat="1" ht="12.75">
      <c r="A197" s="64">
        <v>2008</v>
      </c>
      <c r="B197" s="65" t="s">
        <v>49</v>
      </c>
      <c r="C197" s="35">
        <f t="shared" si="36"/>
        <v>0.88098391674550613</v>
      </c>
      <c r="D197" s="35">
        <f t="shared" si="37"/>
        <v>0.91142213957130269</v>
      </c>
      <c r="E197" s="35">
        <f t="shared" si="38"/>
        <v>0.96660359508041627</v>
      </c>
      <c r="F197" s="27">
        <f t="shared" si="71"/>
        <v>10570</v>
      </c>
      <c r="G197" s="20">
        <f t="shared" si="55"/>
        <v>353</v>
      </c>
      <c r="H197" s="27">
        <f t="shared" si="72"/>
        <v>10217</v>
      </c>
      <c r="I197" s="27">
        <f t="shared" si="73"/>
        <v>9312</v>
      </c>
      <c r="J197" s="20">
        <f t="shared" si="58"/>
        <v>905</v>
      </c>
      <c r="K197" s="27"/>
      <c r="L197" s="10"/>
      <c r="M197" s="64">
        <v>2008</v>
      </c>
      <c r="N197" s="65" t="s">
        <v>49</v>
      </c>
      <c r="O197" s="35">
        <f t="shared" si="39"/>
        <v>0.88280888477556685</v>
      </c>
      <c r="P197" s="35">
        <f t="shared" si="40"/>
        <v>0.9119263862332696</v>
      </c>
      <c r="Q197" s="35">
        <f t="shared" si="41"/>
        <v>0.96807033780657104</v>
      </c>
      <c r="R197" s="20">
        <v>8644</v>
      </c>
      <c r="S197" s="27">
        <f t="shared" si="80"/>
        <v>276</v>
      </c>
      <c r="T197" s="20">
        <v>8368</v>
      </c>
      <c r="U197" s="20">
        <v>7631</v>
      </c>
      <c r="V197" s="20">
        <f t="shared" si="81"/>
        <v>737</v>
      </c>
      <c r="W197" s="20"/>
      <c r="X197" s="5"/>
      <c r="Y197" s="64">
        <v>2008</v>
      </c>
      <c r="Z197" s="65" t="s">
        <v>49</v>
      </c>
      <c r="AA197" s="35">
        <f t="shared" si="44"/>
        <v>0.87472766884531594</v>
      </c>
      <c r="AB197" s="35">
        <f t="shared" si="45"/>
        <v>0.91249999999999998</v>
      </c>
      <c r="AC197" s="35">
        <f t="shared" si="46"/>
        <v>0.95860566448801743</v>
      </c>
      <c r="AD197" s="20">
        <v>918</v>
      </c>
      <c r="AE197" s="27">
        <f t="shared" si="82"/>
        <v>38</v>
      </c>
      <c r="AF197" s="20">
        <v>880</v>
      </c>
      <c r="AG197" s="20">
        <v>803</v>
      </c>
      <c r="AH197" s="20">
        <f t="shared" si="83"/>
        <v>77</v>
      </c>
      <c r="AI197" s="20"/>
      <c r="AJ197" s="5"/>
      <c r="AK197" s="64">
        <v>2008</v>
      </c>
      <c r="AL197" s="65" t="s">
        <v>49</v>
      </c>
      <c r="AM197" s="35">
        <f t="shared" si="49"/>
        <v>0.87103174603174605</v>
      </c>
      <c r="AN197" s="35">
        <f t="shared" si="50"/>
        <v>0.90608875128998967</v>
      </c>
      <c r="AO197" s="35">
        <f t="shared" si="51"/>
        <v>0.96130952380952384</v>
      </c>
      <c r="AP197" s="20">
        <v>1008</v>
      </c>
      <c r="AQ197" s="27">
        <f t="shared" si="84"/>
        <v>39</v>
      </c>
      <c r="AR197" s="20">
        <v>969</v>
      </c>
      <c r="AS197" s="20">
        <v>878</v>
      </c>
      <c r="AT197" s="20">
        <f t="shared" si="85"/>
        <v>91</v>
      </c>
      <c r="AU197" s="29"/>
    </row>
    <row r="198" spans="1:47" s="3" customFormat="1" ht="12.75">
      <c r="A198" s="62">
        <v>2009</v>
      </c>
      <c r="B198" s="63" t="s">
        <v>38</v>
      </c>
      <c r="C198" s="35">
        <f t="shared" si="36"/>
        <v>0.84111184148746365</v>
      </c>
      <c r="D198" s="35">
        <f t="shared" si="37"/>
        <v>0.8759902200488997</v>
      </c>
      <c r="E198" s="35">
        <f t="shared" si="38"/>
        <v>0.96018405484083014</v>
      </c>
      <c r="F198" s="27">
        <f t="shared" si="71"/>
        <v>10649</v>
      </c>
      <c r="G198" s="20">
        <f t="shared" ref="G198:G261" si="86">F198-H198</f>
        <v>424</v>
      </c>
      <c r="H198" s="27">
        <f t="shared" si="72"/>
        <v>10225</v>
      </c>
      <c r="I198" s="27">
        <f t="shared" si="73"/>
        <v>8957</v>
      </c>
      <c r="J198" s="20">
        <f t="shared" ref="J198:J261" si="87">H198-I198</f>
        <v>1268</v>
      </c>
      <c r="K198" s="27"/>
      <c r="L198" s="4"/>
      <c r="M198" s="62">
        <v>2009</v>
      </c>
      <c r="N198" s="63" t="s">
        <v>38</v>
      </c>
      <c r="O198" s="35">
        <f t="shared" ref="O198:O261" si="88">U198/R198</f>
        <v>0.8458888378502526</v>
      </c>
      <c r="P198" s="35">
        <f t="shared" ref="P198:P261" si="89">U198/T198</f>
        <v>0.8811004784688995</v>
      </c>
      <c r="Q198" s="35">
        <f t="shared" ref="Q198:Q261" si="90">T198/R198</f>
        <v>0.96003674781809833</v>
      </c>
      <c r="R198" s="20">
        <v>8708</v>
      </c>
      <c r="S198" s="27">
        <f t="shared" ref="S198:S209" si="91">R198-T198</f>
        <v>348</v>
      </c>
      <c r="T198" s="20">
        <v>8360</v>
      </c>
      <c r="U198" s="20">
        <v>7366</v>
      </c>
      <c r="V198" s="20">
        <f t="shared" ref="V198:V209" si="92">T198-U198</f>
        <v>994</v>
      </c>
      <c r="W198" s="20"/>
      <c r="X198" s="5"/>
      <c r="Y198" s="62">
        <v>2009</v>
      </c>
      <c r="Z198" s="63" t="s">
        <v>38</v>
      </c>
      <c r="AA198" s="35">
        <f t="shared" ref="AA198:AA261" si="93">AG198/AD198</f>
        <v>0.87103825136612023</v>
      </c>
      <c r="AB198" s="35">
        <f t="shared" ref="AB198:AB261" si="94">AG198/AF198</f>
        <v>0.88654060066740825</v>
      </c>
      <c r="AC198" s="35">
        <f t="shared" ref="AC198:AC261" si="95">AF198/AD198</f>
        <v>0.98251366120218575</v>
      </c>
      <c r="AD198" s="20">
        <v>915</v>
      </c>
      <c r="AE198" s="27">
        <f t="shared" ref="AE198:AE209" si="96">AD198-AF198</f>
        <v>16</v>
      </c>
      <c r="AF198" s="20">
        <v>899</v>
      </c>
      <c r="AG198" s="20">
        <v>797</v>
      </c>
      <c r="AH198" s="20">
        <f t="shared" ref="AH198:AH209" si="97">AF198-AG198</f>
        <v>102</v>
      </c>
      <c r="AI198" s="20"/>
      <c r="AJ198" s="5"/>
      <c r="AK198" s="62">
        <v>2009</v>
      </c>
      <c r="AL198" s="63" t="s">
        <v>38</v>
      </c>
      <c r="AM198" s="35">
        <f t="shared" ref="AM198:AM261" si="98">AS198/AP198</f>
        <v>0.77387914230019494</v>
      </c>
      <c r="AN198" s="35">
        <f t="shared" ref="AN198:AN261" si="99">AS198/AR198</f>
        <v>0.82194616977225676</v>
      </c>
      <c r="AO198" s="35">
        <f t="shared" ref="AO198:AO261" si="100">AR198/AP198</f>
        <v>0.94152046783625731</v>
      </c>
      <c r="AP198" s="20">
        <v>1026</v>
      </c>
      <c r="AQ198" s="27">
        <f t="shared" ref="AQ198:AQ209" si="101">AP198-AR198</f>
        <v>60</v>
      </c>
      <c r="AR198" s="20">
        <v>966</v>
      </c>
      <c r="AS198" s="20">
        <v>794</v>
      </c>
      <c r="AT198" s="20">
        <f t="shared" ref="AT198:AT209" si="102">AR198-AS198</f>
        <v>172</v>
      </c>
      <c r="AU198" s="29"/>
    </row>
    <row r="199" spans="1:47" s="3" customFormat="1" ht="12.75">
      <c r="A199" s="64">
        <v>2009</v>
      </c>
      <c r="B199" s="65" t="s">
        <v>39</v>
      </c>
      <c r="C199" s="35">
        <f t="shared" si="36"/>
        <v>0.8548420188756668</v>
      </c>
      <c r="D199" s="35">
        <f t="shared" si="37"/>
        <v>0.88545319307193715</v>
      </c>
      <c r="E199" s="35">
        <f t="shared" si="38"/>
        <v>0.96542880590890434</v>
      </c>
      <c r="F199" s="27">
        <f t="shared" si="71"/>
        <v>9748</v>
      </c>
      <c r="G199" s="20">
        <f t="shared" si="86"/>
        <v>337</v>
      </c>
      <c r="H199" s="27">
        <f t="shared" si="72"/>
        <v>9411</v>
      </c>
      <c r="I199" s="27">
        <f t="shared" si="73"/>
        <v>8333</v>
      </c>
      <c r="J199" s="20">
        <f t="shared" si="87"/>
        <v>1078</v>
      </c>
      <c r="K199" s="27"/>
      <c r="L199" s="4"/>
      <c r="M199" s="64">
        <v>2009</v>
      </c>
      <c r="N199" s="65" t="s">
        <v>39</v>
      </c>
      <c r="O199" s="35">
        <f t="shared" si="88"/>
        <v>0.85658817635270545</v>
      </c>
      <c r="P199" s="35">
        <f t="shared" si="89"/>
        <v>0.88922116759849179</v>
      </c>
      <c r="Q199" s="35">
        <f t="shared" si="90"/>
        <v>0.96330160320641278</v>
      </c>
      <c r="R199" s="20">
        <v>7984</v>
      </c>
      <c r="S199" s="27">
        <f t="shared" si="91"/>
        <v>293</v>
      </c>
      <c r="T199" s="20">
        <v>7691</v>
      </c>
      <c r="U199" s="20">
        <v>6839</v>
      </c>
      <c r="V199" s="20">
        <f t="shared" si="92"/>
        <v>852</v>
      </c>
      <c r="W199" s="20"/>
      <c r="X199" s="5"/>
      <c r="Y199" s="64">
        <v>2009</v>
      </c>
      <c r="Z199" s="65" t="s">
        <v>39</v>
      </c>
      <c r="AA199" s="35">
        <f t="shared" si="93"/>
        <v>0.86352657004830913</v>
      </c>
      <c r="AB199" s="35">
        <f t="shared" si="94"/>
        <v>0.88162762022194818</v>
      </c>
      <c r="AC199" s="35">
        <f t="shared" si="95"/>
        <v>0.97946859903381644</v>
      </c>
      <c r="AD199" s="20">
        <v>828</v>
      </c>
      <c r="AE199" s="27">
        <f t="shared" si="96"/>
        <v>17</v>
      </c>
      <c r="AF199" s="20">
        <v>811</v>
      </c>
      <c r="AG199" s="20">
        <v>715</v>
      </c>
      <c r="AH199" s="20">
        <f t="shared" si="97"/>
        <v>96</v>
      </c>
      <c r="AI199" s="20"/>
      <c r="AJ199" s="5"/>
      <c r="AK199" s="64">
        <v>2009</v>
      </c>
      <c r="AL199" s="65" t="s">
        <v>39</v>
      </c>
      <c r="AM199" s="35">
        <f t="shared" si="98"/>
        <v>0.83226495726495731</v>
      </c>
      <c r="AN199" s="35">
        <f t="shared" si="99"/>
        <v>0.85698569856985696</v>
      </c>
      <c r="AO199" s="35">
        <f t="shared" si="100"/>
        <v>0.97115384615384615</v>
      </c>
      <c r="AP199" s="20">
        <v>936</v>
      </c>
      <c r="AQ199" s="27">
        <f t="shared" si="101"/>
        <v>27</v>
      </c>
      <c r="AR199" s="20">
        <v>909</v>
      </c>
      <c r="AS199" s="20">
        <v>779</v>
      </c>
      <c r="AT199" s="20">
        <f t="shared" si="102"/>
        <v>130</v>
      </c>
      <c r="AU199" s="29"/>
    </row>
    <row r="200" spans="1:47" s="3" customFormat="1" ht="12.75">
      <c r="A200" s="62">
        <v>2009</v>
      </c>
      <c r="B200" s="63" t="s">
        <v>40</v>
      </c>
      <c r="C200" s="35">
        <f t="shared" si="36"/>
        <v>0.85733207190160832</v>
      </c>
      <c r="D200" s="35">
        <f t="shared" si="37"/>
        <v>0.8794642857142857</v>
      </c>
      <c r="E200" s="35">
        <f t="shared" si="38"/>
        <v>0.97483443708609274</v>
      </c>
      <c r="F200" s="27">
        <f t="shared" si="71"/>
        <v>10570</v>
      </c>
      <c r="G200" s="20">
        <f t="shared" si="86"/>
        <v>266</v>
      </c>
      <c r="H200" s="27">
        <f t="shared" si="72"/>
        <v>10304</v>
      </c>
      <c r="I200" s="27">
        <f t="shared" si="73"/>
        <v>9062</v>
      </c>
      <c r="J200" s="20">
        <f t="shared" si="87"/>
        <v>1242</v>
      </c>
      <c r="K200" s="27"/>
      <c r="L200" s="4"/>
      <c r="M200" s="62">
        <v>2009</v>
      </c>
      <c r="N200" s="63" t="s">
        <v>40</v>
      </c>
      <c r="O200" s="35">
        <f t="shared" si="88"/>
        <v>0.86707542804257287</v>
      </c>
      <c r="P200" s="35">
        <f t="shared" si="89"/>
        <v>0.88834893919639679</v>
      </c>
      <c r="Q200" s="35">
        <f t="shared" si="90"/>
        <v>0.97605275335492825</v>
      </c>
      <c r="R200" s="20">
        <v>8644</v>
      </c>
      <c r="S200" s="27">
        <f t="shared" si="91"/>
        <v>207</v>
      </c>
      <c r="T200" s="20">
        <v>8437</v>
      </c>
      <c r="U200" s="20">
        <v>7495</v>
      </c>
      <c r="V200" s="20">
        <f t="shared" si="92"/>
        <v>942</v>
      </c>
      <c r="W200" s="20"/>
      <c r="X200" s="5"/>
      <c r="Y200" s="62">
        <v>2009</v>
      </c>
      <c r="Z200" s="63" t="s">
        <v>40</v>
      </c>
      <c r="AA200" s="35">
        <f t="shared" si="93"/>
        <v>0.82679738562091498</v>
      </c>
      <c r="AB200" s="35">
        <f t="shared" si="94"/>
        <v>0.84615384615384615</v>
      </c>
      <c r="AC200" s="35">
        <f t="shared" si="95"/>
        <v>0.97712418300653592</v>
      </c>
      <c r="AD200" s="20">
        <v>918</v>
      </c>
      <c r="AE200" s="27">
        <f t="shared" si="96"/>
        <v>21</v>
      </c>
      <c r="AF200" s="20">
        <v>897</v>
      </c>
      <c r="AG200" s="20">
        <v>759</v>
      </c>
      <c r="AH200" s="20">
        <f t="shared" si="97"/>
        <v>138</v>
      </c>
      <c r="AI200" s="20"/>
      <c r="AJ200" s="5"/>
      <c r="AK200" s="62">
        <v>2009</v>
      </c>
      <c r="AL200" s="63" t="s">
        <v>40</v>
      </c>
      <c r="AM200" s="35">
        <f t="shared" si="98"/>
        <v>0.80158730158730163</v>
      </c>
      <c r="AN200" s="35">
        <f t="shared" si="99"/>
        <v>0.83298969072164952</v>
      </c>
      <c r="AO200" s="35">
        <f t="shared" si="100"/>
        <v>0.96230158730158732</v>
      </c>
      <c r="AP200" s="20">
        <v>1008</v>
      </c>
      <c r="AQ200" s="27">
        <f t="shared" si="101"/>
        <v>38</v>
      </c>
      <c r="AR200" s="20">
        <v>970</v>
      </c>
      <c r="AS200" s="20">
        <v>808</v>
      </c>
      <c r="AT200" s="20">
        <f t="shared" si="102"/>
        <v>162</v>
      </c>
      <c r="AU200" s="29"/>
    </row>
    <row r="201" spans="1:47" s="3" customFormat="1" ht="12.75">
      <c r="A201" s="64">
        <v>2009</v>
      </c>
      <c r="B201" s="65" t="s">
        <v>41</v>
      </c>
      <c r="C201" s="35">
        <f t="shared" si="36"/>
        <v>0.83663852346357748</v>
      </c>
      <c r="D201" s="35">
        <f t="shared" si="37"/>
        <v>0.87235131538540278</v>
      </c>
      <c r="E201" s="35">
        <f t="shared" si="38"/>
        <v>0.95906145690162969</v>
      </c>
      <c r="F201" s="27">
        <f t="shared" si="71"/>
        <v>10186</v>
      </c>
      <c r="G201" s="20">
        <f t="shared" si="86"/>
        <v>417</v>
      </c>
      <c r="H201" s="27">
        <f t="shared" si="72"/>
        <v>9769</v>
      </c>
      <c r="I201" s="27">
        <f t="shared" si="73"/>
        <v>8522</v>
      </c>
      <c r="J201" s="20">
        <f t="shared" si="87"/>
        <v>1247</v>
      </c>
      <c r="K201" s="27"/>
      <c r="L201" s="4"/>
      <c r="M201" s="64">
        <v>2009</v>
      </c>
      <c r="N201" s="65" t="s">
        <v>41</v>
      </c>
      <c r="O201" s="35">
        <f t="shared" si="88"/>
        <v>0.84170069661301949</v>
      </c>
      <c r="P201" s="35">
        <f t="shared" si="89"/>
        <v>0.87819548872180453</v>
      </c>
      <c r="Q201" s="35">
        <f t="shared" si="90"/>
        <v>0.95844343021859235</v>
      </c>
      <c r="R201" s="20">
        <v>8326</v>
      </c>
      <c r="S201" s="27">
        <f t="shared" si="91"/>
        <v>346</v>
      </c>
      <c r="T201" s="20">
        <v>7980</v>
      </c>
      <c r="U201" s="20">
        <v>7008</v>
      </c>
      <c r="V201" s="20">
        <f t="shared" si="92"/>
        <v>972</v>
      </c>
      <c r="W201" s="20"/>
      <c r="X201" s="5"/>
      <c r="Y201" s="64">
        <v>2009</v>
      </c>
      <c r="Z201" s="65" t="s">
        <v>41</v>
      </c>
      <c r="AA201" s="35">
        <f t="shared" si="93"/>
        <v>0.82319819819819817</v>
      </c>
      <c r="AB201" s="35">
        <f t="shared" si="94"/>
        <v>0.84119677790563863</v>
      </c>
      <c r="AC201" s="35">
        <f t="shared" si="95"/>
        <v>0.97860360360360366</v>
      </c>
      <c r="AD201" s="20">
        <v>888</v>
      </c>
      <c r="AE201" s="27">
        <f t="shared" si="96"/>
        <v>19</v>
      </c>
      <c r="AF201" s="20">
        <v>869</v>
      </c>
      <c r="AG201" s="20">
        <v>731</v>
      </c>
      <c r="AH201" s="20">
        <f t="shared" si="97"/>
        <v>138</v>
      </c>
      <c r="AI201" s="20"/>
      <c r="AJ201" s="5"/>
      <c r="AK201" s="64">
        <v>2009</v>
      </c>
      <c r="AL201" s="65" t="s">
        <v>41</v>
      </c>
      <c r="AM201" s="35">
        <f t="shared" si="98"/>
        <v>0.80555555555555558</v>
      </c>
      <c r="AN201" s="35">
        <f t="shared" si="99"/>
        <v>0.85108695652173916</v>
      </c>
      <c r="AO201" s="35">
        <f t="shared" si="100"/>
        <v>0.94650205761316875</v>
      </c>
      <c r="AP201" s="20">
        <v>972</v>
      </c>
      <c r="AQ201" s="27">
        <f t="shared" si="101"/>
        <v>52</v>
      </c>
      <c r="AR201" s="20">
        <v>920</v>
      </c>
      <c r="AS201" s="20">
        <v>783</v>
      </c>
      <c r="AT201" s="20">
        <f t="shared" si="102"/>
        <v>137</v>
      </c>
      <c r="AU201" s="29"/>
    </row>
    <row r="202" spans="1:47" s="3" customFormat="1" ht="12.75">
      <c r="A202" s="62">
        <v>2009</v>
      </c>
      <c r="B202" s="63" t="s">
        <v>42</v>
      </c>
      <c r="C202" s="35">
        <f t="shared" ref="C202:C265" si="103">I202/F202</f>
        <v>0.80162806473495496</v>
      </c>
      <c r="D202" s="35">
        <f t="shared" ref="D202:D265" si="104">I202/H202</f>
        <v>0.82333034736737332</v>
      </c>
      <c r="E202" s="35">
        <f t="shared" ref="E202:E265" si="105">H202/F202</f>
        <v>0.97364085667215816</v>
      </c>
      <c r="F202" s="27">
        <f t="shared" ref="F202:F233" si="106">+R202+AD202+AP202</f>
        <v>10319</v>
      </c>
      <c r="G202" s="20">
        <f t="shared" si="86"/>
        <v>272</v>
      </c>
      <c r="H202" s="27">
        <f t="shared" ref="H202:H233" si="107">+T202+AF202+AR202</f>
        <v>10047</v>
      </c>
      <c r="I202" s="27">
        <f t="shared" ref="I202:I233" si="108">+U202+AG202+AS202</f>
        <v>8272</v>
      </c>
      <c r="J202" s="20">
        <f t="shared" si="87"/>
        <v>1775</v>
      </c>
      <c r="K202" s="27"/>
      <c r="L202" s="4"/>
      <c r="M202" s="62">
        <v>2009</v>
      </c>
      <c r="N202" s="63" t="s">
        <v>42</v>
      </c>
      <c r="O202" s="35">
        <f t="shared" si="88"/>
        <v>0.80734490135488468</v>
      </c>
      <c r="P202" s="35">
        <f t="shared" si="89"/>
        <v>0.82952741482476489</v>
      </c>
      <c r="Q202" s="35">
        <f t="shared" si="90"/>
        <v>0.97325885429046832</v>
      </c>
      <c r="R202" s="20">
        <v>8414</v>
      </c>
      <c r="S202" s="27">
        <f t="shared" si="91"/>
        <v>225</v>
      </c>
      <c r="T202" s="20">
        <v>8189</v>
      </c>
      <c r="U202" s="20">
        <v>6793</v>
      </c>
      <c r="V202" s="20">
        <f t="shared" si="92"/>
        <v>1396</v>
      </c>
      <c r="W202" s="20"/>
      <c r="X202" s="5"/>
      <c r="Y202" s="62">
        <v>2009</v>
      </c>
      <c r="Z202" s="63" t="s">
        <v>42</v>
      </c>
      <c r="AA202" s="35">
        <f t="shared" si="93"/>
        <v>0.85136612021857927</v>
      </c>
      <c r="AB202" s="35">
        <f t="shared" si="94"/>
        <v>0.85698569856985696</v>
      </c>
      <c r="AC202" s="35">
        <f t="shared" si="95"/>
        <v>0.99344262295081964</v>
      </c>
      <c r="AD202" s="20">
        <v>915</v>
      </c>
      <c r="AE202" s="27">
        <f t="shared" si="96"/>
        <v>6</v>
      </c>
      <c r="AF202" s="20">
        <v>909</v>
      </c>
      <c r="AG202" s="20">
        <v>779</v>
      </c>
      <c r="AH202" s="20">
        <f t="shared" si="97"/>
        <v>130</v>
      </c>
      <c r="AI202" s="20"/>
      <c r="AJ202" s="5"/>
      <c r="AK202" s="62">
        <v>2009</v>
      </c>
      <c r="AL202" s="63" t="s">
        <v>42</v>
      </c>
      <c r="AM202" s="35">
        <f t="shared" si="98"/>
        <v>0.70707070707070707</v>
      </c>
      <c r="AN202" s="35">
        <f t="shared" si="99"/>
        <v>0.7376185458377239</v>
      </c>
      <c r="AO202" s="35">
        <f t="shared" si="100"/>
        <v>0.95858585858585854</v>
      </c>
      <c r="AP202" s="20">
        <v>990</v>
      </c>
      <c r="AQ202" s="27">
        <f t="shared" si="101"/>
        <v>41</v>
      </c>
      <c r="AR202" s="20">
        <v>949</v>
      </c>
      <c r="AS202" s="20">
        <v>700</v>
      </c>
      <c r="AT202" s="20">
        <f t="shared" si="102"/>
        <v>249</v>
      </c>
      <c r="AU202" s="29"/>
    </row>
    <row r="203" spans="1:47" s="3" customFormat="1" ht="12.75">
      <c r="A203" s="64">
        <v>2009</v>
      </c>
      <c r="B203" s="65" t="s">
        <v>43</v>
      </c>
      <c r="C203" s="35">
        <f t="shared" si="103"/>
        <v>0.85953048014684574</v>
      </c>
      <c r="D203" s="35">
        <f t="shared" si="104"/>
        <v>0.87845576619273302</v>
      </c>
      <c r="E203" s="35">
        <f t="shared" si="105"/>
        <v>0.9784561878079413</v>
      </c>
      <c r="F203" s="27">
        <f t="shared" si="106"/>
        <v>10351</v>
      </c>
      <c r="G203" s="20">
        <f t="shared" si="86"/>
        <v>223</v>
      </c>
      <c r="H203" s="27">
        <f t="shared" si="107"/>
        <v>10128</v>
      </c>
      <c r="I203" s="27">
        <f t="shared" si="108"/>
        <v>8897</v>
      </c>
      <c r="J203" s="20">
        <f t="shared" si="87"/>
        <v>1231</v>
      </c>
      <c r="K203" s="27"/>
      <c r="L203" s="4"/>
      <c r="M203" s="64">
        <v>2009</v>
      </c>
      <c r="N203" s="65" t="s">
        <v>43</v>
      </c>
      <c r="O203" s="35">
        <f t="shared" si="88"/>
        <v>0.86651717219402813</v>
      </c>
      <c r="P203" s="35">
        <f t="shared" si="89"/>
        <v>0.88564535585042214</v>
      </c>
      <c r="Q203" s="35">
        <f t="shared" si="90"/>
        <v>0.97840198276879498</v>
      </c>
      <c r="R203" s="20">
        <v>8473</v>
      </c>
      <c r="S203" s="27">
        <f t="shared" si="91"/>
        <v>183</v>
      </c>
      <c r="T203" s="20">
        <v>8290</v>
      </c>
      <c r="U203" s="20">
        <v>7342</v>
      </c>
      <c r="V203" s="20">
        <f t="shared" si="92"/>
        <v>948</v>
      </c>
      <c r="W203" s="20"/>
      <c r="X203" s="5"/>
      <c r="Y203" s="64">
        <v>2009</v>
      </c>
      <c r="Z203" s="65" t="s">
        <v>43</v>
      </c>
      <c r="AA203" s="35">
        <f t="shared" si="93"/>
        <v>0.87274774774774777</v>
      </c>
      <c r="AB203" s="35">
        <f t="shared" si="94"/>
        <v>0.88876146788990829</v>
      </c>
      <c r="AC203" s="35">
        <f t="shared" si="95"/>
        <v>0.98198198198198194</v>
      </c>
      <c r="AD203" s="20">
        <v>888</v>
      </c>
      <c r="AE203" s="27">
        <f t="shared" si="96"/>
        <v>16</v>
      </c>
      <c r="AF203" s="20">
        <v>872</v>
      </c>
      <c r="AG203" s="20">
        <v>775</v>
      </c>
      <c r="AH203" s="20">
        <f t="shared" si="97"/>
        <v>97</v>
      </c>
      <c r="AI203" s="20"/>
      <c r="AJ203" s="5"/>
      <c r="AK203" s="64">
        <v>2009</v>
      </c>
      <c r="AL203" s="65" t="s">
        <v>43</v>
      </c>
      <c r="AM203" s="35">
        <f t="shared" si="98"/>
        <v>0.78787878787878785</v>
      </c>
      <c r="AN203" s="35">
        <f t="shared" si="99"/>
        <v>0.80745341614906829</v>
      </c>
      <c r="AO203" s="35">
        <f t="shared" si="100"/>
        <v>0.97575757575757571</v>
      </c>
      <c r="AP203" s="20">
        <v>990</v>
      </c>
      <c r="AQ203" s="27">
        <f t="shared" si="101"/>
        <v>24</v>
      </c>
      <c r="AR203" s="20">
        <v>966</v>
      </c>
      <c r="AS203" s="20">
        <v>780</v>
      </c>
      <c r="AT203" s="20">
        <f t="shared" si="102"/>
        <v>186</v>
      </c>
      <c r="AU203" s="29"/>
    </row>
    <row r="204" spans="1:47" s="3" customFormat="1" ht="12.75">
      <c r="A204" s="62">
        <v>2009</v>
      </c>
      <c r="B204" s="63" t="s">
        <v>44</v>
      </c>
      <c r="C204" s="35">
        <f t="shared" si="103"/>
        <v>0.84036059723917744</v>
      </c>
      <c r="D204" s="35">
        <f t="shared" si="104"/>
        <v>0.87256240249609984</v>
      </c>
      <c r="E204" s="35">
        <f t="shared" si="105"/>
        <v>0.96309512630293925</v>
      </c>
      <c r="F204" s="27">
        <f t="shared" si="106"/>
        <v>10649</v>
      </c>
      <c r="G204" s="20">
        <f t="shared" si="86"/>
        <v>393</v>
      </c>
      <c r="H204" s="27">
        <f t="shared" si="107"/>
        <v>10256</v>
      </c>
      <c r="I204" s="27">
        <f t="shared" si="108"/>
        <v>8949</v>
      </c>
      <c r="J204" s="20">
        <f t="shared" si="87"/>
        <v>1307</v>
      </c>
      <c r="K204" s="27"/>
      <c r="L204" s="4"/>
      <c r="M204" s="62">
        <v>2009</v>
      </c>
      <c r="N204" s="63" t="s">
        <v>44</v>
      </c>
      <c r="O204" s="35">
        <f t="shared" si="88"/>
        <v>0.84221405604042265</v>
      </c>
      <c r="P204" s="35">
        <f t="shared" si="89"/>
        <v>0.87133182844243795</v>
      </c>
      <c r="Q204" s="35">
        <f t="shared" si="90"/>
        <v>0.96658245291685807</v>
      </c>
      <c r="R204" s="20">
        <v>8708</v>
      </c>
      <c r="S204" s="27">
        <f t="shared" si="91"/>
        <v>291</v>
      </c>
      <c r="T204" s="20">
        <v>8417</v>
      </c>
      <c r="U204" s="20">
        <v>7334</v>
      </c>
      <c r="V204" s="20">
        <f t="shared" si="92"/>
        <v>1083</v>
      </c>
      <c r="W204" s="20"/>
      <c r="X204" s="5"/>
      <c r="Y204" s="62">
        <v>2009</v>
      </c>
      <c r="Z204" s="63" t="s">
        <v>44</v>
      </c>
      <c r="AA204" s="35">
        <f t="shared" si="93"/>
        <v>0.88743169398907107</v>
      </c>
      <c r="AB204" s="35">
        <f t="shared" si="94"/>
        <v>0.89723756906077345</v>
      </c>
      <c r="AC204" s="35">
        <f t="shared" si="95"/>
        <v>0.98907103825136611</v>
      </c>
      <c r="AD204" s="20">
        <v>915</v>
      </c>
      <c r="AE204" s="27">
        <f t="shared" si="96"/>
        <v>10</v>
      </c>
      <c r="AF204" s="20">
        <v>905</v>
      </c>
      <c r="AG204" s="20">
        <v>812</v>
      </c>
      <c r="AH204" s="20">
        <f t="shared" si="97"/>
        <v>93</v>
      </c>
      <c r="AI204" s="20"/>
      <c r="AJ204" s="5"/>
      <c r="AK204" s="62">
        <v>2009</v>
      </c>
      <c r="AL204" s="63" t="s">
        <v>44</v>
      </c>
      <c r="AM204" s="35">
        <f t="shared" si="98"/>
        <v>0.78265107212475638</v>
      </c>
      <c r="AN204" s="35">
        <f t="shared" si="99"/>
        <v>0.85974304068522489</v>
      </c>
      <c r="AO204" s="35">
        <f t="shared" si="100"/>
        <v>0.91033138401559455</v>
      </c>
      <c r="AP204" s="20">
        <v>1026</v>
      </c>
      <c r="AQ204" s="27">
        <f t="shared" si="101"/>
        <v>92</v>
      </c>
      <c r="AR204" s="20">
        <v>934</v>
      </c>
      <c r="AS204" s="20">
        <v>803</v>
      </c>
      <c r="AT204" s="20">
        <f t="shared" si="102"/>
        <v>131</v>
      </c>
      <c r="AU204" s="29"/>
    </row>
    <row r="205" spans="1:47" s="3" customFormat="1" ht="12.75">
      <c r="A205" s="64">
        <v>2009</v>
      </c>
      <c r="B205" s="65" t="s">
        <v>45</v>
      </c>
      <c r="C205" s="35">
        <f t="shared" si="103"/>
        <v>0.88048454788248764</v>
      </c>
      <c r="D205" s="35">
        <f t="shared" si="104"/>
        <v>0.89404358353510893</v>
      </c>
      <c r="E205" s="35">
        <f t="shared" si="105"/>
        <v>0.98483403281190385</v>
      </c>
      <c r="F205" s="27">
        <f t="shared" si="106"/>
        <v>10484</v>
      </c>
      <c r="G205" s="20">
        <f t="shared" si="86"/>
        <v>159</v>
      </c>
      <c r="H205" s="27">
        <f t="shared" si="107"/>
        <v>10325</v>
      </c>
      <c r="I205" s="27">
        <f t="shared" si="108"/>
        <v>9231</v>
      </c>
      <c r="J205" s="20">
        <f t="shared" si="87"/>
        <v>1094</v>
      </c>
      <c r="K205" s="27"/>
      <c r="L205" s="4"/>
      <c r="M205" s="64">
        <v>2009</v>
      </c>
      <c r="N205" s="65" t="s">
        <v>45</v>
      </c>
      <c r="O205" s="35">
        <f t="shared" si="88"/>
        <v>0.89043336058871625</v>
      </c>
      <c r="P205" s="35">
        <f t="shared" si="89"/>
        <v>0.90287812388961275</v>
      </c>
      <c r="Q205" s="35">
        <f t="shared" si="90"/>
        <v>0.98621656348557407</v>
      </c>
      <c r="R205" s="20">
        <v>8561</v>
      </c>
      <c r="S205" s="27">
        <f t="shared" si="91"/>
        <v>118</v>
      </c>
      <c r="T205" s="20">
        <v>8443</v>
      </c>
      <c r="U205" s="20">
        <v>7623</v>
      </c>
      <c r="V205" s="20">
        <f t="shared" si="92"/>
        <v>820</v>
      </c>
      <c r="W205" s="20"/>
      <c r="X205" s="5"/>
      <c r="Y205" s="64">
        <v>2009</v>
      </c>
      <c r="Z205" s="65" t="s">
        <v>45</v>
      </c>
      <c r="AA205" s="35">
        <f t="shared" si="93"/>
        <v>0.84262295081967209</v>
      </c>
      <c r="AB205" s="35">
        <f t="shared" si="94"/>
        <v>0.86145251396648048</v>
      </c>
      <c r="AC205" s="35">
        <f t="shared" si="95"/>
        <v>0.97814207650273222</v>
      </c>
      <c r="AD205" s="20">
        <v>915</v>
      </c>
      <c r="AE205" s="27">
        <f t="shared" si="96"/>
        <v>20</v>
      </c>
      <c r="AF205" s="20">
        <v>895</v>
      </c>
      <c r="AG205" s="20">
        <v>771</v>
      </c>
      <c r="AH205" s="20">
        <f t="shared" si="97"/>
        <v>124</v>
      </c>
      <c r="AI205" s="20"/>
      <c r="AJ205" s="5"/>
      <c r="AK205" s="64">
        <v>2009</v>
      </c>
      <c r="AL205" s="65" t="s">
        <v>45</v>
      </c>
      <c r="AM205" s="35">
        <f t="shared" si="98"/>
        <v>0.8303571428571429</v>
      </c>
      <c r="AN205" s="35">
        <f t="shared" si="99"/>
        <v>0.84802431610942253</v>
      </c>
      <c r="AO205" s="35">
        <f t="shared" si="100"/>
        <v>0.97916666666666663</v>
      </c>
      <c r="AP205" s="20">
        <v>1008</v>
      </c>
      <c r="AQ205" s="27">
        <f t="shared" si="101"/>
        <v>21</v>
      </c>
      <c r="AR205" s="20">
        <v>987</v>
      </c>
      <c r="AS205" s="20">
        <v>837</v>
      </c>
      <c r="AT205" s="20">
        <f t="shared" si="102"/>
        <v>150</v>
      </c>
      <c r="AU205" s="29"/>
    </row>
    <row r="206" spans="1:47" s="3" customFormat="1" ht="12.75">
      <c r="A206" s="62">
        <v>2009</v>
      </c>
      <c r="B206" s="63" t="s">
        <v>46</v>
      </c>
      <c r="C206" s="35">
        <f t="shared" si="103"/>
        <v>0.82036896158235073</v>
      </c>
      <c r="D206" s="35">
        <f t="shared" si="104"/>
        <v>0.84495592556317334</v>
      </c>
      <c r="E206" s="35">
        <f t="shared" si="105"/>
        <v>0.97090148345378469</v>
      </c>
      <c r="F206" s="27">
        <f t="shared" si="106"/>
        <v>10516</v>
      </c>
      <c r="G206" s="20">
        <f t="shared" si="86"/>
        <v>306</v>
      </c>
      <c r="H206" s="27">
        <f t="shared" si="107"/>
        <v>10210</v>
      </c>
      <c r="I206" s="27">
        <f t="shared" si="108"/>
        <v>8627</v>
      </c>
      <c r="J206" s="20">
        <f t="shared" si="87"/>
        <v>1583</v>
      </c>
      <c r="K206" s="27"/>
      <c r="L206" s="4"/>
      <c r="M206" s="62">
        <v>2009</v>
      </c>
      <c r="N206" s="63" t="s">
        <v>46</v>
      </c>
      <c r="O206" s="35">
        <f t="shared" si="88"/>
        <v>0.82122969837587012</v>
      </c>
      <c r="P206" s="35">
        <f t="shared" si="89"/>
        <v>0.84495106230603967</v>
      </c>
      <c r="Q206" s="35">
        <f t="shared" si="90"/>
        <v>0.97192575406032478</v>
      </c>
      <c r="R206" s="20">
        <v>8620</v>
      </c>
      <c r="S206" s="27">
        <f t="shared" si="91"/>
        <v>242</v>
      </c>
      <c r="T206" s="20">
        <v>8378</v>
      </c>
      <c r="U206" s="20">
        <v>7079</v>
      </c>
      <c r="V206" s="20">
        <f t="shared" si="92"/>
        <v>1299</v>
      </c>
      <c r="W206" s="20"/>
      <c r="X206" s="5"/>
      <c r="Y206" s="62">
        <v>2009</v>
      </c>
      <c r="Z206" s="63" t="s">
        <v>46</v>
      </c>
      <c r="AA206" s="35">
        <f t="shared" si="93"/>
        <v>0.87274774774774777</v>
      </c>
      <c r="AB206" s="35">
        <f t="shared" si="94"/>
        <v>0.89080459770114939</v>
      </c>
      <c r="AC206" s="35">
        <f t="shared" si="95"/>
        <v>0.97972972972972971</v>
      </c>
      <c r="AD206" s="20">
        <v>888</v>
      </c>
      <c r="AE206" s="27">
        <f t="shared" si="96"/>
        <v>18</v>
      </c>
      <c r="AF206" s="20">
        <v>870</v>
      </c>
      <c r="AG206" s="20">
        <v>775</v>
      </c>
      <c r="AH206" s="20">
        <f t="shared" si="97"/>
        <v>95</v>
      </c>
      <c r="AI206" s="20"/>
      <c r="AJ206" s="5"/>
      <c r="AK206" s="62">
        <v>2009</v>
      </c>
      <c r="AL206" s="63" t="s">
        <v>46</v>
      </c>
      <c r="AM206" s="35">
        <f t="shared" si="98"/>
        <v>0.76686507936507942</v>
      </c>
      <c r="AN206" s="35">
        <f t="shared" si="99"/>
        <v>0.80353430353430355</v>
      </c>
      <c r="AO206" s="35">
        <f t="shared" si="100"/>
        <v>0.95436507936507942</v>
      </c>
      <c r="AP206" s="20">
        <v>1008</v>
      </c>
      <c r="AQ206" s="27">
        <f t="shared" si="101"/>
        <v>46</v>
      </c>
      <c r="AR206" s="20">
        <v>962</v>
      </c>
      <c r="AS206" s="20">
        <v>773</v>
      </c>
      <c r="AT206" s="20">
        <f t="shared" si="102"/>
        <v>189</v>
      </c>
      <c r="AU206" s="29"/>
    </row>
    <row r="207" spans="1:47" s="3" customFormat="1" ht="12.75">
      <c r="A207" s="64">
        <v>2009</v>
      </c>
      <c r="B207" s="65" t="s">
        <v>47</v>
      </c>
      <c r="C207" s="35">
        <f t="shared" si="103"/>
        <v>0.84768522865996809</v>
      </c>
      <c r="D207" s="35">
        <f t="shared" si="104"/>
        <v>0.86931818181818177</v>
      </c>
      <c r="E207" s="35">
        <f t="shared" si="105"/>
        <v>0.97511503427551882</v>
      </c>
      <c r="F207" s="27">
        <f t="shared" si="106"/>
        <v>10649</v>
      </c>
      <c r="G207" s="20">
        <f t="shared" si="86"/>
        <v>265</v>
      </c>
      <c r="H207" s="27">
        <f t="shared" si="107"/>
        <v>10384</v>
      </c>
      <c r="I207" s="27">
        <f t="shared" si="108"/>
        <v>9027</v>
      </c>
      <c r="J207" s="20">
        <f t="shared" si="87"/>
        <v>1357</v>
      </c>
      <c r="K207" s="27"/>
      <c r="L207" s="4"/>
      <c r="M207" s="64">
        <v>2009</v>
      </c>
      <c r="N207" s="65" t="s">
        <v>47</v>
      </c>
      <c r="O207" s="35">
        <f t="shared" si="88"/>
        <v>0.85679834634818552</v>
      </c>
      <c r="P207" s="35">
        <f t="shared" si="89"/>
        <v>0.87952375338913125</v>
      </c>
      <c r="Q207" s="35">
        <f t="shared" si="90"/>
        <v>0.97416169039963252</v>
      </c>
      <c r="R207" s="20">
        <v>8708</v>
      </c>
      <c r="S207" s="27">
        <f t="shared" si="91"/>
        <v>225</v>
      </c>
      <c r="T207" s="20">
        <v>8483</v>
      </c>
      <c r="U207" s="20">
        <v>7461</v>
      </c>
      <c r="V207" s="20">
        <f t="shared" si="92"/>
        <v>1022</v>
      </c>
      <c r="W207" s="20"/>
      <c r="X207" s="5"/>
      <c r="Y207" s="64">
        <v>2009</v>
      </c>
      <c r="Z207" s="65" t="s">
        <v>47</v>
      </c>
      <c r="AA207" s="35">
        <f t="shared" si="93"/>
        <v>0.83606557377049184</v>
      </c>
      <c r="AB207" s="35">
        <f t="shared" si="94"/>
        <v>0.85570469798657722</v>
      </c>
      <c r="AC207" s="35">
        <f t="shared" si="95"/>
        <v>0.9770491803278688</v>
      </c>
      <c r="AD207" s="20">
        <v>915</v>
      </c>
      <c r="AE207" s="27">
        <f t="shared" si="96"/>
        <v>21</v>
      </c>
      <c r="AF207" s="20">
        <v>894</v>
      </c>
      <c r="AG207" s="20">
        <v>765</v>
      </c>
      <c r="AH207" s="20">
        <f t="shared" si="97"/>
        <v>129</v>
      </c>
      <c r="AI207" s="20"/>
      <c r="AJ207" s="5"/>
      <c r="AK207" s="64">
        <v>2009</v>
      </c>
      <c r="AL207" s="65" t="s">
        <v>47</v>
      </c>
      <c r="AM207" s="35">
        <f t="shared" si="98"/>
        <v>0.7807017543859649</v>
      </c>
      <c r="AN207" s="35">
        <f t="shared" si="99"/>
        <v>0.79543197616683214</v>
      </c>
      <c r="AO207" s="35">
        <f t="shared" si="100"/>
        <v>0.98148148148148151</v>
      </c>
      <c r="AP207" s="20">
        <v>1026</v>
      </c>
      <c r="AQ207" s="27">
        <f t="shared" si="101"/>
        <v>19</v>
      </c>
      <c r="AR207" s="20">
        <v>1007</v>
      </c>
      <c r="AS207" s="20">
        <v>801</v>
      </c>
      <c r="AT207" s="20">
        <f t="shared" si="102"/>
        <v>206</v>
      </c>
      <c r="AU207" s="29"/>
    </row>
    <row r="208" spans="1:47" s="3" customFormat="1" ht="12.75">
      <c r="A208" s="62">
        <v>2009</v>
      </c>
      <c r="B208" s="63" t="s">
        <v>48</v>
      </c>
      <c r="C208" s="35">
        <f t="shared" si="103"/>
        <v>0.82687663027726788</v>
      </c>
      <c r="D208" s="35">
        <f t="shared" si="104"/>
        <v>0.85830324909747291</v>
      </c>
      <c r="E208" s="35">
        <f t="shared" si="105"/>
        <v>0.96338518017582842</v>
      </c>
      <c r="F208" s="27">
        <f t="shared" si="106"/>
        <v>10351</v>
      </c>
      <c r="G208" s="20">
        <f t="shared" si="86"/>
        <v>379</v>
      </c>
      <c r="H208" s="27">
        <f t="shared" si="107"/>
        <v>9972</v>
      </c>
      <c r="I208" s="27">
        <f t="shared" si="108"/>
        <v>8559</v>
      </c>
      <c r="J208" s="20">
        <f t="shared" si="87"/>
        <v>1413</v>
      </c>
      <c r="K208" s="27"/>
      <c r="L208" s="4"/>
      <c r="M208" s="62">
        <v>2009</v>
      </c>
      <c r="N208" s="63" t="s">
        <v>48</v>
      </c>
      <c r="O208" s="35">
        <f t="shared" si="88"/>
        <v>0.85023014280656206</v>
      </c>
      <c r="P208" s="35">
        <f t="shared" si="89"/>
        <v>0.88122324159021403</v>
      </c>
      <c r="Q208" s="35">
        <f t="shared" si="90"/>
        <v>0.96482945827923994</v>
      </c>
      <c r="R208" s="20">
        <v>8473</v>
      </c>
      <c r="S208" s="27">
        <f t="shared" si="91"/>
        <v>298</v>
      </c>
      <c r="T208" s="20">
        <v>8175</v>
      </c>
      <c r="U208" s="20">
        <v>7204</v>
      </c>
      <c r="V208" s="20">
        <f t="shared" si="92"/>
        <v>971</v>
      </c>
      <c r="W208" s="20"/>
      <c r="X208" s="5"/>
      <c r="Y208" s="62">
        <v>2009</v>
      </c>
      <c r="Z208" s="63" t="s">
        <v>48</v>
      </c>
      <c r="AA208" s="35">
        <f t="shared" si="93"/>
        <v>0.79391891891891897</v>
      </c>
      <c r="AB208" s="35">
        <f t="shared" si="94"/>
        <v>0.82072176949941789</v>
      </c>
      <c r="AC208" s="35">
        <f t="shared" si="95"/>
        <v>0.96734234234234229</v>
      </c>
      <c r="AD208" s="20">
        <v>888</v>
      </c>
      <c r="AE208" s="27">
        <f t="shared" si="96"/>
        <v>29</v>
      </c>
      <c r="AF208" s="20">
        <v>859</v>
      </c>
      <c r="AG208" s="20">
        <v>705</v>
      </c>
      <c r="AH208" s="20">
        <f t="shared" si="97"/>
        <v>154</v>
      </c>
      <c r="AI208" s="20"/>
      <c r="AJ208" s="5"/>
      <c r="AK208" s="62">
        <v>2009</v>
      </c>
      <c r="AL208" s="63" t="s">
        <v>48</v>
      </c>
      <c r="AM208" s="35">
        <f t="shared" si="98"/>
        <v>0.65656565656565657</v>
      </c>
      <c r="AN208" s="35">
        <f t="shared" si="99"/>
        <v>0.69296375266524524</v>
      </c>
      <c r="AO208" s="35">
        <f t="shared" si="100"/>
        <v>0.94747474747474747</v>
      </c>
      <c r="AP208" s="20">
        <v>990</v>
      </c>
      <c r="AQ208" s="27">
        <f t="shared" si="101"/>
        <v>52</v>
      </c>
      <c r="AR208" s="20">
        <v>938</v>
      </c>
      <c r="AS208" s="20">
        <v>650</v>
      </c>
      <c r="AT208" s="20">
        <f t="shared" si="102"/>
        <v>288</v>
      </c>
      <c r="AU208" s="29"/>
    </row>
    <row r="209" spans="1:47" s="3" customFormat="1" ht="12.75">
      <c r="A209" s="64">
        <v>2009</v>
      </c>
      <c r="B209" s="65" t="s">
        <v>49</v>
      </c>
      <c r="C209" s="35">
        <f t="shared" si="103"/>
        <v>0.81816461684011355</v>
      </c>
      <c r="D209" s="35">
        <f t="shared" si="104"/>
        <v>0.84519155590304929</v>
      </c>
      <c r="E209" s="35">
        <f t="shared" si="105"/>
        <v>0.9680227057710501</v>
      </c>
      <c r="F209" s="27">
        <f t="shared" si="106"/>
        <v>10570</v>
      </c>
      <c r="G209" s="20">
        <f t="shared" si="86"/>
        <v>338</v>
      </c>
      <c r="H209" s="27">
        <f t="shared" si="107"/>
        <v>10232</v>
      </c>
      <c r="I209" s="27">
        <f t="shared" si="108"/>
        <v>8648</v>
      </c>
      <c r="J209" s="20">
        <f t="shared" si="87"/>
        <v>1584</v>
      </c>
      <c r="K209" s="27"/>
      <c r="L209" s="10"/>
      <c r="M209" s="64">
        <v>2009</v>
      </c>
      <c r="N209" s="65" t="s">
        <v>49</v>
      </c>
      <c r="O209" s="35">
        <f t="shared" si="88"/>
        <v>0.83248496066635813</v>
      </c>
      <c r="P209" s="35">
        <f t="shared" si="89"/>
        <v>0.85687068349607054</v>
      </c>
      <c r="Q209" s="35">
        <f t="shared" si="90"/>
        <v>0.97154095326237855</v>
      </c>
      <c r="R209" s="20">
        <v>8644</v>
      </c>
      <c r="S209" s="27">
        <f t="shared" si="91"/>
        <v>246</v>
      </c>
      <c r="T209" s="20">
        <v>8398</v>
      </c>
      <c r="U209" s="20">
        <v>7196</v>
      </c>
      <c r="V209" s="20">
        <f t="shared" si="92"/>
        <v>1202</v>
      </c>
      <c r="W209" s="20"/>
      <c r="X209" s="5"/>
      <c r="Y209" s="64">
        <v>2009</v>
      </c>
      <c r="Z209" s="65" t="s">
        <v>49</v>
      </c>
      <c r="AA209" s="35">
        <f t="shared" si="93"/>
        <v>0.80283224400871456</v>
      </c>
      <c r="AB209" s="35">
        <f t="shared" si="94"/>
        <v>0.82808988764044944</v>
      </c>
      <c r="AC209" s="35">
        <f t="shared" si="95"/>
        <v>0.9694989106753813</v>
      </c>
      <c r="AD209" s="20">
        <v>918</v>
      </c>
      <c r="AE209" s="27">
        <f t="shared" si="96"/>
        <v>28</v>
      </c>
      <c r="AF209" s="20">
        <v>890</v>
      </c>
      <c r="AG209" s="20">
        <v>737</v>
      </c>
      <c r="AH209" s="20">
        <f t="shared" si="97"/>
        <v>153</v>
      </c>
      <c r="AI209" s="20"/>
      <c r="AJ209" s="5"/>
      <c r="AK209" s="64">
        <v>2009</v>
      </c>
      <c r="AL209" s="65" t="s">
        <v>49</v>
      </c>
      <c r="AM209" s="35">
        <f t="shared" si="98"/>
        <v>0.70932539682539686</v>
      </c>
      <c r="AN209" s="35">
        <f t="shared" si="99"/>
        <v>0.75741525423728817</v>
      </c>
      <c r="AO209" s="35">
        <f t="shared" si="100"/>
        <v>0.93650793650793651</v>
      </c>
      <c r="AP209" s="20">
        <v>1008</v>
      </c>
      <c r="AQ209" s="27">
        <f t="shared" si="101"/>
        <v>64</v>
      </c>
      <c r="AR209" s="20">
        <v>944</v>
      </c>
      <c r="AS209" s="20">
        <v>715</v>
      </c>
      <c r="AT209" s="20">
        <f t="shared" si="102"/>
        <v>229</v>
      </c>
      <c r="AU209" s="29"/>
    </row>
    <row r="210" spans="1:47" s="3" customFormat="1" ht="12.75">
      <c r="A210" s="62">
        <v>2010</v>
      </c>
      <c r="B210" s="63" t="s">
        <v>38</v>
      </c>
      <c r="C210" s="35">
        <f t="shared" si="103"/>
        <v>0.84853109500190771</v>
      </c>
      <c r="D210" s="35">
        <f t="shared" si="104"/>
        <v>0.88738154613466336</v>
      </c>
      <c r="E210" s="35">
        <f t="shared" si="105"/>
        <v>0.95621900038153373</v>
      </c>
      <c r="F210" s="27">
        <f t="shared" si="106"/>
        <v>10484</v>
      </c>
      <c r="G210" s="20">
        <f t="shared" si="86"/>
        <v>459</v>
      </c>
      <c r="H210" s="27">
        <f t="shared" si="107"/>
        <v>10025</v>
      </c>
      <c r="I210" s="27">
        <f t="shared" si="108"/>
        <v>8896</v>
      </c>
      <c r="J210" s="20">
        <f t="shared" si="87"/>
        <v>1129</v>
      </c>
      <c r="K210" s="27"/>
      <c r="L210" s="4"/>
      <c r="M210" s="62">
        <v>2010</v>
      </c>
      <c r="N210" s="63" t="s">
        <v>38</v>
      </c>
      <c r="O210" s="35">
        <f t="shared" si="88"/>
        <v>0.86438500175213173</v>
      </c>
      <c r="P210" s="35">
        <f t="shared" si="89"/>
        <v>0.90265918516711396</v>
      </c>
      <c r="Q210" s="35">
        <f t="shared" si="90"/>
        <v>0.95759841140053736</v>
      </c>
      <c r="R210" s="20">
        <v>8561</v>
      </c>
      <c r="S210" s="27">
        <f t="shared" ref="S210:S221" si="109">R210-T210</f>
        <v>363</v>
      </c>
      <c r="T210" s="20">
        <v>8198</v>
      </c>
      <c r="U210" s="20">
        <v>7400</v>
      </c>
      <c r="V210" s="20">
        <f t="shared" ref="V210:V221" si="110">T210-U210</f>
        <v>798</v>
      </c>
      <c r="W210" s="20"/>
      <c r="X210" s="5"/>
      <c r="Y210" s="62">
        <v>2010</v>
      </c>
      <c r="Z210" s="63" t="s">
        <v>38</v>
      </c>
      <c r="AA210" s="35">
        <f t="shared" si="93"/>
        <v>0.81420765027322406</v>
      </c>
      <c r="AB210" s="35">
        <f t="shared" si="94"/>
        <v>0.84851936218678814</v>
      </c>
      <c r="AC210" s="35">
        <f t="shared" si="95"/>
        <v>0.95956284153005467</v>
      </c>
      <c r="AD210" s="20">
        <v>915</v>
      </c>
      <c r="AE210" s="27">
        <f t="shared" ref="AE210:AE221" si="111">AD210-AF210</f>
        <v>37</v>
      </c>
      <c r="AF210" s="20">
        <v>878</v>
      </c>
      <c r="AG210" s="20">
        <v>745</v>
      </c>
      <c r="AH210" s="20">
        <f t="shared" ref="AH210:AH221" si="112">AF210-AG210</f>
        <v>133</v>
      </c>
      <c r="AI210" s="20"/>
      <c r="AJ210" s="5"/>
      <c r="AK210" s="62">
        <v>2010</v>
      </c>
      <c r="AL210" s="63" t="s">
        <v>38</v>
      </c>
      <c r="AM210" s="35">
        <f t="shared" si="98"/>
        <v>0.74503968253968256</v>
      </c>
      <c r="AN210" s="35">
        <f t="shared" si="99"/>
        <v>0.79135932560590094</v>
      </c>
      <c r="AO210" s="35">
        <f t="shared" si="100"/>
        <v>0.94146825396825395</v>
      </c>
      <c r="AP210" s="20">
        <v>1008</v>
      </c>
      <c r="AQ210" s="27">
        <f t="shared" ref="AQ210:AQ221" si="113">AP210-AR210</f>
        <v>59</v>
      </c>
      <c r="AR210" s="20">
        <v>949</v>
      </c>
      <c r="AS210" s="20">
        <v>751</v>
      </c>
      <c r="AT210" s="20">
        <f t="shared" ref="AT210:AT221" si="114">AR210-AS210</f>
        <v>198</v>
      </c>
      <c r="AU210" s="29"/>
    </row>
    <row r="211" spans="1:47" s="3" customFormat="1" ht="12.75">
      <c r="A211" s="64">
        <v>2010</v>
      </c>
      <c r="B211" s="65" t="s">
        <v>39</v>
      </c>
      <c r="C211" s="35">
        <f t="shared" si="103"/>
        <v>0.84181370537546163</v>
      </c>
      <c r="D211" s="35">
        <f t="shared" si="104"/>
        <v>0.88742294798312971</v>
      </c>
      <c r="E211" s="35">
        <f t="shared" si="105"/>
        <v>0.94860484201887563</v>
      </c>
      <c r="F211" s="27">
        <f t="shared" si="106"/>
        <v>9748</v>
      </c>
      <c r="G211" s="20">
        <f t="shared" si="86"/>
        <v>501</v>
      </c>
      <c r="H211" s="27">
        <f t="shared" si="107"/>
        <v>9247</v>
      </c>
      <c r="I211" s="27">
        <f t="shared" si="108"/>
        <v>8206</v>
      </c>
      <c r="J211" s="20">
        <f t="shared" si="87"/>
        <v>1041</v>
      </c>
      <c r="K211" s="27"/>
      <c r="L211" s="4"/>
      <c r="M211" s="64">
        <v>2010</v>
      </c>
      <c r="N211" s="65" t="s">
        <v>39</v>
      </c>
      <c r="O211" s="35">
        <f t="shared" si="88"/>
        <v>0.85721442885771548</v>
      </c>
      <c r="P211" s="35">
        <f t="shared" si="89"/>
        <v>0.9040951122853369</v>
      </c>
      <c r="Q211" s="35">
        <f t="shared" si="90"/>
        <v>0.94814629258517036</v>
      </c>
      <c r="R211" s="20">
        <v>7984</v>
      </c>
      <c r="S211" s="27">
        <f t="shared" si="109"/>
        <v>414</v>
      </c>
      <c r="T211" s="20">
        <v>7570</v>
      </c>
      <c r="U211" s="20">
        <v>6844</v>
      </c>
      <c r="V211" s="20">
        <f t="shared" si="110"/>
        <v>726</v>
      </c>
      <c r="W211" s="20"/>
      <c r="X211" s="5"/>
      <c r="Y211" s="64">
        <v>2010</v>
      </c>
      <c r="Z211" s="65" t="s">
        <v>39</v>
      </c>
      <c r="AA211" s="35">
        <f t="shared" si="93"/>
        <v>0.83574879227053145</v>
      </c>
      <c r="AB211" s="35">
        <f t="shared" si="94"/>
        <v>0.8759493670886076</v>
      </c>
      <c r="AC211" s="35">
        <f t="shared" si="95"/>
        <v>0.95410628019323673</v>
      </c>
      <c r="AD211" s="20">
        <v>828</v>
      </c>
      <c r="AE211" s="27">
        <f t="shared" si="111"/>
        <v>38</v>
      </c>
      <c r="AF211" s="20">
        <v>790</v>
      </c>
      <c r="AG211" s="20">
        <v>692</v>
      </c>
      <c r="AH211" s="20">
        <f t="shared" si="112"/>
        <v>98</v>
      </c>
      <c r="AI211" s="20"/>
      <c r="AJ211" s="5"/>
      <c r="AK211" s="64">
        <v>2010</v>
      </c>
      <c r="AL211" s="65" t="s">
        <v>39</v>
      </c>
      <c r="AM211" s="35">
        <f t="shared" si="98"/>
        <v>0.71581196581196582</v>
      </c>
      <c r="AN211" s="35">
        <f t="shared" si="99"/>
        <v>0.75535512965050733</v>
      </c>
      <c r="AO211" s="35">
        <f t="shared" si="100"/>
        <v>0.94764957264957261</v>
      </c>
      <c r="AP211" s="20">
        <v>936</v>
      </c>
      <c r="AQ211" s="27">
        <f t="shared" si="113"/>
        <v>49</v>
      </c>
      <c r="AR211" s="20">
        <v>887</v>
      </c>
      <c r="AS211" s="20">
        <v>670</v>
      </c>
      <c r="AT211" s="20">
        <f t="shared" si="114"/>
        <v>217</v>
      </c>
      <c r="AU211" s="29"/>
    </row>
    <row r="212" spans="1:47" s="3" customFormat="1" ht="12.75">
      <c r="A212" s="62">
        <v>2010</v>
      </c>
      <c r="B212" s="63" t="s">
        <v>40</v>
      </c>
      <c r="C212" s="35">
        <f t="shared" si="103"/>
        <v>0.76180717279925481</v>
      </c>
      <c r="D212" s="35">
        <f t="shared" si="104"/>
        <v>0.79972618814785845</v>
      </c>
      <c r="E212" s="35">
        <f t="shared" si="105"/>
        <v>0.95258500232883092</v>
      </c>
      <c r="F212" s="27">
        <f t="shared" si="106"/>
        <v>10735</v>
      </c>
      <c r="G212" s="20">
        <f t="shared" si="86"/>
        <v>509</v>
      </c>
      <c r="H212" s="27">
        <f t="shared" si="107"/>
        <v>10226</v>
      </c>
      <c r="I212" s="27">
        <f t="shared" si="108"/>
        <v>8178</v>
      </c>
      <c r="J212" s="20">
        <f t="shared" si="87"/>
        <v>2048</v>
      </c>
      <c r="K212" s="27"/>
      <c r="L212" s="4"/>
      <c r="M212" s="62">
        <v>2010</v>
      </c>
      <c r="N212" s="63" t="s">
        <v>40</v>
      </c>
      <c r="O212" s="35">
        <f t="shared" si="88"/>
        <v>0.76362188601979297</v>
      </c>
      <c r="P212" s="35">
        <f t="shared" si="89"/>
        <v>0.80231863272379589</v>
      </c>
      <c r="Q212" s="35">
        <f t="shared" si="90"/>
        <v>0.95176885451029458</v>
      </c>
      <c r="R212" s="20">
        <v>8791</v>
      </c>
      <c r="S212" s="27">
        <f t="shared" si="109"/>
        <v>424</v>
      </c>
      <c r="T212" s="20">
        <v>8367</v>
      </c>
      <c r="U212" s="20">
        <v>6713</v>
      </c>
      <c r="V212" s="20">
        <f t="shared" si="110"/>
        <v>1654</v>
      </c>
      <c r="W212" s="20"/>
      <c r="X212" s="5"/>
      <c r="Y212" s="62">
        <v>2010</v>
      </c>
      <c r="Z212" s="63" t="s">
        <v>40</v>
      </c>
      <c r="AA212" s="35">
        <f t="shared" si="93"/>
        <v>0.80392156862745101</v>
      </c>
      <c r="AB212" s="35">
        <f t="shared" si="94"/>
        <v>0.83578708946772362</v>
      </c>
      <c r="AC212" s="35">
        <f t="shared" si="95"/>
        <v>0.96187363834422657</v>
      </c>
      <c r="AD212" s="20">
        <v>918</v>
      </c>
      <c r="AE212" s="27">
        <f t="shared" si="111"/>
        <v>35</v>
      </c>
      <c r="AF212" s="20">
        <v>883</v>
      </c>
      <c r="AG212" s="20">
        <v>738</v>
      </c>
      <c r="AH212" s="20">
        <f t="shared" si="112"/>
        <v>145</v>
      </c>
      <c r="AI212" s="20"/>
      <c r="AJ212" s="5"/>
      <c r="AK212" s="62">
        <v>2010</v>
      </c>
      <c r="AL212" s="63" t="s">
        <v>40</v>
      </c>
      <c r="AM212" s="35">
        <f t="shared" si="98"/>
        <v>0.70857699805068231</v>
      </c>
      <c r="AN212" s="35">
        <f t="shared" si="99"/>
        <v>0.74487704918032782</v>
      </c>
      <c r="AO212" s="35">
        <f t="shared" si="100"/>
        <v>0.95126705653021437</v>
      </c>
      <c r="AP212" s="20">
        <v>1026</v>
      </c>
      <c r="AQ212" s="27">
        <f t="shared" si="113"/>
        <v>50</v>
      </c>
      <c r="AR212" s="20">
        <v>976</v>
      </c>
      <c r="AS212" s="20">
        <v>727</v>
      </c>
      <c r="AT212" s="20">
        <f t="shared" si="114"/>
        <v>249</v>
      </c>
      <c r="AU212" s="29"/>
    </row>
    <row r="213" spans="1:47" s="3" customFormat="1" ht="12.75">
      <c r="A213" s="64">
        <v>2010</v>
      </c>
      <c r="B213" s="65" t="s">
        <v>41</v>
      </c>
      <c r="C213" s="35">
        <f t="shared" si="103"/>
        <v>0.70408656168486139</v>
      </c>
      <c r="D213" s="35">
        <f t="shared" si="104"/>
        <v>0.7479474548440066</v>
      </c>
      <c r="E213" s="35">
        <f t="shared" si="105"/>
        <v>0.94135832286735577</v>
      </c>
      <c r="F213" s="27">
        <f t="shared" si="106"/>
        <v>10351</v>
      </c>
      <c r="G213" s="20">
        <f t="shared" si="86"/>
        <v>607</v>
      </c>
      <c r="H213" s="27">
        <f t="shared" si="107"/>
        <v>9744</v>
      </c>
      <c r="I213" s="27">
        <f t="shared" si="108"/>
        <v>7288</v>
      </c>
      <c r="J213" s="20">
        <f t="shared" si="87"/>
        <v>2456</v>
      </c>
      <c r="K213" s="27"/>
      <c r="L213" s="4"/>
      <c r="M213" s="64">
        <v>2010</v>
      </c>
      <c r="N213" s="65" t="s">
        <v>41</v>
      </c>
      <c r="O213" s="35">
        <f t="shared" si="88"/>
        <v>0.70211259294228723</v>
      </c>
      <c r="P213" s="35">
        <f t="shared" si="89"/>
        <v>0.74409005628517821</v>
      </c>
      <c r="Q213" s="35">
        <f t="shared" si="90"/>
        <v>0.94358550690428422</v>
      </c>
      <c r="R213" s="20">
        <v>8473</v>
      </c>
      <c r="S213" s="27">
        <f t="shared" si="109"/>
        <v>478</v>
      </c>
      <c r="T213" s="20">
        <v>7995</v>
      </c>
      <c r="U213" s="20">
        <v>5949</v>
      </c>
      <c r="V213" s="20">
        <f t="shared" si="110"/>
        <v>2046</v>
      </c>
      <c r="W213" s="20"/>
      <c r="X213" s="5"/>
      <c r="Y213" s="64">
        <v>2010</v>
      </c>
      <c r="Z213" s="65" t="s">
        <v>41</v>
      </c>
      <c r="AA213" s="35">
        <f t="shared" si="93"/>
        <v>0.73536036036036034</v>
      </c>
      <c r="AB213" s="35">
        <f t="shared" si="94"/>
        <v>0.79537149817295982</v>
      </c>
      <c r="AC213" s="35">
        <f t="shared" si="95"/>
        <v>0.9245495495495496</v>
      </c>
      <c r="AD213" s="20">
        <v>888</v>
      </c>
      <c r="AE213" s="27">
        <f t="shared" si="111"/>
        <v>67</v>
      </c>
      <c r="AF213" s="20">
        <v>821</v>
      </c>
      <c r="AG213" s="20">
        <v>653</v>
      </c>
      <c r="AH213" s="20">
        <f t="shared" si="112"/>
        <v>168</v>
      </c>
      <c r="AI213" s="20"/>
      <c r="AJ213" s="5"/>
      <c r="AK213" s="64">
        <v>2010</v>
      </c>
      <c r="AL213" s="65" t="s">
        <v>41</v>
      </c>
      <c r="AM213" s="35">
        <f t="shared" si="98"/>
        <v>0.69292929292929295</v>
      </c>
      <c r="AN213" s="35">
        <f t="shared" si="99"/>
        <v>0.73922413793103448</v>
      </c>
      <c r="AO213" s="35">
        <f t="shared" si="100"/>
        <v>0.93737373737373741</v>
      </c>
      <c r="AP213" s="20">
        <v>990</v>
      </c>
      <c r="AQ213" s="27">
        <f t="shared" si="113"/>
        <v>62</v>
      </c>
      <c r="AR213" s="20">
        <v>928</v>
      </c>
      <c r="AS213" s="20">
        <v>686</v>
      </c>
      <c r="AT213" s="20">
        <f t="shared" si="114"/>
        <v>242</v>
      </c>
      <c r="AU213" s="29"/>
    </row>
    <row r="214" spans="1:47" s="3" customFormat="1" ht="12.75">
      <c r="A214" s="62">
        <v>2010</v>
      </c>
      <c r="B214" s="63" t="s">
        <v>42</v>
      </c>
      <c r="C214" s="35">
        <f t="shared" si="103"/>
        <v>0.72373046875000002</v>
      </c>
      <c r="D214" s="35">
        <f t="shared" si="104"/>
        <v>0.78199852273926351</v>
      </c>
      <c r="E214" s="35">
        <f t="shared" si="105"/>
        <v>0.92548828125000004</v>
      </c>
      <c r="F214" s="27">
        <f t="shared" si="106"/>
        <v>10240</v>
      </c>
      <c r="G214" s="20">
        <f t="shared" si="86"/>
        <v>763</v>
      </c>
      <c r="H214" s="27">
        <f t="shared" si="107"/>
        <v>9477</v>
      </c>
      <c r="I214" s="27">
        <f t="shared" si="108"/>
        <v>7411</v>
      </c>
      <c r="J214" s="20">
        <f t="shared" si="87"/>
        <v>2066</v>
      </c>
      <c r="K214" s="27"/>
      <c r="L214" s="4"/>
      <c r="M214" s="62">
        <v>2010</v>
      </c>
      <c r="N214" s="63" t="s">
        <v>42</v>
      </c>
      <c r="O214" s="35">
        <f t="shared" si="88"/>
        <v>0.72874251497005993</v>
      </c>
      <c r="P214" s="35">
        <f t="shared" si="89"/>
        <v>0.78862104717470194</v>
      </c>
      <c r="Q214" s="35">
        <f t="shared" si="90"/>
        <v>0.92407185628742516</v>
      </c>
      <c r="R214" s="20">
        <v>8350</v>
      </c>
      <c r="S214" s="27">
        <f t="shared" si="109"/>
        <v>634</v>
      </c>
      <c r="T214" s="20">
        <v>7716</v>
      </c>
      <c r="U214" s="20">
        <v>6085</v>
      </c>
      <c r="V214" s="20">
        <f t="shared" si="110"/>
        <v>1631</v>
      </c>
      <c r="W214" s="20"/>
      <c r="X214" s="5"/>
      <c r="Y214" s="62">
        <v>2010</v>
      </c>
      <c r="Z214" s="63" t="s">
        <v>42</v>
      </c>
      <c r="AA214" s="35">
        <f t="shared" si="93"/>
        <v>0.76034858387799564</v>
      </c>
      <c r="AB214" s="35">
        <f t="shared" si="94"/>
        <v>0.81637426900584797</v>
      </c>
      <c r="AC214" s="35">
        <f t="shared" si="95"/>
        <v>0.93137254901960786</v>
      </c>
      <c r="AD214" s="20">
        <v>918</v>
      </c>
      <c r="AE214" s="27">
        <f t="shared" si="111"/>
        <v>63</v>
      </c>
      <c r="AF214" s="20">
        <v>855</v>
      </c>
      <c r="AG214" s="20">
        <v>698</v>
      </c>
      <c r="AH214" s="20">
        <f t="shared" si="112"/>
        <v>157</v>
      </c>
      <c r="AI214" s="20"/>
      <c r="AJ214" s="5"/>
      <c r="AK214" s="62">
        <v>2010</v>
      </c>
      <c r="AL214" s="63" t="s">
        <v>42</v>
      </c>
      <c r="AM214" s="35">
        <f t="shared" si="98"/>
        <v>0.64609053497942381</v>
      </c>
      <c r="AN214" s="35">
        <f t="shared" si="99"/>
        <v>0.69315673289183222</v>
      </c>
      <c r="AO214" s="35">
        <f t="shared" si="100"/>
        <v>0.9320987654320988</v>
      </c>
      <c r="AP214" s="20">
        <v>972</v>
      </c>
      <c r="AQ214" s="27">
        <f t="shared" si="113"/>
        <v>66</v>
      </c>
      <c r="AR214" s="20">
        <v>906</v>
      </c>
      <c r="AS214" s="20">
        <v>628</v>
      </c>
      <c r="AT214" s="20">
        <f t="shared" si="114"/>
        <v>278</v>
      </c>
      <c r="AU214" s="29"/>
    </row>
    <row r="215" spans="1:47" s="3" customFormat="1" ht="12.75">
      <c r="A215" s="64">
        <v>2010</v>
      </c>
      <c r="B215" s="65" t="s">
        <v>43</v>
      </c>
      <c r="C215" s="35">
        <f t="shared" si="103"/>
        <v>0.72592020094676846</v>
      </c>
      <c r="D215" s="35">
        <f t="shared" si="104"/>
        <v>0.76191441898195089</v>
      </c>
      <c r="E215" s="35">
        <f t="shared" si="105"/>
        <v>0.9527581876147232</v>
      </c>
      <c r="F215" s="27">
        <f t="shared" si="106"/>
        <v>10351</v>
      </c>
      <c r="G215" s="20">
        <f t="shared" si="86"/>
        <v>489</v>
      </c>
      <c r="H215" s="27">
        <f t="shared" si="107"/>
        <v>9862</v>
      </c>
      <c r="I215" s="27">
        <f t="shared" si="108"/>
        <v>7514</v>
      </c>
      <c r="J215" s="20">
        <f t="shared" si="87"/>
        <v>2348</v>
      </c>
      <c r="K215" s="27"/>
      <c r="L215" s="4"/>
      <c r="M215" s="64">
        <v>2010</v>
      </c>
      <c r="N215" s="65" t="s">
        <v>43</v>
      </c>
      <c r="O215" s="35">
        <f t="shared" si="88"/>
        <v>0.75463236161926117</v>
      </c>
      <c r="P215" s="35">
        <f t="shared" si="89"/>
        <v>0.78617976146563384</v>
      </c>
      <c r="Q215" s="35">
        <f t="shared" si="90"/>
        <v>0.95987253629175029</v>
      </c>
      <c r="R215" s="20">
        <v>8473</v>
      </c>
      <c r="S215" s="27">
        <f t="shared" si="109"/>
        <v>340</v>
      </c>
      <c r="T215" s="20">
        <v>8133</v>
      </c>
      <c r="U215" s="20">
        <v>6394</v>
      </c>
      <c r="V215" s="20">
        <f t="shared" si="110"/>
        <v>1739</v>
      </c>
      <c r="W215" s="20"/>
      <c r="X215" s="5"/>
      <c r="Y215" s="64">
        <v>2010</v>
      </c>
      <c r="Z215" s="65" t="s">
        <v>43</v>
      </c>
      <c r="AA215" s="35">
        <f t="shared" si="93"/>
        <v>0.76463963963963966</v>
      </c>
      <c r="AB215" s="35">
        <f t="shared" si="94"/>
        <v>0.79601406799531071</v>
      </c>
      <c r="AC215" s="35">
        <f t="shared" si="95"/>
        <v>0.9605855855855856</v>
      </c>
      <c r="AD215" s="20">
        <v>888</v>
      </c>
      <c r="AE215" s="27">
        <f t="shared" si="111"/>
        <v>35</v>
      </c>
      <c r="AF215" s="20">
        <v>853</v>
      </c>
      <c r="AG215" s="20">
        <v>679</v>
      </c>
      <c r="AH215" s="20">
        <f t="shared" si="112"/>
        <v>174</v>
      </c>
      <c r="AI215" s="20"/>
      <c r="AJ215" s="5"/>
      <c r="AK215" s="64">
        <v>2010</v>
      </c>
      <c r="AL215" s="65" t="s">
        <v>43</v>
      </c>
      <c r="AM215" s="35">
        <f t="shared" si="98"/>
        <v>0.44545454545454544</v>
      </c>
      <c r="AN215" s="35">
        <f t="shared" si="99"/>
        <v>0.50342465753424659</v>
      </c>
      <c r="AO215" s="35">
        <f t="shared" si="100"/>
        <v>0.88484848484848488</v>
      </c>
      <c r="AP215" s="20">
        <v>990</v>
      </c>
      <c r="AQ215" s="27">
        <f t="shared" si="113"/>
        <v>114</v>
      </c>
      <c r="AR215" s="20">
        <v>876</v>
      </c>
      <c r="AS215" s="20">
        <v>441</v>
      </c>
      <c r="AT215" s="20">
        <f t="shared" si="114"/>
        <v>435</v>
      </c>
      <c r="AU215" s="29"/>
    </row>
    <row r="216" spans="1:47" s="3" customFormat="1" ht="12.75">
      <c r="A216" s="62">
        <v>2010</v>
      </c>
      <c r="B216" s="63" t="s">
        <v>44</v>
      </c>
      <c r="C216" s="35">
        <f t="shared" si="103"/>
        <v>0.78467461733496102</v>
      </c>
      <c r="D216" s="35">
        <f t="shared" si="104"/>
        <v>0.82195553806807009</v>
      </c>
      <c r="E216" s="35">
        <f t="shared" si="105"/>
        <v>0.95464362850971918</v>
      </c>
      <c r="F216" s="27">
        <f t="shared" si="106"/>
        <v>10649</v>
      </c>
      <c r="G216" s="20">
        <f t="shared" si="86"/>
        <v>483</v>
      </c>
      <c r="H216" s="27">
        <f t="shared" si="107"/>
        <v>10166</v>
      </c>
      <c r="I216" s="27">
        <f t="shared" si="108"/>
        <v>8356</v>
      </c>
      <c r="J216" s="20">
        <f t="shared" si="87"/>
        <v>1810</v>
      </c>
      <c r="K216" s="27"/>
      <c r="L216" s="4"/>
      <c r="M216" s="62">
        <v>2010</v>
      </c>
      <c r="N216" s="63" t="s">
        <v>44</v>
      </c>
      <c r="O216" s="35">
        <f t="shared" si="88"/>
        <v>0.8439366100137804</v>
      </c>
      <c r="P216" s="35">
        <f t="shared" si="89"/>
        <v>0.87477681228425186</v>
      </c>
      <c r="Q216" s="35">
        <f t="shared" si="90"/>
        <v>0.96474506201194299</v>
      </c>
      <c r="R216" s="20">
        <v>8708</v>
      </c>
      <c r="S216" s="27">
        <f t="shared" si="109"/>
        <v>307</v>
      </c>
      <c r="T216" s="20">
        <v>8401</v>
      </c>
      <c r="U216" s="20">
        <v>7349</v>
      </c>
      <c r="V216" s="20">
        <f t="shared" si="110"/>
        <v>1052</v>
      </c>
      <c r="W216" s="20"/>
      <c r="X216" s="5"/>
      <c r="Y216" s="62">
        <v>2010</v>
      </c>
      <c r="Z216" s="63" t="s">
        <v>44</v>
      </c>
      <c r="AA216" s="35">
        <f t="shared" si="93"/>
        <v>0.76939890710382519</v>
      </c>
      <c r="AB216" s="35">
        <f t="shared" si="94"/>
        <v>0.81105990783410142</v>
      </c>
      <c r="AC216" s="35">
        <f t="shared" si="95"/>
        <v>0.94863387978142077</v>
      </c>
      <c r="AD216" s="20">
        <v>915</v>
      </c>
      <c r="AE216" s="27">
        <f t="shared" si="111"/>
        <v>47</v>
      </c>
      <c r="AF216" s="20">
        <v>868</v>
      </c>
      <c r="AG216" s="20">
        <v>704</v>
      </c>
      <c r="AH216" s="20">
        <f t="shared" si="112"/>
        <v>164</v>
      </c>
      <c r="AI216" s="20"/>
      <c r="AJ216" s="5"/>
      <c r="AK216" s="62">
        <v>2010</v>
      </c>
      <c r="AL216" s="63" t="s">
        <v>44</v>
      </c>
      <c r="AM216" s="35">
        <f t="shared" si="98"/>
        <v>0.2953216374269006</v>
      </c>
      <c r="AN216" s="35">
        <f t="shared" si="99"/>
        <v>0.33779264214046822</v>
      </c>
      <c r="AO216" s="35">
        <f t="shared" si="100"/>
        <v>0.8742690058479532</v>
      </c>
      <c r="AP216" s="20">
        <v>1026</v>
      </c>
      <c r="AQ216" s="27">
        <f t="shared" si="113"/>
        <v>129</v>
      </c>
      <c r="AR216" s="20">
        <v>897</v>
      </c>
      <c r="AS216" s="20">
        <v>303</v>
      </c>
      <c r="AT216" s="20">
        <f t="shared" si="114"/>
        <v>594</v>
      </c>
      <c r="AU216" s="29"/>
    </row>
    <row r="217" spans="1:47" s="3" customFormat="1" ht="12.75">
      <c r="A217" s="64">
        <v>2010</v>
      </c>
      <c r="B217" s="65" t="s">
        <v>45</v>
      </c>
      <c r="C217" s="35">
        <f t="shared" si="103"/>
        <v>0.77057710501419108</v>
      </c>
      <c r="D217" s="35">
        <f t="shared" si="104"/>
        <v>0.80980314177768942</v>
      </c>
      <c r="E217" s="35">
        <f t="shared" si="105"/>
        <v>0.95156102175969726</v>
      </c>
      <c r="F217" s="27">
        <f t="shared" si="106"/>
        <v>10570</v>
      </c>
      <c r="G217" s="20">
        <f t="shared" si="86"/>
        <v>512</v>
      </c>
      <c r="H217" s="27">
        <f t="shared" si="107"/>
        <v>10058</v>
      </c>
      <c r="I217" s="27">
        <f t="shared" si="108"/>
        <v>8145</v>
      </c>
      <c r="J217" s="20">
        <f t="shared" si="87"/>
        <v>1913</v>
      </c>
      <c r="K217" s="27"/>
      <c r="L217" s="4"/>
      <c r="M217" s="64">
        <v>2010</v>
      </c>
      <c r="N217" s="65" t="s">
        <v>45</v>
      </c>
      <c r="O217" s="35">
        <f t="shared" si="88"/>
        <v>0.82022211938917167</v>
      </c>
      <c r="P217" s="35">
        <f t="shared" si="89"/>
        <v>0.85856139501089856</v>
      </c>
      <c r="Q217" s="35">
        <f t="shared" si="90"/>
        <v>0.95534474780194356</v>
      </c>
      <c r="R217" s="20">
        <v>8644</v>
      </c>
      <c r="S217" s="27">
        <f t="shared" si="109"/>
        <v>386</v>
      </c>
      <c r="T217" s="20">
        <v>8258</v>
      </c>
      <c r="U217" s="20">
        <v>7090</v>
      </c>
      <c r="V217" s="20">
        <f t="shared" si="110"/>
        <v>1168</v>
      </c>
      <c r="W217" s="20"/>
      <c r="X217" s="5"/>
      <c r="Y217" s="64">
        <v>2010</v>
      </c>
      <c r="Z217" s="65" t="s">
        <v>45</v>
      </c>
      <c r="AA217" s="35">
        <f t="shared" si="93"/>
        <v>0.78213507625272327</v>
      </c>
      <c r="AB217" s="35">
        <f t="shared" si="94"/>
        <v>0.81963470319634701</v>
      </c>
      <c r="AC217" s="35">
        <f t="shared" si="95"/>
        <v>0.95424836601307195</v>
      </c>
      <c r="AD217" s="20">
        <v>918</v>
      </c>
      <c r="AE217" s="27">
        <f t="shared" si="111"/>
        <v>42</v>
      </c>
      <c r="AF217" s="20">
        <v>876</v>
      </c>
      <c r="AG217" s="20">
        <v>718</v>
      </c>
      <c r="AH217" s="20">
        <f t="shared" si="112"/>
        <v>158</v>
      </c>
      <c r="AI217" s="20"/>
      <c r="AJ217" s="5"/>
      <c r="AK217" s="64">
        <v>2010</v>
      </c>
      <c r="AL217" s="65" t="s">
        <v>45</v>
      </c>
      <c r="AM217" s="35">
        <f t="shared" si="98"/>
        <v>0.3343253968253968</v>
      </c>
      <c r="AN217" s="35">
        <f t="shared" si="99"/>
        <v>0.36471861471861472</v>
      </c>
      <c r="AO217" s="35">
        <f t="shared" si="100"/>
        <v>0.91666666666666663</v>
      </c>
      <c r="AP217" s="20">
        <v>1008</v>
      </c>
      <c r="AQ217" s="27">
        <f t="shared" si="113"/>
        <v>84</v>
      </c>
      <c r="AR217" s="20">
        <v>924</v>
      </c>
      <c r="AS217" s="20">
        <v>337</v>
      </c>
      <c r="AT217" s="20">
        <f t="shared" si="114"/>
        <v>587</v>
      </c>
      <c r="AU217" s="29"/>
    </row>
    <row r="218" spans="1:47" s="3" customFormat="1" ht="12.75">
      <c r="A218" s="62">
        <v>2010</v>
      </c>
      <c r="B218" s="63" t="s">
        <v>46</v>
      </c>
      <c r="C218" s="35">
        <f t="shared" si="103"/>
        <v>0.80325218714340052</v>
      </c>
      <c r="D218" s="35">
        <f t="shared" si="104"/>
        <v>0.83435401027261957</v>
      </c>
      <c r="E218" s="35">
        <f t="shared" si="105"/>
        <v>0.96272346899961958</v>
      </c>
      <c r="F218" s="27">
        <f t="shared" si="106"/>
        <v>10516</v>
      </c>
      <c r="G218" s="20">
        <f t="shared" si="86"/>
        <v>392</v>
      </c>
      <c r="H218" s="27">
        <f t="shared" si="107"/>
        <v>10124</v>
      </c>
      <c r="I218" s="27">
        <f t="shared" si="108"/>
        <v>8447</v>
      </c>
      <c r="J218" s="20">
        <f t="shared" si="87"/>
        <v>1677</v>
      </c>
      <c r="K218" s="27"/>
      <c r="L218" s="4"/>
      <c r="M218" s="62">
        <v>2010</v>
      </c>
      <c r="N218" s="63" t="s">
        <v>46</v>
      </c>
      <c r="O218" s="35">
        <f t="shared" si="88"/>
        <v>0.85185614849187941</v>
      </c>
      <c r="P218" s="35">
        <f t="shared" si="89"/>
        <v>0.88013903871509047</v>
      </c>
      <c r="Q218" s="35">
        <f t="shared" si="90"/>
        <v>0.96786542923433871</v>
      </c>
      <c r="R218" s="20">
        <v>8620</v>
      </c>
      <c r="S218" s="27">
        <f t="shared" si="109"/>
        <v>277</v>
      </c>
      <c r="T218" s="20">
        <v>8343</v>
      </c>
      <c r="U218" s="20">
        <v>7343</v>
      </c>
      <c r="V218" s="20">
        <f t="shared" si="110"/>
        <v>1000</v>
      </c>
      <c r="W218" s="20"/>
      <c r="X218" s="5"/>
      <c r="Y218" s="62">
        <v>2010</v>
      </c>
      <c r="Z218" s="63" t="s">
        <v>46</v>
      </c>
      <c r="AA218" s="35">
        <f t="shared" si="93"/>
        <v>0.82094594594594594</v>
      </c>
      <c r="AB218" s="35">
        <f t="shared" si="94"/>
        <v>0.86476868327402134</v>
      </c>
      <c r="AC218" s="35">
        <f t="shared" si="95"/>
        <v>0.94932432432432434</v>
      </c>
      <c r="AD218" s="20">
        <v>888</v>
      </c>
      <c r="AE218" s="27">
        <f t="shared" si="111"/>
        <v>45</v>
      </c>
      <c r="AF218" s="20">
        <v>843</v>
      </c>
      <c r="AG218" s="20">
        <v>729</v>
      </c>
      <c r="AH218" s="20">
        <f t="shared" si="112"/>
        <v>114</v>
      </c>
      <c r="AI218" s="20"/>
      <c r="AJ218" s="5"/>
      <c r="AK218" s="62">
        <v>2010</v>
      </c>
      <c r="AL218" s="63" t="s">
        <v>46</v>
      </c>
      <c r="AM218" s="35">
        <f t="shared" si="98"/>
        <v>0.37202380952380953</v>
      </c>
      <c r="AN218" s="35">
        <f t="shared" si="99"/>
        <v>0.39978678038379528</v>
      </c>
      <c r="AO218" s="35">
        <f t="shared" si="100"/>
        <v>0.93055555555555558</v>
      </c>
      <c r="AP218" s="20">
        <v>1008</v>
      </c>
      <c r="AQ218" s="27">
        <f t="shared" si="113"/>
        <v>70</v>
      </c>
      <c r="AR218" s="20">
        <v>938</v>
      </c>
      <c r="AS218" s="20">
        <v>375</v>
      </c>
      <c r="AT218" s="20">
        <f t="shared" si="114"/>
        <v>563</v>
      </c>
      <c r="AU218" s="29"/>
    </row>
    <row r="219" spans="1:47" s="3" customFormat="1" ht="12.75">
      <c r="A219" s="64">
        <v>2010</v>
      </c>
      <c r="B219" s="65" t="s">
        <v>47</v>
      </c>
      <c r="C219" s="35">
        <f t="shared" si="103"/>
        <v>0.81228801240430271</v>
      </c>
      <c r="D219" s="35">
        <f t="shared" si="104"/>
        <v>0.85802026819531174</v>
      </c>
      <c r="E219" s="35">
        <f t="shared" si="105"/>
        <v>0.94670026165326093</v>
      </c>
      <c r="F219" s="27">
        <f t="shared" si="106"/>
        <v>10319</v>
      </c>
      <c r="G219" s="20">
        <f t="shared" si="86"/>
        <v>550</v>
      </c>
      <c r="H219" s="27">
        <f t="shared" si="107"/>
        <v>9769</v>
      </c>
      <c r="I219" s="27">
        <f t="shared" si="108"/>
        <v>8382</v>
      </c>
      <c r="J219" s="20">
        <f t="shared" si="87"/>
        <v>1387</v>
      </c>
      <c r="K219" s="27"/>
      <c r="L219" s="4"/>
      <c r="M219" s="64">
        <v>2010</v>
      </c>
      <c r="N219" s="65" t="s">
        <v>47</v>
      </c>
      <c r="O219" s="35">
        <f t="shared" si="88"/>
        <v>0.84502020442120274</v>
      </c>
      <c r="P219" s="35">
        <f t="shared" si="89"/>
        <v>0.88509896676210631</v>
      </c>
      <c r="Q219" s="35">
        <f t="shared" si="90"/>
        <v>0.95471832659852629</v>
      </c>
      <c r="R219" s="20">
        <v>8414</v>
      </c>
      <c r="S219" s="27">
        <f t="shared" si="109"/>
        <v>381</v>
      </c>
      <c r="T219" s="20">
        <v>8033</v>
      </c>
      <c r="U219" s="20">
        <v>7110</v>
      </c>
      <c r="V219" s="20">
        <f t="shared" si="110"/>
        <v>923</v>
      </c>
      <c r="W219" s="20"/>
      <c r="X219" s="5"/>
      <c r="Y219" s="64">
        <v>2010</v>
      </c>
      <c r="Z219" s="65" t="s">
        <v>47</v>
      </c>
      <c r="AA219" s="35">
        <f t="shared" si="93"/>
        <v>0.80218579234972676</v>
      </c>
      <c r="AB219" s="35">
        <f t="shared" si="94"/>
        <v>0.85747663551401865</v>
      </c>
      <c r="AC219" s="35">
        <f t="shared" si="95"/>
        <v>0.93551912568306006</v>
      </c>
      <c r="AD219" s="20">
        <v>915</v>
      </c>
      <c r="AE219" s="27">
        <f t="shared" si="111"/>
        <v>59</v>
      </c>
      <c r="AF219" s="20">
        <v>856</v>
      </c>
      <c r="AG219" s="20">
        <v>734</v>
      </c>
      <c r="AH219" s="20">
        <f t="shared" si="112"/>
        <v>122</v>
      </c>
      <c r="AI219" s="20"/>
      <c r="AJ219" s="5"/>
      <c r="AK219" s="64">
        <v>2010</v>
      </c>
      <c r="AL219" s="65" t="s">
        <v>47</v>
      </c>
      <c r="AM219" s="35">
        <f t="shared" si="98"/>
        <v>0.54343434343434338</v>
      </c>
      <c r="AN219" s="35">
        <f t="shared" si="99"/>
        <v>0.61136363636363633</v>
      </c>
      <c r="AO219" s="35">
        <f t="shared" si="100"/>
        <v>0.88888888888888884</v>
      </c>
      <c r="AP219" s="20">
        <v>990</v>
      </c>
      <c r="AQ219" s="27">
        <f t="shared" si="113"/>
        <v>110</v>
      </c>
      <c r="AR219" s="20">
        <v>880</v>
      </c>
      <c r="AS219" s="20">
        <v>538</v>
      </c>
      <c r="AT219" s="20">
        <f t="shared" si="114"/>
        <v>342</v>
      </c>
      <c r="AU219" s="29"/>
    </row>
    <row r="220" spans="1:47" s="3" customFormat="1" ht="12.75">
      <c r="A220" s="62">
        <v>2010</v>
      </c>
      <c r="B220" s="63" t="s">
        <v>48</v>
      </c>
      <c r="C220" s="35">
        <f t="shared" si="103"/>
        <v>0.79625156989662838</v>
      </c>
      <c r="D220" s="35">
        <f t="shared" si="104"/>
        <v>0.83743141637878482</v>
      </c>
      <c r="E220" s="35">
        <f t="shared" si="105"/>
        <v>0.95082600714906773</v>
      </c>
      <c r="F220" s="27">
        <f t="shared" si="106"/>
        <v>10351</v>
      </c>
      <c r="G220" s="20">
        <f t="shared" si="86"/>
        <v>509</v>
      </c>
      <c r="H220" s="27">
        <f t="shared" si="107"/>
        <v>9842</v>
      </c>
      <c r="I220" s="27">
        <f t="shared" si="108"/>
        <v>8242</v>
      </c>
      <c r="J220" s="20">
        <f t="shared" si="87"/>
        <v>1600</v>
      </c>
      <c r="K220" s="27"/>
      <c r="L220" s="4"/>
      <c r="M220" s="62">
        <v>2010</v>
      </c>
      <c r="N220" s="63" t="s">
        <v>48</v>
      </c>
      <c r="O220" s="35">
        <f t="shared" si="88"/>
        <v>0.8352413548920099</v>
      </c>
      <c r="P220" s="35">
        <f t="shared" si="89"/>
        <v>0.86537050623624356</v>
      </c>
      <c r="Q220" s="35">
        <f t="shared" si="90"/>
        <v>0.96518352413548925</v>
      </c>
      <c r="R220" s="20">
        <v>8473</v>
      </c>
      <c r="S220" s="27">
        <f t="shared" si="109"/>
        <v>295</v>
      </c>
      <c r="T220" s="20">
        <v>8178</v>
      </c>
      <c r="U220" s="20">
        <v>7077</v>
      </c>
      <c r="V220" s="20">
        <f t="shared" si="110"/>
        <v>1101</v>
      </c>
      <c r="W220" s="20"/>
      <c r="X220" s="5"/>
      <c r="Y220" s="62">
        <v>2010</v>
      </c>
      <c r="Z220" s="63" t="s">
        <v>48</v>
      </c>
      <c r="AA220" s="35">
        <f t="shared" si="93"/>
        <v>0.67567567567567566</v>
      </c>
      <c r="AB220" s="35">
        <f t="shared" si="94"/>
        <v>0.75853350189633373</v>
      </c>
      <c r="AC220" s="35">
        <f t="shared" si="95"/>
        <v>0.89076576576576572</v>
      </c>
      <c r="AD220" s="20">
        <v>888</v>
      </c>
      <c r="AE220" s="27">
        <f t="shared" si="111"/>
        <v>97</v>
      </c>
      <c r="AF220" s="20">
        <v>791</v>
      </c>
      <c r="AG220" s="20">
        <v>600</v>
      </c>
      <c r="AH220" s="20">
        <f t="shared" si="112"/>
        <v>191</v>
      </c>
      <c r="AI220" s="20"/>
      <c r="AJ220" s="5"/>
      <c r="AK220" s="62">
        <v>2010</v>
      </c>
      <c r="AL220" s="63" t="s">
        <v>48</v>
      </c>
      <c r="AM220" s="35">
        <f t="shared" si="98"/>
        <v>0.57070707070707072</v>
      </c>
      <c r="AN220" s="35">
        <f t="shared" si="99"/>
        <v>0.64719358533791527</v>
      </c>
      <c r="AO220" s="35">
        <f t="shared" si="100"/>
        <v>0.88181818181818183</v>
      </c>
      <c r="AP220" s="20">
        <v>990</v>
      </c>
      <c r="AQ220" s="27">
        <f t="shared" si="113"/>
        <v>117</v>
      </c>
      <c r="AR220" s="20">
        <v>873</v>
      </c>
      <c r="AS220" s="20">
        <v>565</v>
      </c>
      <c r="AT220" s="20">
        <f t="shared" si="114"/>
        <v>308</v>
      </c>
      <c r="AU220" s="29"/>
    </row>
    <row r="221" spans="1:47" s="3" customFormat="1" ht="12.75">
      <c r="A221" s="64">
        <v>2010</v>
      </c>
      <c r="B221" s="65" t="s">
        <v>49</v>
      </c>
      <c r="C221" s="35">
        <f t="shared" si="103"/>
        <v>0.74380630630630629</v>
      </c>
      <c r="D221" s="35">
        <f t="shared" si="104"/>
        <v>0.80369093490164267</v>
      </c>
      <c r="E221" s="35">
        <f t="shared" si="105"/>
        <v>0.92548798798798804</v>
      </c>
      <c r="F221" s="27">
        <f t="shared" si="106"/>
        <v>10656</v>
      </c>
      <c r="G221" s="20">
        <f t="shared" si="86"/>
        <v>794</v>
      </c>
      <c r="H221" s="27">
        <f t="shared" si="107"/>
        <v>9862</v>
      </c>
      <c r="I221" s="27">
        <f t="shared" si="108"/>
        <v>7926</v>
      </c>
      <c r="J221" s="20">
        <f t="shared" si="87"/>
        <v>1936</v>
      </c>
      <c r="K221" s="27"/>
      <c r="L221" s="10"/>
      <c r="M221" s="64">
        <v>2010</v>
      </c>
      <c r="N221" s="65" t="s">
        <v>49</v>
      </c>
      <c r="O221" s="35">
        <f t="shared" si="88"/>
        <v>0.76807608571101182</v>
      </c>
      <c r="P221" s="35">
        <f t="shared" si="89"/>
        <v>0.81893708002443499</v>
      </c>
      <c r="Q221" s="35">
        <f t="shared" si="90"/>
        <v>0.93789389251747446</v>
      </c>
      <c r="R221" s="20">
        <v>8727</v>
      </c>
      <c r="S221" s="27">
        <f t="shared" si="109"/>
        <v>542</v>
      </c>
      <c r="T221" s="20">
        <v>8185</v>
      </c>
      <c r="U221" s="20">
        <v>6703</v>
      </c>
      <c r="V221" s="20">
        <f t="shared" si="110"/>
        <v>1482</v>
      </c>
      <c r="W221" s="20"/>
      <c r="X221" s="5"/>
      <c r="Y221" s="64">
        <v>2010</v>
      </c>
      <c r="Z221" s="65" t="s">
        <v>49</v>
      </c>
      <c r="AA221" s="35">
        <f t="shared" si="93"/>
        <v>0.67209554831704665</v>
      </c>
      <c r="AB221" s="35">
        <f t="shared" si="94"/>
        <v>0.7484885126964933</v>
      </c>
      <c r="AC221" s="35">
        <f t="shared" si="95"/>
        <v>0.89793702497285555</v>
      </c>
      <c r="AD221" s="20">
        <v>921</v>
      </c>
      <c r="AE221" s="27">
        <f t="shared" si="111"/>
        <v>94</v>
      </c>
      <c r="AF221" s="20">
        <v>827</v>
      </c>
      <c r="AG221" s="20">
        <v>619</v>
      </c>
      <c r="AH221" s="20">
        <f t="shared" si="112"/>
        <v>208</v>
      </c>
      <c r="AI221" s="20"/>
      <c r="AJ221" s="5"/>
      <c r="AK221" s="64">
        <v>2010</v>
      </c>
      <c r="AL221" s="65" t="s">
        <v>49</v>
      </c>
      <c r="AM221" s="35">
        <f t="shared" si="98"/>
        <v>0.59920634920634919</v>
      </c>
      <c r="AN221" s="35">
        <f t="shared" si="99"/>
        <v>0.71058823529411763</v>
      </c>
      <c r="AO221" s="35">
        <f t="shared" si="100"/>
        <v>0.84325396825396826</v>
      </c>
      <c r="AP221" s="20">
        <v>1008</v>
      </c>
      <c r="AQ221" s="27">
        <f t="shared" si="113"/>
        <v>158</v>
      </c>
      <c r="AR221" s="20">
        <v>850</v>
      </c>
      <c r="AS221" s="20">
        <v>604</v>
      </c>
      <c r="AT221" s="20">
        <f t="shared" si="114"/>
        <v>246</v>
      </c>
      <c r="AU221" s="29"/>
    </row>
    <row r="222" spans="1:47" s="2" customFormat="1" ht="12.95" customHeight="1">
      <c r="A222" s="62">
        <v>2011</v>
      </c>
      <c r="B222" s="63" t="s">
        <v>38</v>
      </c>
      <c r="C222" s="35">
        <f t="shared" si="103"/>
        <v>0.74853358561967831</v>
      </c>
      <c r="D222" s="35">
        <f t="shared" si="104"/>
        <v>0.80553858684585622</v>
      </c>
      <c r="E222" s="35">
        <f t="shared" si="105"/>
        <v>0.92923368022705766</v>
      </c>
      <c r="F222" s="27">
        <f t="shared" si="106"/>
        <v>10570</v>
      </c>
      <c r="G222" s="20">
        <f t="shared" si="86"/>
        <v>748</v>
      </c>
      <c r="H222" s="27">
        <f t="shared" si="107"/>
        <v>9822</v>
      </c>
      <c r="I222" s="27">
        <f t="shared" si="108"/>
        <v>7912</v>
      </c>
      <c r="J222" s="20">
        <f t="shared" si="87"/>
        <v>1910</v>
      </c>
      <c r="K222" s="27"/>
      <c r="L222" s="4"/>
      <c r="M222" s="62">
        <v>2011</v>
      </c>
      <c r="N222" s="63" t="s">
        <v>38</v>
      </c>
      <c r="O222" s="35">
        <f t="shared" si="88"/>
        <v>0.77452568255437293</v>
      </c>
      <c r="P222" s="35">
        <f t="shared" si="89"/>
        <v>0.83054211636273412</v>
      </c>
      <c r="Q222" s="35">
        <f t="shared" si="90"/>
        <v>0.93255437297547428</v>
      </c>
      <c r="R222" s="20">
        <v>8644</v>
      </c>
      <c r="S222" s="27">
        <f t="shared" ref="S222:S233" si="115">R222-T222</f>
        <v>583</v>
      </c>
      <c r="T222" s="20">
        <v>8061</v>
      </c>
      <c r="U222" s="20">
        <v>6695</v>
      </c>
      <c r="V222" s="20">
        <f t="shared" ref="V222:V233" si="116">T222-U222</f>
        <v>1366</v>
      </c>
      <c r="W222" s="20"/>
      <c r="X222" s="5"/>
      <c r="Y222" s="62">
        <v>2011</v>
      </c>
      <c r="Z222" s="63" t="s">
        <v>38</v>
      </c>
      <c r="AA222" s="35">
        <f t="shared" si="93"/>
        <v>0.7570806100217865</v>
      </c>
      <c r="AB222" s="35">
        <f t="shared" si="94"/>
        <v>0.80161476355247985</v>
      </c>
      <c r="AC222" s="35">
        <f t="shared" si="95"/>
        <v>0.94444444444444442</v>
      </c>
      <c r="AD222" s="20">
        <v>918</v>
      </c>
      <c r="AE222" s="27">
        <f t="shared" ref="AE222:AE233" si="117">AD222-AF222</f>
        <v>51</v>
      </c>
      <c r="AF222" s="20">
        <v>867</v>
      </c>
      <c r="AG222" s="20">
        <v>695</v>
      </c>
      <c r="AH222" s="20">
        <f t="shared" ref="AH222:AH233" si="118">AF222-AG222</f>
        <v>172</v>
      </c>
      <c r="AI222" s="20"/>
      <c r="AJ222" s="5"/>
      <c r="AK222" s="62">
        <v>2011</v>
      </c>
      <c r="AL222" s="63" t="s">
        <v>38</v>
      </c>
      <c r="AM222" s="35">
        <f t="shared" si="98"/>
        <v>0.5178571428571429</v>
      </c>
      <c r="AN222" s="35">
        <f t="shared" si="99"/>
        <v>0.58389261744966447</v>
      </c>
      <c r="AO222" s="35">
        <f t="shared" si="100"/>
        <v>0.88690476190476186</v>
      </c>
      <c r="AP222" s="20">
        <v>1008</v>
      </c>
      <c r="AQ222" s="27">
        <f t="shared" ref="AQ222:AQ233" si="119">AP222-AR222</f>
        <v>114</v>
      </c>
      <c r="AR222" s="20">
        <v>894</v>
      </c>
      <c r="AS222" s="20">
        <v>522</v>
      </c>
      <c r="AT222" s="20">
        <f t="shared" ref="AT222:AT233" si="120">AR222-AS222</f>
        <v>372</v>
      </c>
      <c r="AU222" s="34"/>
    </row>
    <row r="223" spans="1:47" s="2" customFormat="1" ht="12.95" customHeight="1">
      <c r="A223" s="64">
        <v>2011</v>
      </c>
      <c r="B223" s="65" t="s">
        <v>39</v>
      </c>
      <c r="C223" s="35">
        <f t="shared" si="103"/>
        <v>0.65777595404185474</v>
      </c>
      <c r="D223" s="35">
        <f t="shared" si="104"/>
        <v>0.72780930760499429</v>
      </c>
      <c r="E223" s="35">
        <f t="shared" si="105"/>
        <v>0.90377513336068938</v>
      </c>
      <c r="F223" s="27">
        <f t="shared" si="106"/>
        <v>9748</v>
      </c>
      <c r="G223" s="20">
        <f t="shared" si="86"/>
        <v>938</v>
      </c>
      <c r="H223" s="27">
        <f t="shared" si="107"/>
        <v>8810</v>
      </c>
      <c r="I223" s="27">
        <f t="shared" si="108"/>
        <v>6412</v>
      </c>
      <c r="J223" s="20">
        <f t="shared" si="87"/>
        <v>2398</v>
      </c>
      <c r="K223" s="27"/>
      <c r="L223" s="4"/>
      <c r="M223" s="64">
        <v>2011</v>
      </c>
      <c r="N223" s="65" t="s">
        <v>39</v>
      </c>
      <c r="O223" s="35">
        <f t="shared" si="88"/>
        <v>0.69877254509018039</v>
      </c>
      <c r="P223" s="35">
        <f t="shared" si="89"/>
        <v>0.7663461538461539</v>
      </c>
      <c r="Q223" s="35">
        <f t="shared" si="90"/>
        <v>0.9118236472945892</v>
      </c>
      <c r="R223" s="20">
        <v>7984</v>
      </c>
      <c r="S223" s="27">
        <f t="shared" si="115"/>
        <v>704</v>
      </c>
      <c r="T223" s="20">
        <v>7280</v>
      </c>
      <c r="U223" s="20">
        <v>5579</v>
      </c>
      <c r="V223" s="20">
        <f t="shared" si="116"/>
        <v>1701</v>
      </c>
      <c r="W223" s="20"/>
      <c r="X223" s="5"/>
      <c r="Y223" s="64">
        <v>2011</v>
      </c>
      <c r="Z223" s="65" t="s">
        <v>39</v>
      </c>
      <c r="AA223" s="35">
        <f t="shared" si="93"/>
        <v>0.64613526570048307</v>
      </c>
      <c r="AB223" s="35">
        <f t="shared" si="94"/>
        <v>0.71619812583668008</v>
      </c>
      <c r="AC223" s="35">
        <f t="shared" si="95"/>
        <v>0.90217391304347827</v>
      </c>
      <c r="AD223" s="20">
        <v>828</v>
      </c>
      <c r="AE223" s="27">
        <f t="shared" si="117"/>
        <v>81</v>
      </c>
      <c r="AF223" s="20">
        <v>747</v>
      </c>
      <c r="AG223" s="20">
        <v>535</v>
      </c>
      <c r="AH223" s="20">
        <f t="shared" si="118"/>
        <v>212</v>
      </c>
      <c r="AI223" s="20"/>
      <c r="AJ223" s="5"/>
      <c r="AK223" s="64">
        <v>2011</v>
      </c>
      <c r="AL223" s="65" t="s">
        <v>39</v>
      </c>
      <c r="AM223" s="35">
        <f t="shared" si="98"/>
        <v>0.31837606837606836</v>
      </c>
      <c r="AN223" s="35">
        <f t="shared" si="99"/>
        <v>0.38058748403575987</v>
      </c>
      <c r="AO223" s="35">
        <f t="shared" si="100"/>
        <v>0.83653846153846156</v>
      </c>
      <c r="AP223" s="20">
        <v>936</v>
      </c>
      <c r="AQ223" s="27">
        <f t="shared" si="119"/>
        <v>153</v>
      </c>
      <c r="AR223" s="20">
        <v>783</v>
      </c>
      <c r="AS223" s="20">
        <v>298</v>
      </c>
      <c r="AT223" s="20">
        <f t="shared" si="120"/>
        <v>485</v>
      </c>
      <c r="AU223" s="34"/>
    </row>
    <row r="224" spans="1:47" s="2" customFormat="1" ht="12.95" customHeight="1">
      <c r="A224" s="62">
        <v>2011</v>
      </c>
      <c r="B224" s="63" t="s">
        <v>40</v>
      </c>
      <c r="C224" s="35">
        <f t="shared" si="103"/>
        <v>0.59628906250000002</v>
      </c>
      <c r="D224" s="35">
        <f t="shared" si="104"/>
        <v>0.68292137344816017</v>
      </c>
      <c r="E224" s="35">
        <f t="shared" si="105"/>
        <v>0.87314453125000002</v>
      </c>
      <c r="F224" s="27">
        <f t="shared" si="106"/>
        <v>10240</v>
      </c>
      <c r="G224" s="20">
        <f t="shared" si="86"/>
        <v>1299</v>
      </c>
      <c r="H224" s="27">
        <f t="shared" si="107"/>
        <v>8941</v>
      </c>
      <c r="I224" s="27">
        <f t="shared" si="108"/>
        <v>6106</v>
      </c>
      <c r="J224" s="20">
        <f t="shared" si="87"/>
        <v>2835</v>
      </c>
      <c r="K224" s="27"/>
      <c r="L224" s="4"/>
      <c r="M224" s="62">
        <v>2011</v>
      </c>
      <c r="N224" s="63" t="s">
        <v>40</v>
      </c>
      <c r="O224" s="35">
        <f t="shared" si="88"/>
        <v>0.62670658682634728</v>
      </c>
      <c r="P224" s="35">
        <f t="shared" si="89"/>
        <v>0.71245745405037442</v>
      </c>
      <c r="Q224" s="35">
        <f t="shared" si="90"/>
        <v>0.87964071856287429</v>
      </c>
      <c r="R224" s="20">
        <v>8350</v>
      </c>
      <c r="S224" s="27">
        <f t="shared" si="115"/>
        <v>1005</v>
      </c>
      <c r="T224" s="20">
        <v>7345</v>
      </c>
      <c r="U224" s="20">
        <v>5233</v>
      </c>
      <c r="V224" s="20">
        <f t="shared" si="116"/>
        <v>2112</v>
      </c>
      <c r="W224" s="20"/>
      <c r="X224" s="5"/>
      <c r="Y224" s="62">
        <v>2011</v>
      </c>
      <c r="Z224" s="63" t="s">
        <v>40</v>
      </c>
      <c r="AA224" s="35">
        <f t="shared" si="93"/>
        <v>0.61873638344226578</v>
      </c>
      <c r="AB224" s="35">
        <f t="shared" si="94"/>
        <v>0.7055900621118012</v>
      </c>
      <c r="AC224" s="35">
        <f t="shared" si="95"/>
        <v>0.87690631808278863</v>
      </c>
      <c r="AD224" s="20">
        <v>918</v>
      </c>
      <c r="AE224" s="27">
        <f t="shared" si="117"/>
        <v>113</v>
      </c>
      <c r="AF224" s="20">
        <v>805</v>
      </c>
      <c r="AG224" s="20">
        <v>568</v>
      </c>
      <c r="AH224" s="20">
        <f t="shared" si="118"/>
        <v>237</v>
      </c>
      <c r="AI224" s="20"/>
      <c r="AJ224" s="5"/>
      <c r="AK224" s="62">
        <v>2011</v>
      </c>
      <c r="AL224" s="63" t="s">
        <v>40</v>
      </c>
      <c r="AM224" s="35">
        <f t="shared" si="98"/>
        <v>0.31378600823045266</v>
      </c>
      <c r="AN224" s="35">
        <f t="shared" si="99"/>
        <v>0.38558786346396967</v>
      </c>
      <c r="AO224" s="35">
        <f t="shared" si="100"/>
        <v>0.81378600823045266</v>
      </c>
      <c r="AP224" s="20">
        <v>972</v>
      </c>
      <c r="AQ224" s="27">
        <f t="shared" si="119"/>
        <v>181</v>
      </c>
      <c r="AR224" s="20">
        <v>791</v>
      </c>
      <c r="AS224" s="20">
        <v>305</v>
      </c>
      <c r="AT224" s="20">
        <f t="shared" si="120"/>
        <v>486</v>
      </c>
      <c r="AU224" s="34"/>
    </row>
    <row r="225" spans="1:47" s="2" customFormat="1" ht="12.95" customHeight="1">
      <c r="A225" s="64">
        <v>2011</v>
      </c>
      <c r="B225" s="65" t="s">
        <v>41</v>
      </c>
      <c r="C225" s="35">
        <f t="shared" si="103"/>
        <v>0.3271156489299038</v>
      </c>
      <c r="D225" s="35">
        <f t="shared" si="104"/>
        <v>0.40688728782513128</v>
      </c>
      <c r="E225" s="35">
        <f t="shared" si="105"/>
        <v>0.80394659336343999</v>
      </c>
      <c r="F225" s="27">
        <f t="shared" si="106"/>
        <v>10186</v>
      </c>
      <c r="G225" s="20">
        <f t="shared" si="86"/>
        <v>1997</v>
      </c>
      <c r="H225" s="27">
        <f t="shared" si="107"/>
        <v>8189</v>
      </c>
      <c r="I225" s="27">
        <f t="shared" si="108"/>
        <v>3332</v>
      </c>
      <c r="J225" s="20">
        <f t="shared" si="87"/>
        <v>4857</v>
      </c>
      <c r="K225" s="27"/>
      <c r="L225" s="4"/>
      <c r="M225" s="64">
        <v>2011</v>
      </c>
      <c r="N225" s="65" t="s">
        <v>41</v>
      </c>
      <c r="O225" s="35">
        <f t="shared" si="88"/>
        <v>0.33113139562815275</v>
      </c>
      <c r="P225" s="35">
        <f t="shared" si="89"/>
        <v>0.41848816029143898</v>
      </c>
      <c r="Q225" s="35">
        <f t="shared" si="90"/>
        <v>0.79125630554888304</v>
      </c>
      <c r="R225" s="20">
        <v>8326</v>
      </c>
      <c r="S225" s="27">
        <f t="shared" si="115"/>
        <v>1738</v>
      </c>
      <c r="T225" s="20">
        <v>6588</v>
      </c>
      <c r="U225" s="20">
        <v>2757</v>
      </c>
      <c r="V225" s="20">
        <f t="shared" si="116"/>
        <v>3831</v>
      </c>
      <c r="W225" s="20"/>
      <c r="X225" s="5"/>
      <c r="Y225" s="64">
        <v>2011</v>
      </c>
      <c r="Z225" s="65" t="s">
        <v>41</v>
      </c>
      <c r="AA225" s="35">
        <f t="shared" si="93"/>
        <v>0.40427927927927926</v>
      </c>
      <c r="AB225" s="35">
        <f t="shared" si="94"/>
        <v>0.44540942928039701</v>
      </c>
      <c r="AC225" s="35">
        <f t="shared" si="95"/>
        <v>0.90765765765765771</v>
      </c>
      <c r="AD225" s="20">
        <v>888</v>
      </c>
      <c r="AE225" s="27">
        <f t="shared" si="117"/>
        <v>82</v>
      </c>
      <c r="AF225" s="20">
        <v>806</v>
      </c>
      <c r="AG225" s="20">
        <v>359</v>
      </c>
      <c r="AH225" s="20">
        <f t="shared" si="118"/>
        <v>447</v>
      </c>
      <c r="AI225" s="20"/>
      <c r="AJ225" s="5"/>
      <c r="AK225" s="64">
        <v>2011</v>
      </c>
      <c r="AL225" s="65" t="s">
        <v>41</v>
      </c>
      <c r="AM225" s="35">
        <f t="shared" si="98"/>
        <v>0.22222222222222221</v>
      </c>
      <c r="AN225" s="35">
        <f t="shared" si="99"/>
        <v>0.27169811320754716</v>
      </c>
      <c r="AO225" s="35">
        <f t="shared" si="100"/>
        <v>0.8179012345679012</v>
      </c>
      <c r="AP225" s="20">
        <v>972</v>
      </c>
      <c r="AQ225" s="27">
        <f t="shared" si="119"/>
        <v>177</v>
      </c>
      <c r="AR225" s="20">
        <v>795</v>
      </c>
      <c r="AS225" s="20">
        <v>216</v>
      </c>
      <c r="AT225" s="20">
        <f t="shared" si="120"/>
        <v>579</v>
      </c>
      <c r="AU225" s="34"/>
    </row>
    <row r="226" spans="1:47" s="2" customFormat="1" ht="12.95" customHeight="1">
      <c r="A226" s="62">
        <v>2011</v>
      </c>
      <c r="B226" s="63" t="s">
        <v>42</v>
      </c>
      <c r="C226" s="35">
        <f t="shared" si="103"/>
        <v>0.52762535477767269</v>
      </c>
      <c r="D226" s="35">
        <f t="shared" si="104"/>
        <v>0.60187783293762143</v>
      </c>
      <c r="E226" s="35">
        <f t="shared" si="105"/>
        <v>0.87663197729422893</v>
      </c>
      <c r="F226" s="27">
        <f t="shared" si="106"/>
        <v>10570</v>
      </c>
      <c r="G226" s="20">
        <f t="shared" si="86"/>
        <v>1304</v>
      </c>
      <c r="H226" s="27">
        <f t="shared" si="107"/>
        <v>9266</v>
      </c>
      <c r="I226" s="27">
        <f t="shared" si="108"/>
        <v>5577</v>
      </c>
      <c r="J226" s="20">
        <f t="shared" si="87"/>
        <v>3689</v>
      </c>
      <c r="K226" s="27"/>
      <c r="L226" s="4"/>
      <c r="M226" s="62">
        <v>2011</v>
      </c>
      <c r="N226" s="63" t="s">
        <v>42</v>
      </c>
      <c r="O226" s="35">
        <f t="shared" si="88"/>
        <v>0.57161036557149469</v>
      </c>
      <c r="P226" s="35">
        <f t="shared" si="89"/>
        <v>0.66038492381716118</v>
      </c>
      <c r="Q226" s="35">
        <f t="shared" si="90"/>
        <v>0.86557149467838967</v>
      </c>
      <c r="R226" s="20">
        <v>8644</v>
      </c>
      <c r="S226" s="27">
        <f t="shared" si="115"/>
        <v>1162</v>
      </c>
      <c r="T226" s="20">
        <v>7482</v>
      </c>
      <c r="U226" s="20">
        <v>4941</v>
      </c>
      <c r="V226" s="20">
        <f t="shared" si="116"/>
        <v>2541</v>
      </c>
      <c r="W226" s="20"/>
      <c r="X226" s="5"/>
      <c r="Y226" s="62">
        <v>2011</v>
      </c>
      <c r="Z226" s="63" t="s">
        <v>42</v>
      </c>
      <c r="AA226" s="35">
        <f t="shared" si="93"/>
        <v>0.40196078431372551</v>
      </c>
      <c r="AB226" s="35">
        <f t="shared" si="94"/>
        <v>0.42757821552723058</v>
      </c>
      <c r="AC226" s="35">
        <f t="shared" si="95"/>
        <v>0.94008714596949894</v>
      </c>
      <c r="AD226" s="20">
        <v>918</v>
      </c>
      <c r="AE226" s="27">
        <f t="shared" si="117"/>
        <v>55</v>
      </c>
      <c r="AF226" s="20">
        <v>863</v>
      </c>
      <c r="AG226" s="20">
        <v>369</v>
      </c>
      <c r="AH226" s="20">
        <f t="shared" si="118"/>
        <v>494</v>
      </c>
      <c r="AI226" s="20"/>
      <c r="AJ226" s="5"/>
      <c r="AK226" s="62">
        <v>2011</v>
      </c>
      <c r="AL226" s="63" t="s">
        <v>42</v>
      </c>
      <c r="AM226" s="35">
        <f t="shared" si="98"/>
        <v>0.26488095238095238</v>
      </c>
      <c r="AN226" s="35">
        <f t="shared" si="99"/>
        <v>0.28990228013029318</v>
      </c>
      <c r="AO226" s="35">
        <f t="shared" si="100"/>
        <v>0.91369047619047616</v>
      </c>
      <c r="AP226" s="20">
        <v>1008</v>
      </c>
      <c r="AQ226" s="27">
        <f t="shared" si="119"/>
        <v>87</v>
      </c>
      <c r="AR226" s="20">
        <v>921</v>
      </c>
      <c r="AS226" s="20">
        <v>267</v>
      </c>
      <c r="AT226" s="20">
        <f t="shared" si="120"/>
        <v>654</v>
      </c>
      <c r="AU226" s="34"/>
    </row>
    <row r="227" spans="1:47" s="2" customFormat="1" ht="12.95" customHeight="1">
      <c r="A227" s="64">
        <v>2011</v>
      </c>
      <c r="B227" s="65" t="s">
        <v>43</v>
      </c>
      <c r="C227" s="35">
        <f t="shared" si="103"/>
        <v>0.71828808810742928</v>
      </c>
      <c r="D227" s="35">
        <f t="shared" si="104"/>
        <v>0.77110557975523752</v>
      </c>
      <c r="E227" s="35">
        <f t="shared" si="105"/>
        <v>0.93150420249251276</v>
      </c>
      <c r="F227" s="27">
        <f t="shared" si="106"/>
        <v>10351</v>
      </c>
      <c r="G227" s="20">
        <f t="shared" si="86"/>
        <v>709</v>
      </c>
      <c r="H227" s="27">
        <f t="shared" si="107"/>
        <v>9642</v>
      </c>
      <c r="I227" s="27">
        <f t="shared" si="108"/>
        <v>7435</v>
      </c>
      <c r="J227" s="20">
        <f t="shared" si="87"/>
        <v>2207</v>
      </c>
      <c r="K227" s="27"/>
      <c r="L227" s="4"/>
      <c r="M227" s="64">
        <v>2011</v>
      </c>
      <c r="N227" s="65" t="s">
        <v>43</v>
      </c>
      <c r="O227" s="35">
        <f t="shared" si="88"/>
        <v>0.76891301782131471</v>
      </c>
      <c r="P227" s="35">
        <f t="shared" si="89"/>
        <v>0.81929074446680084</v>
      </c>
      <c r="Q227" s="35">
        <f t="shared" si="90"/>
        <v>0.93851056296471147</v>
      </c>
      <c r="R227" s="20">
        <v>8473</v>
      </c>
      <c r="S227" s="27">
        <f t="shared" si="115"/>
        <v>521</v>
      </c>
      <c r="T227" s="20">
        <v>7952</v>
      </c>
      <c r="U227" s="20">
        <v>6515</v>
      </c>
      <c r="V227" s="20">
        <f t="shared" si="116"/>
        <v>1437</v>
      </c>
      <c r="W227" s="20"/>
      <c r="X227" s="5"/>
      <c r="Y227" s="64">
        <v>2011</v>
      </c>
      <c r="Z227" s="65" t="s">
        <v>43</v>
      </c>
      <c r="AA227" s="35">
        <f t="shared" si="93"/>
        <v>0.625</v>
      </c>
      <c r="AB227" s="35">
        <f t="shared" si="94"/>
        <v>0.67354368932038833</v>
      </c>
      <c r="AC227" s="35">
        <f t="shared" si="95"/>
        <v>0.92792792792792789</v>
      </c>
      <c r="AD227" s="20">
        <v>888</v>
      </c>
      <c r="AE227" s="27">
        <f t="shared" si="117"/>
        <v>64</v>
      </c>
      <c r="AF227" s="20">
        <v>824</v>
      </c>
      <c r="AG227" s="20">
        <v>555</v>
      </c>
      <c r="AH227" s="20">
        <f t="shared" si="118"/>
        <v>269</v>
      </c>
      <c r="AI227" s="20"/>
      <c r="AJ227" s="5"/>
      <c r="AK227" s="64">
        <v>2011</v>
      </c>
      <c r="AL227" s="65" t="s">
        <v>43</v>
      </c>
      <c r="AM227" s="35">
        <f t="shared" si="98"/>
        <v>0.36868686868686867</v>
      </c>
      <c r="AN227" s="35">
        <f t="shared" si="99"/>
        <v>0.42147806004618937</v>
      </c>
      <c r="AO227" s="35">
        <f t="shared" si="100"/>
        <v>0.87474747474747472</v>
      </c>
      <c r="AP227" s="20">
        <v>990</v>
      </c>
      <c r="AQ227" s="27">
        <f t="shared" si="119"/>
        <v>124</v>
      </c>
      <c r="AR227" s="20">
        <v>866</v>
      </c>
      <c r="AS227" s="20">
        <v>365</v>
      </c>
      <c r="AT227" s="20">
        <f t="shared" si="120"/>
        <v>501</v>
      </c>
      <c r="AU227" s="34"/>
    </row>
    <row r="228" spans="1:47" s="2" customFormat="1" ht="12.95" customHeight="1">
      <c r="A228" s="62">
        <v>2011</v>
      </c>
      <c r="B228" s="63" t="s">
        <v>44</v>
      </c>
      <c r="C228" s="35">
        <f t="shared" si="103"/>
        <v>0.66764427625354783</v>
      </c>
      <c r="D228" s="35">
        <f t="shared" si="104"/>
        <v>0.75298762270593256</v>
      </c>
      <c r="E228" s="35">
        <f t="shared" si="105"/>
        <v>0.88666035950804167</v>
      </c>
      <c r="F228" s="27">
        <f t="shared" si="106"/>
        <v>10570</v>
      </c>
      <c r="G228" s="20">
        <f t="shared" si="86"/>
        <v>1198</v>
      </c>
      <c r="H228" s="27">
        <f t="shared" si="107"/>
        <v>9372</v>
      </c>
      <c r="I228" s="27">
        <f t="shared" si="108"/>
        <v>7057</v>
      </c>
      <c r="J228" s="20">
        <f t="shared" si="87"/>
        <v>2315</v>
      </c>
      <c r="K228" s="27"/>
      <c r="L228" s="4"/>
      <c r="M228" s="62">
        <v>2011</v>
      </c>
      <c r="N228" s="63" t="s">
        <v>44</v>
      </c>
      <c r="O228" s="35">
        <f t="shared" si="88"/>
        <v>0.71575659416936599</v>
      </c>
      <c r="P228" s="35">
        <f t="shared" si="89"/>
        <v>0.78915816326530608</v>
      </c>
      <c r="Q228" s="35">
        <f t="shared" si="90"/>
        <v>0.90698750578435905</v>
      </c>
      <c r="R228" s="20">
        <v>8644</v>
      </c>
      <c r="S228" s="27">
        <f t="shared" si="115"/>
        <v>804</v>
      </c>
      <c r="T228" s="20">
        <v>7840</v>
      </c>
      <c r="U228" s="20">
        <v>6187</v>
      </c>
      <c r="V228" s="20">
        <f t="shared" si="116"/>
        <v>1653</v>
      </c>
      <c r="W228" s="20"/>
      <c r="X228" s="5"/>
      <c r="Y228" s="62">
        <v>2011</v>
      </c>
      <c r="Z228" s="63" t="s">
        <v>44</v>
      </c>
      <c r="AA228" s="35">
        <f t="shared" si="93"/>
        <v>0.56862745098039214</v>
      </c>
      <c r="AB228" s="35">
        <f t="shared" si="94"/>
        <v>0.64844720496894415</v>
      </c>
      <c r="AC228" s="35">
        <f t="shared" si="95"/>
        <v>0.87690631808278863</v>
      </c>
      <c r="AD228" s="20">
        <v>918</v>
      </c>
      <c r="AE228" s="27">
        <f t="shared" si="117"/>
        <v>113</v>
      </c>
      <c r="AF228" s="20">
        <v>805</v>
      </c>
      <c r="AG228" s="20">
        <v>522</v>
      </c>
      <c r="AH228" s="20">
        <f t="shared" si="118"/>
        <v>283</v>
      </c>
      <c r="AI228" s="20"/>
      <c r="AJ228" s="5"/>
      <c r="AK228" s="62">
        <v>2011</v>
      </c>
      <c r="AL228" s="63" t="s">
        <v>44</v>
      </c>
      <c r="AM228" s="35">
        <f t="shared" si="98"/>
        <v>0.34523809523809523</v>
      </c>
      <c r="AN228" s="35">
        <f t="shared" si="99"/>
        <v>0.47867950481430538</v>
      </c>
      <c r="AO228" s="35">
        <f t="shared" si="100"/>
        <v>0.72123015873015872</v>
      </c>
      <c r="AP228" s="20">
        <v>1008</v>
      </c>
      <c r="AQ228" s="27">
        <f t="shared" si="119"/>
        <v>281</v>
      </c>
      <c r="AR228" s="20">
        <v>727</v>
      </c>
      <c r="AS228" s="20">
        <v>348</v>
      </c>
      <c r="AT228" s="20">
        <f t="shared" si="120"/>
        <v>379</v>
      </c>
      <c r="AU228" s="34"/>
    </row>
    <row r="229" spans="1:47" s="2" customFormat="1" ht="12.95" customHeight="1">
      <c r="A229" s="64">
        <v>2011</v>
      </c>
      <c r="B229" s="65" t="s">
        <v>45</v>
      </c>
      <c r="C229" s="35">
        <f t="shared" si="103"/>
        <v>0.67312529110386587</v>
      </c>
      <c r="D229" s="35">
        <f t="shared" si="104"/>
        <v>0.7503634475597093</v>
      </c>
      <c r="E229" s="35">
        <f t="shared" si="105"/>
        <v>0.89706567303213791</v>
      </c>
      <c r="F229" s="27">
        <f t="shared" si="106"/>
        <v>10735</v>
      </c>
      <c r="G229" s="20">
        <f t="shared" si="86"/>
        <v>1105</v>
      </c>
      <c r="H229" s="27">
        <f t="shared" si="107"/>
        <v>9630</v>
      </c>
      <c r="I229" s="27">
        <f t="shared" si="108"/>
        <v>7226</v>
      </c>
      <c r="J229" s="20">
        <f t="shared" si="87"/>
        <v>2404</v>
      </c>
      <c r="K229" s="27"/>
      <c r="L229" s="4"/>
      <c r="M229" s="64">
        <v>2011</v>
      </c>
      <c r="N229" s="65" t="s">
        <v>45</v>
      </c>
      <c r="O229" s="35">
        <f t="shared" si="88"/>
        <v>0.71334319190080764</v>
      </c>
      <c r="P229" s="35">
        <f t="shared" si="89"/>
        <v>0.78495431217924649</v>
      </c>
      <c r="Q229" s="35">
        <f t="shared" si="90"/>
        <v>0.90877033329541579</v>
      </c>
      <c r="R229" s="20">
        <v>8791</v>
      </c>
      <c r="S229" s="27">
        <f t="shared" si="115"/>
        <v>802</v>
      </c>
      <c r="T229" s="20">
        <v>7989</v>
      </c>
      <c r="U229" s="20">
        <v>6271</v>
      </c>
      <c r="V229" s="20">
        <f t="shared" si="116"/>
        <v>1718</v>
      </c>
      <c r="W229" s="20"/>
      <c r="X229" s="5"/>
      <c r="Y229" s="64">
        <v>2011</v>
      </c>
      <c r="Z229" s="65" t="s">
        <v>45</v>
      </c>
      <c r="AA229" s="35">
        <f t="shared" si="93"/>
        <v>0.57516339869281041</v>
      </c>
      <c r="AB229" s="35">
        <f t="shared" si="94"/>
        <v>0.66920152091254748</v>
      </c>
      <c r="AC229" s="35">
        <f t="shared" si="95"/>
        <v>0.85947712418300659</v>
      </c>
      <c r="AD229" s="20">
        <v>918</v>
      </c>
      <c r="AE229" s="27">
        <f t="shared" si="117"/>
        <v>129</v>
      </c>
      <c r="AF229" s="20">
        <v>789</v>
      </c>
      <c r="AG229" s="20">
        <v>528</v>
      </c>
      <c r="AH229" s="20">
        <f t="shared" si="118"/>
        <v>261</v>
      </c>
      <c r="AI229" s="20"/>
      <c r="AJ229" s="5"/>
      <c r="AK229" s="64">
        <v>2011</v>
      </c>
      <c r="AL229" s="65" t="s">
        <v>45</v>
      </c>
      <c r="AM229" s="35">
        <f t="shared" si="98"/>
        <v>0.41617933723196882</v>
      </c>
      <c r="AN229" s="35">
        <f t="shared" si="99"/>
        <v>0.50117370892018775</v>
      </c>
      <c r="AO229" s="35">
        <f t="shared" si="100"/>
        <v>0.83040935672514615</v>
      </c>
      <c r="AP229" s="20">
        <v>1026</v>
      </c>
      <c r="AQ229" s="27">
        <f t="shared" si="119"/>
        <v>174</v>
      </c>
      <c r="AR229" s="20">
        <v>852</v>
      </c>
      <c r="AS229" s="20">
        <v>427</v>
      </c>
      <c r="AT229" s="20">
        <f t="shared" si="120"/>
        <v>425</v>
      </c>
      <c r="AU229" s="34"/>
    </row>
    <row r="230" spans="1:47" s="2" customFormat="1" ht="12.95" customHeight="1">
      <c r="A230" s="62">
        <v>2011</v>
      </c>
      <c r="B230" s="63" t="s">
        <v>46</v>
      </c>
      <c r="C230" s="35">
        <f t="shared" si="103"/>
        <v>0.65928109547356406</v>
      </c>
      <c r="D230" s="35">
        <f t="shared" si="104"/>
        <v>0.76556978798586572</v>
      </c>
      <c r="E230" s="35">
        <f t="shared" si="105"/>
        <v>0.86116394066184865</v>
      </c>
      <c r="F230" s="27">
        <f t="shared" si="106"/>
        <v>10516</v>
      </c>
      <c r="G230" s="20">
        <f t="shared" si="86"/>
        <v>1460</v>
      </c>
      <c r="H230" s="27">
        <f t="shared" si="107"/>
        <v>9056</v>
      </c>
      <c r="I230" s="27">
        <f t="shared" si="108"/>
        <v>6933</v>
      </c>
      <c r="J230" s="20">
        <f t="shared" si="87"/>
        <v>2123</v>
      </c>
      <c r="K230" s="27"/>
      <c r="L230" s="4"/>
      <c r="M230" s="62">
        <v>2011</v>
      </c>
      <c r="N230" s="63" t="s">
        <v>46</v>
      </c>
      <c r="O230" s="35">
        <f t="shared" si="88"/>
        <v>0.691415313225058</v>
      </c>
      <c r="P230" s="35">
        <f t="shared" si="89"/>
        <v>0.78679867986798679</v>
      </c>
      <c r="Q230" s="35">
        <f t="shared" si="90"/>
        <v>0.87877030162412995</v>
      </c>
      <c r="R230" s="20">
        <v>8620</v>
      </c>
      <c r="S230" s="27">
        <f t="shared" si="115"/>
        <v>1045</v>
      </c>
      <c r="T230" s="20">
        <v>7575</v>
      </c>
      <c r="U230" s="20">
        <v>5960</v>
      </c>
      <c r="V230" s="20">
        <f t="shared" si="116"/>
        <v>1615</v>
      </c>
      <c r="W230" s="20"/>
      <c r="X230" s="5"/>
      <c r="Y230" s="62">
        <v>2011</v>
      </c>
      <c r="Z230" s="63" t="s">
        <v>46</v>
      </c>
      <c r="AA230" s="35">
        <f t="shared" si="93"/>
        <v>0.63063063063063063</v>
      </c>
      <c r="AB230" s="35">
        <f t="shared" si="94"/>
        <v>0.7466666666666667</v>
      </c>
      <c r="AC230" s="35">
        <f t="shared" si="95"/>
        <v>0.84459459459459463</v>
      </c>
      <c r="AD230" s="20">
        <v>888</v>
      </c>
      <c r="AE230" s="27">
        <f t="shared" si="117"/>
        <v>138</v>
      </c>
      <c r="AF230" s="20">
        <v>750</v>
      </c>
      <c r="AG230" s="20">
        <v>560</v>
      </c>
      <c r="AH230" s="20">
        <f t="shared" si="118"/>
        <v>190</v>
      </c>
      <c r="AI230" s="20"/>
      <c r="AJ230" s="5"/>
      <c r="AK230" s="62">
        <v>2011</v>
      </c>
      <c r="AL230" s="63" t="s">
        <v>46</v>
      </c>
      <c r="AM230" s="35">
        <f t="shared" si="98"/>
        <v>0.40972222222222221</v>
      </c>
      <c r="AN230" s="35">
        <f t="shared" si="99"/>
        <v>0.56497948016415867</v>
      </c>
      <c r="AO230" s="35">
        <f t="shared" si="100"/>
        <v>0.72519841269841268</v>
      </c>
      <c r="AP230" s="20">
        <v>1008</v>
      </c>
      <c r="AQ230" s="27">
        <f t="shared" si="119"/>
        <v>277</v>
      </c>
      <c r="AR230" s="20">
        <v>731</v>
      </c>
      <c r="AS230" s="20">
        <v>413</v>
      </c>
      <c r="AT230" s="20">
        <f t="shared" si="120"/>
        <v>318</v>
      </c>
      <c r="AU230" s="34"/>
    </row>
    <row r="231" spans="1:47" s="2" customFormat="1" ht="12.95" customHeight="1">
      <c r="A231" s="64">
        <v>2011</v>
      </c>
      <c r="B231" s="65" t="s">
        <v>47</v>
      </c>
      <c r="C231" s="35">
        <f t="shared" si="103"/>
        <v>0.72777565814574585</v>
      </c>
      <c r="D231" s="35">
        <f t="shared" si="104"/>
        <v>0.78781621063500262</v>
      </c>
      <c r="E231" s="35">
        <f t="shared" si="105"/>
        <v>0.923788630293781</v>
      </c>
      <c r="F231" s="27">
        <f t="shared" si="106"/>
        <v>10484</v>
      </c>
      <c r="G231" s="20">
        <f t="shared" si="86"/>
        <v>799</v>
      </c>
      <c r="H231" s="27">
        <f t="shared" si="107"/>
        <v>9685</v>
      </c>
      <c r="I231" s="27">
        <f t="shared" si="108"/>
        <v>7630</v>
      </c>
      <c r="J231" s="20">
        <f t="shared" si="87"/>
        <v>2055</v>
      </c>
      <c r="K231" s="27"/>
      <c r="L231" s="4"/>
      <c r="M231" s="64">
        <v>2011</v>
      </c>
      <c r="N231" s="65" t="s">
        <v>47</v>
      </c>
      <c r="O231" s="35">
        <f t="shared" si="88"/>
        <v>0.76077561032589647</v>
      </c>
      <c r="P231" s="35">
        <f t="shared" si="89"/>
        <v>0.82131147540983607</v>
      </c>
      <c r="Q231" s="35">
        <f t="shared" si="90"/>
        <v>0.9262936572830277</v>
      </c>
      <c r="R231" s="20">
        <v>8561</v>
      </c>
      <c r="S231" s="27">
        <f t="shared" si="115"/>
        <v>631</v>
      </c>
      <c r="T231" s="20">
        <v>7930</v>
      </c>
      <c r="U231" s="20">
        <v>6513</v>
      </c>
      <c r="V231" s="20">
        <f t="shared" si="116"/>
        <v>1417</v>
      </c>
      <c r="W231" s="20"/>
      <c r="X231" s="5"/>
      <c r="Y231" s="64">
        <v>2011</v>
      </c>
      <c r="Z231" s="65" t="s">
        <v>47</v>
      </c>
      <c r="AA231" s="35">
        <f t="shared" si="93"/>
        <v>0.73114754098360657</v>
      </c>
      <c r="AB231" s="35">
        <f t="shared" si="94"/>
        <v>0.75253093363329582</v>
      </c>
      <c r="AC231" s="35">
        <f t="shared" si="95"/>
        <v>0.97158469945355186</v>
      </c>
      <c r="AD231" s="20">
        <v>915</v>
      </c>
      <c r="AE231" s="27">
        <f t="shared" si="117"/>
        <v>26</v>
      </c>
      <c r="AF231" s="20">
        <v>889</v>
      </c>
      <c r="AG231" s="20">
        <v>669</v>
      </c>
      <c r="AH231" s="20">
        <f t="shared" si="118"/>
        <v>220</v>
      </c>
      <c r="AI231" s="20"/>
      <c r="AJ231" s="5"/>
      <c r="AK231" s="64">
        <v>2011</v>
      </c>
      <c r="AL231" s="65" t="s">
        <v>47</v>
      </c>
      <c r="AM231" s="35">
        <f t="shared" si="98"/>
        <v>0.44444444444444442</v>
      </c>
      <c r="AN231" s="35">
        <f t="shared" si="99"/>
        <v>0.51732101616628179</v>
      </c>
      <c r="AO231" s="35">
        <f t="shared" si="100"/>
        <v>0.85912698412698407</v>
      </c>
      <c r="AP231" s="20">
        <v>1008</v>
      </c>
      <c r="AQ231" s="27">
        <f t="shared" si="119"/>
        <v>142</v>
      </c>
      <c r="AR231" s="20">
        <v>866</v>
      </c>
      <c r="AS231" s="20">
        <v>448</v>
      </c>
      <c r="AT231" s="20">
        <f t="shared" si="120"/>
        <v>418</v>
      </c>
      <c r="AU231" s="34"/>
    </row>
    <row r="232" spans="1:47" s="2" customFormat="1" ht="12.95" customHeight="1">
      <c r="A232" s="62">
        <v>2011</v>
      </c>
      <c r="B232" s="63" t="s">
        <v>48</v>
      </c>
      <c r="C232" s="35">
        <f t="shared" si="103"/>
        <v>0.68708337358709304</v>
      </c>
      <c r="D232" s="35">
        <f t="shared" si="104"/>
        <v>0.76497794987630419</v>
      </c>
      <c r="E232" s="35">
        <f t="shared" si="105"/>
        <v>0.89817408945995558</v>
      </c>
      <c r="F232" s="27">
        <f t="shared" si="106"/>
        <v>10351</v>
      </c>
      <c r="G232" s="20">
        <f t="shared" si="86"/>
        <v>1054</v>
      </c>
      <c r="H232" s="27">
        <f t="shared" si="107"/>
        <v>9297</v>
      </c>
      <c r="I232" s="27">
        <f t="shared" si="108"/>
        <v>7112</v>
      </c>
      <c r="J232" s="20">
        <f t="shared" si="87"/>
        <v>2185</v>
      </c>
      <c r="K232" s="27"/>
      <c r="L232" s="4"/>
      <c r="M232" s="62">
        <v>2011</v>
      </c>
      <c r="N232" s="63" t="s">
        <v>48</v>
      </c>
      <c r="O232" s="35">
        <f t="shared" si="88"/>
        <v>0.72524489555057237</v>
      </c>
      <c r="P232" s="35">
        <f t="shared" si="89"/>
        <v>0.7923920051579626</v>
      </c>
      <c r="Q232" s="35">
        <f t="shared" si="90"/>
        <v>0.91526023840434323</v>
      </c>
      <c r="R232" s="20">
        <v>8473</v>
      </c>
      <c r="S232" s="27">
        <f t="shared" si="115"/>
        <v>718</v>
      </c>
      <c r="T232" s="20">
        <v>7755</v>
      </c>
      <c r="U232" s="20">
        <v>6145</v>
      </c>
      <c r="V232" s="20">
        <f t="shared" si="116"/>
        <v>1610</v>
      </c>
      <c r="W232" s="20"/>
      <c r="X232" s="5"/>
      <c r="Y232" s="62">
        <v>2011</v>
      </c>
      <c r="Z232" s="63" t="s">
        <v>48</v>
      </c>
      <c r="AA232" s="35">
        <f t="shared" si="93"/>
        <v>0.68468468468468469</v>
      </c>
      <c r="AB232" s="35">
        <f t="shared" si="94"/>
        <v>0.74327628361858189</v>
      </c>
      <c r="AC232" s="35">
        <f t="shared" si="95"/>
        <v>0.9211711711711712</v>
      </c>
      <c r="AD232" s="20">
        <v>888</v>
      </c>
      <c r="AE232" s="27">
        <f t="shared" si="117"/>
        <v>70</v>
      </c>
      <c r="AF232" s="20">
        <v>818</v>
      </c>
      <c r="AG232" s="20">
        <v>608</v>
      </c>
      <c r="AH232" s="20">
        <f t="shared" si="118"/>
        <v>210</v>
      </c>
      <c r="AI232" s="20"/>
      <c r="AJ232" s="5"/>
      <c r="AK232" s="62">
        <v>2011</v>
      </c>
      <c r="AL232" s="63" t="s">
        <v>48</v>
      </c>
      <c r="AM232" s="35">
        <f t="shared" si="98"/>
        <v>0.36262626262626263</v>
      </c>
      <c r="AN232" s="35">
        <f t="shared" si="99"/>
        <v>0.4958563535911602</v>
      </c>
      <c r="AO232" s="35">
        <f t="shared" si="100"/>
        <v>0.73131313131313136</v>
      </c>
      <c r="AP232" s="20">
        <v>990</v>
      </c>
      <c r="AQ232" s="27">
        <f t="shared" si="119"/>
        <v>266</v>
      </c>
      <c r="AR232" s="20">
        <v>724</v>
      </c>
      <c r="AS232" s="20">
        <v>359</v>
      </c>
      <c r="AT232" s="20">
        <f t="shared" si="120"/>
        <v>365</v>
      </c>
      <c r="AU232" s="34"/>
    </row>
    <row r="233" spans="1:47" s="2" customFormat="1" ht="12.95" customHeight="1">
      <c r="A233" s="64">
        <v>2011</v>
      </c>
      <c r="B233" s="65" t="s">
        <v>49</v>
      </c>
      <c r="C233" s="35">
        <f t="shared" si="103"/>
        <v>0.66749332315909959</v>
      </c>
      <c r="D233" s="35">
        <f t="shared" si="104"/>
        <v>0.7446265162800596</v>
      </c>
      <c r="E233" s="35">
        <f t="shared" si="105"/>
        <v>0.89641358260206028</v>
      </c>
      <c r="F233" s="27">
        <f t="shared" si="106"/>
        <v>10484</v>
      </c>
      <c r="G233" s="20">
        <f t="shared" si="86"/>
        <v>1086</v>
      </c>
      <c r="H233" s="27">
        <f t="shared" si="107"/>
        <v>9398</v>
      </c>
      <c r="I233" s="27">
        <f t="shared" si="108"/>
        <v>6998</v>
      </c>
      <c r="J233" s="20">
        <f t="shared" si="87"/>
        <v>2400</v>
      </c>
      <c r="K233" s="27"/>
      <c r="L233" s="10"/>
      <c r="M233" s="64">
        <v>2011</v>
      </c>
      <c r="N233" s="65" t="s">
        <v>49</v>
      </c>
      <c r="O233" s="35">
        <f t="shared" si="88"/>
        <v>0.70412335007592575</v>
      </c>
      <c r="P233" s="35">
        <f t="shared" si="89"/>
        <v>0.77650392889346898</v>
      </c>
      <c r="Q233" s="35">
        <f t="shared" si="90"/>
        <v>0.90678659035159448</v>
      </c>
      <c r="R233" s="20">
        <v>8561</v>
      </c>
      <c r="S233" s="27">
        <f t="shared" si="115"/>
        <v>798</v>
      </c>
      <c r="T233" s="20">
        <v>7763</v>
      </c>
      <c r="U233" s="20">
        <v>6028</v>
      </c>
      <c r="V233" s="20">
        <f t="shared" si="116"/>
        <v>1735</v>
      </c>
      <c r="W233" s="20"/>
      <c r="X233" s="5"/>
      <c r="Y233" s="64">
        <v>2011</v>
      </c>
      <c r="Z233" s="65" t="s">
        <v>49</v>
      </c>
      <c r="AA233" s="35">
        <f t="shared" si="93"/>
        <v>0.69398907103825136</v>
      </c>
      <c r="AB233" s="35">
        <f t="shared" si="94"/>
        <v>0.76139088729016791</v>
      </c>
      <c r="AC233" s="35">
        <f t="shared" si="95"/>
        <v>0.91147540983606556</v>
      </c>
      <c r="AD233" s="20">
        <v>915</v>
      </c>
      <c r="AE233" s="27">
        <f t="shared" si="117"/>
        <v>81</v>
      </c>
      <c r="AF233" s="20">
        <v>834</v>
      </c>
      <c r="AG233" s="20">
        <v>635</v>
      </c>
      <c r="AH233" s="20">
        <f t="shared" si="118"/>
        <v>199</v>
      </c>
      <c r="AI233" s="20"/>
      <c r="AJ233" s="5"/>
      <c r="AK233" s="64">
        <v>2011</v>
      </c>
      <c r="AL233" s="65" t="s">
        <v>49</v>
      </c>
      <c r="AM233" s="35">
        <f t="shared" si="98"/>
        <v>0.33234126984126983</v>
      </c>
      <c r="AN233" s="35">
        <f t="shared" si="99"/>
        <v>0.41822721598002499</v>
      </c>
      <c r="AO233" s="35">
        <f t="shared" si="100"/>
        <v>0.7946428571428571</v>
      </c>
      <c r="AP233" s="20">
        <v>1008</v>
      </c>
      <c r="AQ233" s="27">
        <f t="shared" si="119"/>
        <v>207</v>
      </c>
      <c r="AR233" s="20">
        <v>801</v>
      </c>
      <c r="AS233" s="20">
        <v>335</v>
      </c>
      <c r="AT233" s="20">
        <f t="shared" si="120"/>
        <v>466</v>
      </c>
      <c r="AU233" s="34"/>
    </row>
    <row r="234" spans="1:47" s="2" customFormat="1" ht="12.95" customHeight="1">
      <c r="A234" s="62">
        <v>2012</v>
      </c>
      <c r="B234" s="63" t="s">
        <v>38</v>
      </c>
      <c r="C234" s="35">
        <f t="shared" si="103"/>
        <v>0.67517466231951562</v>
      </c>
      <c r="D234" s="35">
        <f t="shared" si="104"/>
        <v>0.75689223057644106</v>
      </c>
      <c r="E234" s="35">
        <f t="shared" si="105"/>
        <v>0.89203539823008848</v>
      </c>
      <c r="F234" s="27">
        <f t="shared" ref="F234:F265" si="121">+R234+AD234+AP234</f>
        <v>10735</v>
      </c>
      <c r="G234" s="20">
        <f t="shared" si="86"/>
        <v>1159</v>
      </c>
      <c r="H234" s="27">
        <f t="shared" ref="H234:H265" si="122">+T234+AF234+AR234</f>
        <v>9576</v>
      </c>
      <c r="I234" s="27">
        <f t="shared" ref="I234:I265" si="123">+U234+AG234+AS234</f>
        <v>7248</v>
      </c>
      <c r="J234" s="20">
        <f t="shared" si="87"/>
        <v>2328</v>
      </c>
      <c r="K234" s="27"/>
      <c r="L234" s="4"/>
      <c r="M234" s="62">
        <v>2012</v>
      </c>
      <c r="N234" s="63" t="s">
        <v>38</v>
      </c>
      <c r="O234" s="35">
        <f t="shared" si="88"/>
        <v>0.71061312706176771</v>
      </c>
      <c r="P234" s="35">
        <f t="shared" si="89"/>
        <v>0.78876262626262628</v>
      </c>
      <c r="Q234" s="35">
        <f t="shared" si="90"/>
        <v>0.90092139688317596</v>
      </c>
      <c r="R234" s="20">
        <v>8791</v>
      </c>
      <c r="S234" s="27">
        <f t="shared" ref="S234:S245" si="124">R234-T234</f>
        <v>871</v>
      </c>
      <c r="T234" s="20">
        <v>7920</v>
      </c>
      <c r="U234" s="20">
        <v>6247</v>
      </c>
      <c r="V234" s="20">
        <f t="shared" ref="V234:V245" si="125">T234-U234</f>
        <v>1673</v>
      </c>
      <c r="W234" s="20"/>
      <c r="X234" s="5"/>
      <c r="Y234" s="62">
        <v>2012</v>
      </c>
      <c r="Z234" s="63" t="s">
        <v>38</v>
      </c>
      <c r="AA234" s="35">
        <f t="shared" si="93"/>
        <v>0.65577342047930287</v>
      </c>
      <c r="AB234" s="35">
        <f t="shared" si="94"/>
        <v>0.72617611580217134</v>
      </c>
      <c r="AC234" s="35">
        <f t="shared" si="95"/>
        <v>0.90305010893246185</v>
      </c>
      <c r="AD234" s="20">
        <v>918</v>
      </c>
      <c r="AE234" s="27">
        <f t="shared" ref="AE234:AE245" si="126">AD234-AF234</f>
        <v>89</v>
      </c>
      <c r="AF234" s="20">
        <v>829</v>
      </c>
      <c r="AG234" s="20">
        <v>602</v>
      </c>
      <c r="AH234" s="20">
        <f t="shared" ref="AH234:AH245" si="127">AF234-AG234</f>
        <v>227</v>
      </c>
      <c r="AI234" s="20"/>
      <c r="AJ234" s="5"/>
      <c r="AK234" s="62">
        <v>2012</v>
      </c>
      <c r="AL234" s="63" t="s">
        <v>38</v>
      </c>
      <c r="AM234" s="35">
        <f t="shared" si="98"/>
        <v>0.3888888888888889</v>
      </c>
      <c r="AN234" s="35">
        <f t="shared" si="99"/>
        <v>0.48246674727932287</v>
      </c>
      <c r="AO234" s="35">
        <f t="shared" si="100"/>
        <v>0.80604288499025345</v>
      </c>
      <c r="AP234" s="20">
        <v>1026</v>
      </c>
      <c r="AQ234" s="27">
        <f t="shared" ref="AQ234:AQ245" si="128">AP234-AR234</f>
        <v>199</v>
      </c>
      <c r="AR234" s="20">
        <v>827</v>
      </c>
      <c r="AS234" s="20">
        <v>399</v>
      </c>
      <c r="AT234" s="20">
        <f t="shared" ref="AT234:AT245" si="129">AR234-AS234</f>
        <v>428</v>
      </c>
      <c r="AU234" s="34"/>
    </row>
    <row r="235" spans="1:47" s="2" customFormat="1" ht="12.95" customHeight="1">
      <c r="A235" s="64">
        <v>2012</v>
      </c>
      <c r="B235" s="65" t="s">
        <v>39</v>
      </c>
      <c r="C235" s="35">
        <f t="shared" si="103"/>
        <v>0.52910656843416004</v>
      </c>
      <c r="D235" s="35">
        <f t="shared" si="104"/>
        <v>0.63349484408000989</v>
      </c>
      <c r="E235" s="35">
        <f t="shared" si="105"/>
        <v>0.83521842897167164</v>
      </c>
      <c r="F235" s="27">
        <f t="shared" si="121"/>
        <v>9637</v>
      </c>
      <c r="G235" s="20">
        <f t="shared" si="86"/>
        <v>1588</v>
      </c>
      <c r="H235" s="27">
        <f t="shared" si="122"/>
        <v>8049</v>
      </c>
      <c r="I235" s="27">
        <f t="shared" si="123"/>
        <v>5099</v>
      </c>
      <c r="J235" s="20">
        <f t="shared" si="87"/>
        <v>2950</v>
      </c>
      <c r="K235" s="27"/>
      <c r="L235" s="4"/>
      <c r="M235" s="64">
        <v>2012</v>
      </c>
      <c r="N235" s="65" t="s">
        <v>39</v>
      </c>
      <c r="O235" s="35">
        <f t="shared" si="88"/>
        <v>0.55260145019717588</v>
      </c>
      <c r="P235" s="35">
        <f t="shared" si="89"/>
        <v>0.65392142104470874</v>
      </c>
      <c r="Q235" s="35">
        <f t="shared" si="90"/>
        <v>0.84505788067675869</v>
      </c>
      <c r="R235" s="20">
        <v>7861</v>
      </c>
      <c r="S235" s="27">
        <f t="shared" si="124"/>
        <v>1218</v>
      </c>
      <c r="T235" s="20">
        <v>6643</v>
      </c>
      <c r="U235" s="20">
        <v>4344</v>
      </c>
      <c r="V235" s="20">
        <f t="shared" si="125"/>
        <v>2299</v>
      </c>
      <c r="W235" s="20"/>
      <c r="X235" s="5"/>
      <c r="Y235" s="64">
        <v>2012</v>
      </c>
      <c r="Z235" s="65" t="s">
        <v>39</v>
      </c>
      <c r="AA235" s="35">
        <f t="shared" si="93"/>
        <v>0.53613053613053618</v>
      </c>
      <c r="AB235" s="35">
        <f t="shared" si="94"/>
        <v>0.62585034013605445</v>
      </c>
      <c r="AC235" s="35">
        <f t="shared" si="95"/>
        <v>0.85664335664335667</v>
      </c>
      <c r="AD235" s="20">
        <v>858</v>
      </c>
      <c r="AE235" s="27">
        <f t="shared" si="126"/>
        <v>123</v>
      </c>
      <c r="AF235" s="20">
        <v>735</v>
      </c>
      <c r="AG235" s="20">
        <v>460</v>
      </c>
      <c r="AH235" s="20">
        <f t="shared" si="127"/>
        <v>275</v>
      </c>
      <c r="AI235" s="20"/>
      <c r="AJ235" s="5"/>
      <c r="AK235" s="64">
        <v>2012</v>
      </c>
      <c r="AL235" s="65" t="s">
        <v>39</v>
      </c>
      <c r="AM235" s="35">
        <f t="shared" si="98"/>
        <v>0.3213507625272331</v>
      </c>
      <c r="AN235" s="35">
        <f t="shared" si="99"/>
        <v>0.43964232488822652</v>
      </c>
      <c r="AO235" s="35">
        <f t="shared" si="100"/>
        <v>0.73093681917211328</v>
      </c>
      <c r="AP235" s="20">
        <v>918</v>
      </c>
      <c r="AQ235" s="27">
        <f t="shared" si="128"/>
        <v>247</v>
      </c>
      <c r="AR235" s="20">
        <v>671</v>
      </c>
      <c r="AS235" s="20">
        <v>295</v>
      </c>
      <c r="AT235" s="20">
        <f t="shared" si="129"/>
        <v>376</v>
      </c>
      <c r="AU235" s="34"/>
    </row>
    <row r="236" spans="1:47" s="2" customFormat="1" ht="12.95" customHeight="1">
      <c r="A236" s="62">
        <v>2012</v>
      </c>
      <c r="B236" s="63" t="s">
        <v>40</v>
      </c>
      <c r="C236" s="35">
        <f t="shared" si="103"/>
        <v>0.34932463903120631</v>
      </c>
      <c r="D236" s="35">
        <f t="shared" si="104"/>
        <v>0.48194319496208715</v>
      </c>
      <c r="E236" s="35">
        <f t="shared" si="105"/>
        <v>0.72482533768048441</v>
      </c>
      <c r="F236" s="27">
        <f t="shared" si="121"/>
        <v>10735</v>
      </c>
      <c r="G236" s="20">
        <f t="shared" si="86"/>
        <v>2954</v>
      </c>
      <c r="H236" s="27">
        <f t="shared" si="122"/>
        <v>7781</v>
      </c>
      <c r="I236" s="27">
        <f t="shared" si="123"/>
        <v>3750</v>
      </c>
      <c r="J236" s="20">
        <f t="shared" si="87"/>
        <v>4031</v>
      </c>
      <c r="K236" s="27"/>
      <c r="L236" s="4"/>
      <c r="M236" s="62">
        <v>2012</v>
      </c>
      <c r="N236" s="63" t="s">
        <v>40</v>
      </c>
      <c r="O236" s="35">
        <f t="shared" si="88"/>
        <v>0.33306791036287114</v>
      </c>
      <c r="P236" s="35">
        <f t="shared" si="89"/>
        <v>0.47340339531123687</v>
      </c>
      <c r="Q236" s="35">
        <f t="shared" si="90"/>
        <v>0.70356045956091462</v>
      </c>
      <c r="R236" s="20">
        <v>8791</v>
      </c>
      <c r="S236" s="27">
        <f t="shared" si="124"/>
        <v>2606</v>
      </c>
      <c r="T236" s="20">
        <v>6185</v>
      </c>
      <c r="U236" s="20">
        <v>2928</v>
      </c>
      <c r="V236" s="20">
        <f t="shared" si="125"/>
        <v>3257</v>
      </c>
      <c r="W236" s="20"/>
      <c r="X236" s="5"/>
      <c r="Y236" s="62">
        <v>2012</v>
      </c>
      <c r="Z236" s="63" t="s">
        <v>40</v>
      </c>
      <c r="AA236" s="35">
        <f t="shared" si="93"/>
        <v>0.58932461873638342</v>
      </c>
      <c r="AB236" s="35">
        <f t="shared" si="94"/>
        <v>0.67879548306148052</v>
      </c>
      <c r="AC236" s="35">
        <f t="shared" si="95"/>
        <v>0.86819172113289755</v>
      </c>
      <c r="AD236" s="20">
        <v>918</v>
      </c>
      <c r="AE236" s="27">
        <f t="shared" si="126"/>
        <v>121</v>
      </c>
      <c r="AF236" s="20">
        <v>797</v>
      </c>
      <c r="AG236" s="20">
        <v>541</v>
      </c>
      <c r="AH236" s="20">
        <f t="shared" si="127"/>
        <v>256</v>
      </c>
      <c r="AI236" s="20"/>
      <c r="AJ236" s="5"/>
      <c r="AK236" s="62">
        <v>2012</v>
      </c>
      <c r="AL236" s="63" t="s">
        <v>40</v>
      </c>
      <c r="AM236" s="35">
        <f t="shared" si="98"/>
        <v>0.27387914230019494</v>
      </c>
      <c r="AN236" s="35">
        <f t="shared" si="99"/>
        <v>0.35168961201501875</v>
      </c>
      <c r="AO236" s="35">
        <f t="shared" si="100"/>
        <v>0.77875243664717353</v>
      </c>
      <c r="AP236" s="20">
        <v>1026</v>
      </c>
      <c r="AQ236" s="27">
        <f t="shared" si="128"/>
        <v>227</v>
      </c>
      <c r="AR236" s="20">
        <v>799</v>
      </c>
      <c r="AS236" s="20">
        <v>281</v>
      </c>
      <c r="AT236" s="20">
        <f t="shared" si="129"/>
        <v>518</v>
      </c>
      <c r="AU236" s="34"/>
    </row>
    <row r="237" spans="1:47" s="2" customFormat="1" ht="12.95" customHeight="1">
      <c r="A237" s="64">
        <v>2012</v>
      </c>
      <c r="B237" s="65" t="s">
        <v>41</v>
      </c>
      <c r="C237" s="35">
        <f t="shared" si="103"/>
        <v>0.44023944805194803</v>
      </c>
      <c r="D237" s="35">
        <f t="shared" si="104"/>
        <v>0.58881802144117246</v>
      </c>
      <c r="E237" s="35">
        <f t="shared" si="105"/>
        <v>0.74766639610389607</v>
      </c>
      <c r="F237" s="27">
        <f t="shared" si="121"/>
        <v>9856</v>
      </c>
      <c r="G237" s="20">
        <f t="shared" si="86"/>
        <v>2487</v>
      </c>
      <c r="H237" s="27">
        <f t="shared" si="122"/>
        <v>7369</v>
      </c>
      <c r="I237" s="27">
        <f t="shared" si="123"/>
        <v>4339</v>
      </c>
      <c r="J237" s="20">
        <f t="shared" si="87"/>
        <v>3030</v>
      </c>
      <c r="K237" s="27"/>
      <c r="L237" s="4"/>
      <c r="M237" s="64">
        <v>2012</v>
      </c>
      <c r="N237" s="65" t="s">
        <v>41</v>
      </c>
      <c r="O237" s="35">
        <f t="shared" si="88"/>
        <v>0.46476593625498008</v>
      </c>
      <c r="P237" s="35">
        <f t="shared" si="89"/>
        <v>0.61539729640619845</v>
      </c>
      <c r="Q237" s="35">
        <f t="shared" si="90"/>
        <v>0.7552290836653387</v>
      </c>
      <c r="R237" s="20">
        <v>8032</v>
      </c>
      <c r="S237" s="27">
        <f t="shared" si="124"/>
        <v>1966</v>
      </c>
      <c r="T237" s="20">
        <v>6066</v>
      </c>
      <c r="U237" s="20">
        <v>3733</v>
      </c>
      <c r="V237" s="20">
        <f t="shared" si="125"/>
        <v>2333</v>
      </c>
      <c r="W237" s="20"/>
      <c r="X237" s="5"/>
      <c r="Y237" s="64">
        <v>2012</v>
      </c>
      <c r="Z237" s="65" t="s">
        <v>41</v>
      </c>
      <c r="AA237" s="35">
        <f t="shared" si="93"/>
        <v>0.47297297297297297</v>
      </c>
      <c r="AB237" s="35">
        <f t="shared" si="94"/>
        <v>0.63540090771558244</v>
      </c>
      <c r="AC237" s="35">
        <f t="shared" si="95"/>
        <v>0.74436936936936937</v>
      </c>
      <c r="AD237" s="20">
        <v>888</v>
      </c>
      <c r="AE237" s="27">
        <f t="shared" si="126"/>
        <v>227</v>
      </c>
      <c r="AF237" s="20">
        <v>661</v>
      </c>
      <c r="AG237" s="20">
        <v>420</v>
      </c>
      <c r="AH237" s="20">
        <f t="shared" si="127"/>
        <v>241</v>
      </c>
      <c r="AI237" s="20"/>
      <c r="AJ237" s="5"/>
      <c r="AK237" s="64">
        <v>2012</v>
      </c>
      <c r="AL237" s="65" t="s">
        <v>41</v>
      </c>
      <c r="AM237" s="35">
        <f t="shared" si="98"/>
        <v>0.19871794871794871</v>
      </c>
      <c r="AN237" s="35">
        <f t="shared" si="99"/>
        <v>0.28971962616822428</v>
      </c>
      <c r="AO237" s="35">
        <f t="shared" si="100"/>
        <v>0.6858974358974359</v>
      </c>
      <c r="AP237" s="20">
        <v>936</v>
      </c>
      <c r="AQ237" s="27">
        <f t="shared" si="128"/>
        <v>294</v>
      </c>
      <c r="AR237" s="20">
        <v>642</v>
      </c>
      <c r="AS237" s="20">
        <v>186</v>
      </c>
      <c r="AT237" s="20">
        <f t="shared" si="129"/>
        <v>456</v>
      </c>
      <c r="AU237" s="34"/>
    </row>
    <row r="238" spans="1:47" s="2" customFormat="1" ht="12.95" customHeight="1">
      <c r="A238" s="62">
        <v>2012</v>
      </c>
      <c r="B238" s="63" t="s">
        <v>42</v>
      </c>
      <c r="C238" s="35">
        <f t="shared" si="103"/>
        <v>0.5085146641438032</v>
      </c>
      <c r="D238" s="35">
        <f t="shared" si="104"/>
        <v>0.66096901131333008</v>
      </c>
      <c r="E238" s="35">
        <f t="shared" si="105"/>
        <v>0.76934720908230847</v>
      </c>
      <c r="F238" s="27">
        <f t="shared" si="121"/>
        <v>10570</v>
      </c>
      <c r="G238" s="20">
        <f t="shared" si="86"/>
        <v>2438</v>
      </c>
      <c r="H238" s="27">
        <f t="shared" si="122"/>
        <v>8132</v>
      </c>
      <c r="I238" s="27">
        <f t="shared" si="123"/>
        <v>5375</v>
      </c>
      <c r="J238" s="20">
        <f t="shared" si="87"/>
        <v>2757</v>
      </c>
      <c r="K238" s="27"/>
      <c r="L238" s="4"/>
      <c r="M238" s="62">
        <v>2012</v>
      </c>
      <c r="N238" s="63" t="s">
        <v>42</v>
      </c>
      <c r="O238" s="35">
        <f t="shared" si="88"/>
        <v>0.54569643683479874</v>
      </c>
      <c r="P238" s="35">
        <f t="shared" si="89"/>
        <v>0.6856104651162791</v>
      </c>
      <c r="Q238" s="35">
        <f t="shared" si="90"/>
        <v>0.79592781119851919</v>
      </c>
      <c r="R238" s="20">
        <v>8644</v>
      </c>
      <c r="S238" s="27">
        <f t="shared" si="124"/>
        <v>1764</v>
      </c>
      <c r="T238" s="20">
        <v>6880</v>
      </c>
      <c r="U238" s="20">
        <v>4717</v>
      </c>
      <c r="V238" s="20">
        <f t="shared" si="125"/>
        <v>2163</v>
      </c>
      <c r="W238" s="20"/>
      <c r="X238" s="5"/>
      <c r="Y238" s="62">
        <v>2012</v>
      </c>
      <c r="Z238" s="63" t="s">
        <v>42</v>
      </c>
      <c r="AA238" s="35">
        <f t="shared" si="93"/>
        <v>0.43899782135076254</v>
      </c>
      <c r="AB238" s="35">
        <f t="shared" si="94"/>
        <v>0.6032934131736527</v>
      </c>
      <c r="AC238" s="35">
        <f t="shared" si="95"/>
        <v>0.72766884531590414</v>
      </c>
      <c r="AD238" s="20">
        <v>918</v>
      </c>
      <c r="AE238" s="27">
        <f t="shared" si="126"/>
        <v>250</v>
      </c>
      <c r="AF238" s="20">
        <v>668</v>
      </c>
      <c r="AG238" s="20">
        <v>403</v>
      </c>
      <c r="AH238" s="20">
        <f t="shared" si="127"/>
        <v>265</v>
      </c>
      <c r="AI238" s="20"/>
      <c r="AJ238" s="5"/>
      <c r="AK238" s="62">
        <v>2012</v>
      </c>
      <c r="AL238" s="63" t="s">
        <v>42</v>
      </c>
      <c r="AM238" s="35">
        <f t="shared" si="98"/>
        <v>0.25297619047619047</v>
      </c>
      <c r="AN238" s="35">
        <f t="shared" si="99"/>
        <v>0.43664383561643838</v>
      </c>
      <c r="AO238" s="35">
        <f t="shared" si="100"/>
        <v>0.57936507936507942</v>
      </c>
      <c r="AP238" s="20">
        <v>1008</v>
      </c>
      <c r="AQ238" s="27">
        <f t="shared" si="128"/>
        <v>424</v>
      </c>
      <c r="AR238" s="20">
        <v>584</v>
      </c>
      <c r="AS238" s="20">
        <v>255</v>
      </c>
      <c r="AT238" s="20">
        <f t="shared" si="129"/>
        <v>329</v>
      </c>
      <c r="AU238" s="34"/>
    </row>
    <row r="239" spans="1:47" s="2" customFormat="1" ht="12.95" customHeight="1">
      <c r="A239" s="64">
        <v>2012</v>
      </c>
      <c r="B239" s="65" t="s">
        <v>43</v>
      </c>
      <c r="C239" s="35">
        <f t="shared" si="103"/>
        <v>0.5610326351680468</v>
      </c>
      <c r="D239" s="35">
        <f t="shared" si="104"/>
        <v>0.68633059230127513</v>
      </c>
      <c r="E239" s="35">
        <f t="shared" si="105"/>
        <v>0.81743789576229908</v>
      </c>
      <c r="F239" s="27">
        <f t="shared" si="121"/>
        <v>10265</v>
      </c>
      <c r="G239" s="20">
        <f t="shared" si="86"/>
        <v>1874</v>
      </c>
      <c r="H239" s="27">
        <f t="shared" si="122"/>
        <v>8391</v>
      </c>
      <c r="I239" s="27">
        <f t="shared" si="123"/>
        <v>5759</v>
      </c>
      <c r="J239" s="20">
        <f t="shared" si="87"/>
        <v>2632</v>
      </c>
      <c r="K239" s="27"/>
      <c r="L239" s="4"/>
      <c r="M239" s="64">
        <v>2012</v>
      </c>
      <c r="N239" s="65" t="s">
        <v>43</v>
      </c>
      <c r="O239" s="35">
        <f t="shared" si="88"/>
        <v>0.58188319427890345</v>
      </c>
      <c r="P239" s="35">
        <f t="shared" si="89"/>
        <v>0.72016521610857054</v>
      </c>
      <c r="Q239" s="35">
        <f t="shared" si="90"/>
        <v>0.80798569725864122</v>
      </c>
      <c r="R239" s="20">
        <v>8390</v>
      </c>
      <c r="S239" s="27">
        <f t="shared" si="124"/>
        <v>1611</v>
      </c>
      <c r="T239" s="20">
        <v>6779</v>
      </c>
      <c r="U239" s="20">
        <v>4882</v>
      </c>
      <c r="V239" s="20">
        <f t="shared" si="125"/>
        <v>1897</v>
      </c>
      <c r="W239" s="20"/>
      <c r="X239" s="5"/>
      <c r="Y239" s="64">
        <v>2012</v>
      </c>
      <c r="Z239" s="65" t="s">
        <v>43</v>
      </c>
      <c r="AA239" s="35">
        <f t="shared" si="93"/>
        <v>0.58305084745762714</v>
      </c>
      <c r="AB239" s="35">
        <f t="shared" si="94"/>
        <v>0.65316455696202536</v>
      </c>
      <c r="AC239" s="35">
        <f t="shared" si="95"/>
        <v>0.89265536723163841</v>
      </c>
      <c r="AD239" s="20">
        <v>885</v>
      </c>
      <c r="AE239" s="27">
        <f t="shared" si="126"/>
        <v>95</v>
      </c>
      <c r="AF239" s="20">
        <v>790</v>
      </c>
      <c r="AG239" s="20">
        <v>516</v>
      </c>
      <c r="AH239" s="20">
        <f t="shared" si="127"/>
        <v>274</v>
      </c>
      <c r="AI239" s="20"/>
      <c r="AJ239" s="5"/>
      <c r="AK239" s="64">
        <v>2012</v>
      </c>
      <c r="AL239" s="65" t="s">
        <v>43</v>
      </c>
      <c r="AM239" s="35">
        <f t="shared" si="98"/>
        <v>0.36464646464646466</v>
      </c>
      <c r="AN239" s="35">
        <f t="shared" si="99"/>
        <v>0.43917274939172751</v>
      </c>
      <c r="AO239" s="35">
        <f t="shared" si="100"/>
        <v>0.83030303030303032</v>
      </c>
      <c r="AP239" s="20">
        <v>990</v>
      </c>
      <c r="AQ239" s="27">
        <f t="shared" si="128"/>
        <v>168</v>
      </c>
      <c r="AR239" s="20">
        <v>822</v>
      </c>
      <c r="AS239" s="20">
        <v>361</v>
      </c>
      <c r="AT239" s="20">
        <f t="shared" si="129"/>
        <v>461</v>
      </c>
      <c r="AU239" s="34"/>
    </row>
    <row r="240" spans="1:47" s="2" customFormat="1" ht="12.95" customHeight="1">
      <c r="A240" s="62">
        <v>2012</v>
      </c>
      <c r="B240" s="63" t="s">
        <v>44</v>
      </c>
      <c r="C240" s="35">
        <f t="shared" si="103"/>
        <v>0.54569536423841059</v>
      </c>
      <c r="D240" s="35">
        <f t="shared" si="104"/>
        <v>0.6953586497890295</v>
      </c>
      <c r="E240" s="35">
        <f t="shared" si="105"/>
        <v>0.78476821192052981</v>
      </c>
      <c r="F240" s="27">
        <f t="shared" si="121"/>
        <v>10570</v>
      </c>
      <c r="G240" s="20">
        <f t="shared" si="86"/>
        <v>2275</v>
      </c>
      <c r="H240" s="27">
        <f t="shared" si="122"/>
        <v>8295</v>
      </c>
      <c r="I240" s="27">
        <f t="shared" si="123"/>
        <v>5768</v>
      </c>
      <c r="J240" s="20">
        <f t="shared" si="87"/>
        <v>2527</v>
      </c>
      <c r="K240" s="27"/>
      <c r="L240" s="4"/>
      <c r="M240" s="62">
        <v>2012</v>
      </c>
      <c r="N240" s="63" t="s">
        <v>44</v>
      </c>
      <c r="O240" s="35">
        <f t="shared" si="88"/>
        <v>0.55633965756594173</v>
      </c>
      <c r="P240" s="35">
        <f t="shared" si="89"/>
        <v>0.70981549815498157</v>
      </c>
      <c r="Q240" s="35">
        <f t="shared" si="90"/>
        <v>0.783780657103193</v>
      </c>
      <c r="R240" s="20">
        <v>8644</v>
      </c>
      <c r="S240" s="27">
        <f t="shared" si="124"/>
        <v>1869</v>
      </c>
      <c r="T240" s="20">
        <v>6775</v>
      </c>
      <c r="U240" s="20">
        <v>4809</v>
      </c>
      <c r="V240" s="20">
        <f t="shared" si="125"/>
        <v>1966</v>
      </c>
      <c r="W240" s="20"/>
      <c r="X240" s="5"/>
      <c r="Y240" s="62">
        <v>2012</v>
      </c>
      <c r="Z240" s="63" t="s">
        <v>44</v>
      </c>
      <c r="AA240" s="35">
        <f t="shared" si="93"/>
        <v>0.63834422657952072</v>
      </c>
      <c r="AB240" s="35">
        <f t="shared" si="94"/>
        <v>0.75032010243277847</v>
      </c>
      <c r="AC240" s="35">
        <f t="shared" si="95"/>
        <v>0.85076252723311552</v>
      </c>
      <c r="AD240" s="20">
        <v>918</v>
      </c>
      <c r="AE240" s="27">
        <f t="shared" si="126"/>
        <v>137</v>
      </c>
      <c r="AF240" s="20">
        <v>781</v>
      </c>
      <c r="AG240" s="20">
        <v>586</v>
      </c>
      <c r="AH240" s="20">
        <f t="shared" si="127"/>
        <v>195</v>
      </c>
      <c r="AI240" s="20"/>
      <c r="AJ240" s="5"/>
      <c r="AK240" s="62">
        <v>2012</v>
      </c>
      <c r="AL240" s="63" t="s">
        <v>44</v>
      </c>
      <c r="AM240" s="35">
        <f t="shared" si="98"/>
        <v>0.37003968253968256</v>
      </c>
      <c r="AN240" s="35">
        <f t="shared" si="99"/>
        <v>0.50473612990527739</v>
      </c>
      <c r="AO240" s="35">
        <f t="shared" si="100"/>
        <v>0.73313492063492058</v>
      </c>
      <c r="AP240" s="20">
        <v>1008</v>
      </c>
      <c r="AQ240" s="27">
        <f t="shared" si="128"/>
        <v>269</v>
      </c>
      <c r="AR240" s="20">
        <v>739</v>
      </c>
      <c r="AS240" s="20">
        <v>373</v>
      </c>
      <c r="AT240" s="20">
        <f t="shared" si="129"/>
        <v>366</v>
      </c>
      <c r="AU240" s="34"/>
    </row>
    <row r="241" spans="1:47" s="2" customFormat="1" ht="12.95" customHeight="1">
      <c r="A241" s="64">
        <v>2012</v>
      </c>
      <c r="B241" s="65" t="s">
        <v>45</v>
      </c>
      <c r="C241" s="35">
        <f t="shared" si="103"/>
        <v>0.35640428504890542</v>
      </c>
      <c r="D241" s="35">
        <f t="shared" si="104"/>
        <v>0.52852603950821941</v>
      </c>
      <c r="E241" s="35">
        <f t="shared" si="105"/>
        <v>0.67433628318584071</v>
      </c>
      <c r="F241" s="27">
        <f t="shared" si="121"/>
        <v>10735</v>
      </c>
      <c r="G241" s="20">
        <f t="shared" si="86"/>
        <v>3496</v>
      </c>
      <c r="H241" s="27">
        <f t="shared" si="122"/>
        <v>7239</v>
      </c>
      <c r="I241" s="27">
        <f t="shared" si="123"/>
        <v>3826</v>
      </c>
      <c r="J241" s="20">
        <f t="shared" si="87"/>
        <v>3413</v>
      </c>
      <c r="K241" s="27"/>
      <c r="L241" s="4"/>
      <c r="M241" s="64">
        <v>2012</v>
      </c>
      <c r="N241" s="65" t="s">
        <v>45</v>
      </c>
      <c r="O241" s="35">
        <f t="shared" si="88"/>
        <v>0.36321237629393699</v>
      </c>
      <c r="P241" s="35">
        <f t="shared" si="89"/>
        <v>0.52890508530727187</v>
      </c>
      <c r="Q241" s="35">
        <f t="shared" si="90"/>
        <v>0.6867250597201684</v>
      </c>
      <c r="R241" s="20">
        <v>8791</v>
      </c>
      <c r="S241" s="27">
        <f t="shared" si="124"/>
        <v>2754</v>
      </c>
      <c r="T241" s="20">
        <v>6037</v>
      </c>
      <c r="U241" s="20">
        <v>3193</v>
      </c>
      <c r="V241" s="20">
        <f t="shared" si="125"/>
        <v>2844</v>
      </c>
      <c r="W241" s="20"/>
      <c r="X241" s="5"/>
      <c r="Y241" s="64">
        <v>2012</v>
      </c>
      <c r="Z241" s="65" t="s">
        <v>45</v>
      </c>
      <c r="AA241" s="35">
        <f t="shared" si="93"/>
        <v>0.46405228758169936</v>
      </c>
      <c r="AB241" s="35">
        <f t="shared" si="94"/>
        <v>0.66149068322981364</v>
      </c>
      <c r="AC241" s="35">
        <f t="shared" si="95"/>
        <v>0.70152505446623092</v>
      </c>
      <c r="AD241" s="20">
        <v>918</v>
      </c>
      <c r="AE241" s="27">
        <f t="shared" si="126"/>
        <v>274</v>
      </c>
      <c r="AF241" s="20">
        <v>644</v>
      </c>
      <c r="AG241" s="20">
        <v>426</v>
      </c>
      <c r="AH241" s="20">
        <f t="shared" si="127"/>
        <v>218</v>
      </c>
      <c r="AI241" s="20"/>
      <c r="AJ241" s="5"/>
      <c r="AK241" s="64">
        <v>2012</v>
      </c>
      <c r="AL241" s="65" t="s">
        <v>45</v>
      </c>
      <c r="AM241" s="35">
        <f t="shared" si="98"/>
        <v>0.20175438596491227</v>
      </c>
      <c r="AN241" s="35">
        <f t="shared" si="99"/>
        <v>0.37096774193548387</v>
      </c>
      <c r="AO241" s="35">
        <f t="shared" si="100"/>
        <v>0.54385964912280704</v>
      </c>
      <c r="AP241" s="20">
        <v>1026</v>
      </c>
      <c r="AQ241" s="27">
        <f t="shared" si="128"/>
        <v>468</v>
      </c>
      <c r="AR241" s="20">
        <v>558</v>
      </c>
      <c r="AS241" s="20">
        <v>207</v>
      </c>
      <c r="AT241" s="20">
        <f t="shared" si="129"/>
        <v>351</v>
      </c>
      <c r="AU241" s="34"/>
    </row>
    <row r="242" spans="1:47" s="2" customFormat="1" ht="12.95" customHeight="1">
      <c r="A242" s="62">
        <v>2012</v>
      </c>
      <c r="B242" s="63" t="s">
        <v>46</v>
      </c>
      <c r="C242" s="35">
        <f t="shared" si="103"/>
        <v>0.29712871287128712</v>
      </c>
      <c r="D242" s="35">
        <f t="shared" si="104"/>
        <v>0.47597145122918316</v>
      </c>
      <c r="E242" s="35">
        <f t="shared" si="105"/>
        <v>0.62425742574257426</v>
      </c>
      <c r="F242" s="27">
        <f t="shared" si="121"/>
        <v>10100</v>
      </c>
      <c r="G242" s="20">
        <f t="shared" si="86"/>
        <v>3795</v>
      </c>
      <c r="H242" s="27">
        <f t="shared" si="122"/>
        <v>6305</v>
      </c>
      <c r="I242" s="27">
        <f t="shared" si="123"/>
        <v>3001</v>
      </c>
      <c r="J242" s="20">
        <f t="shared" si="87"/>
        <v>3304</v>
      </c>
      <c r="K242" s="27"/>
      <c r="L242" s="4"/>
      <c r="M242" s="62">
        <v>2012</v>
      </c>
      <c r="N242" s="63" t="s">
        <v>46</v>
      </c>
      <c r="O242" s="35">
        <f t="shared" si="88"/>
        <v>0.28691010554409802</v>
      </c>
      <c r="P242" s="35">
        <f t="shared" si="89"/>
        <v>0.46164356822174507</v>
      </c>
      <c r="Q242" s="35">
        <f t="shared" si="90"/>
        <v>0.62149702778114768</v>
      </c>
      <c r="R242" s="20">
        <v>8243</v>
      </c>
      <c r="S242" s="27">
        <f t="shared" si="124"/>
        <v>3120</v>
      </c>
      <c r="T242" s="20">
        <v>5123</v>
      </c>
      <c r="U242" s="20">
        <v>2365</v>
      </c>
      <c r="V242" s="20">
        <f t="shared" si="125"/>
        <v>2758</v>
      </c>
      <c r="W242" s="20"/>
      <c r="X242" s="5"/>
      <c r="Y242" s="62">
        <v>2012</v>
      </c>
      <c r="Z242" s="63" t="s">
        <v>46</v>
      </c>
      <c r="AA242" s="35">
        <f t="shared" si="93"/>
        <v>0.53107344632768361</v>
      </c>
      <c r="AB242" s="35">
        <f t="shared" si="94"/>
        <v>0.67528735632183912</v>
      </c>
      <c r="AC242" s="35">
        <f t="shared" si="95"/>
        <v>0.78644067796610173</v>
      </c>
      <c r="AD242" s="20">
        <v>885</v>
      </c>
      <c r="AE242" s="27">
        <f t="shared" si="126"/>
        <v>189</v>
      </c>
      <c r="AF242" s="20">
        <v>696</v>
      </c>
      <c r="AG242" s="20">
        <v>470</v>
      </c>
      <c r="AH242" s="20">
        <f t="shared" si="127"/>
        <v>226</v>
      </c>
      <c r="AI242" s="20"/>
      <c r="AJ242" s="5"/>
      <c r="AK242" s="62">
        <v>2012</v>
      </c>
      <c r="AL242" s="63" t="s">
        <v>46</v>
      </c>
      <c r="AM242" s="35">
        <f t="shared" si="98"/>
        <v>0.17078189300411523</v>
      </c>
      <c r="AN242" s="35">
        <f t="shared" si="99"/>
        <v>0.34156378600823045</v>
      </c>
      <c r="AO242" s="35">
        <f t="shared" si="100"/>
        <v>0.5</v>
      </c>
      <c r="AP242" s="20">
        <v>972</v>
      </c>
      <c r="AQ242" s="27">
        <f t="shared" si="128"/>
        <v>486</v>
      </c>
      <c r="AR242" s="20">
        <v>486</v>
      </c>
      <c r="AS242" s="20">
        <v>166</v>
      </c>
      <c r="AT242" s="20">
        <f t="shared" si="129"/>
        <v>320</v>
      </c>
      <c r="AU242" s="34"/>
    </row>
    <row r="243" spans="1:47" s="2" customFormat="1" ht="12.95" customHeight="1">
      <c r="A243" s="64">
        <v>2012</v>
      </c>
      <c r="B243" s="65" t="s">
        <v>47</v>
      </c>
      <c r="C243" s="35">
        <f t="shared" si="103"/>
        <v>0.26595249184909175</v>
      </c>
      <c r="D243" s="35">
        <f t="shared" si="104"/>
        <v>0.39835356495046742</v>
      </c>
      <c r="E243" s="35">
        <f t="shared" si="105"/>
        <v>0.66762925011644159</v>
      </c>
      <c r="F243" s="27">
        <f t="shared" si="121"/>
        <v>10735</v>
      </c>
      <c r="G243" s="20">
        <f t="shared" si="86"/>
        <v>3568</v>
      </c>
      <c r="H243" s="27">
        <f t="shared" si="122"/>
        <v>7167</v>
      </c>
      <c r="I243" s="27">
        <f t="shared" si="123"/>
        <v>2855</v>
      </c>
      <c r="J243" s="20">
        <f t="shared" si="87"/>
        <v>4312</v>
      </c>
      <c r="K243" s="27"/>
      <c r="L243" s="4"/>
      <c r="M243" s="64">
        <v>2012</v>
      </c>
      <c r="N243" s="65" t="s">
        <v>47</v>
      </c>
      <c r="O243" s="35">
        <f t="shared" si="88"/>
        <v>0.26106245023319302</v>
      </c>
      <c r="P243" s="35">
        <f t="shared" si="89"/>
        <v>0.3876034453639588</v>
      </c>
      <c r="Q243" s="35">
        <f t="shared" si="90"/>
        <v>0.67352974633147533</v>
      </c>
      <c r="R243" s="20">
        <v>8791</v>
      </c>
      <c r="S243" s="27">
        <f t="shared" si="124"/>
        <v>2870</v>
      </c>
      <c r="T243" s="20">
        <v>5921</v>
      </c>
      <c r="U243" s="20">
        <v>2295</v>
      </c>
      <c r="V243" s="20">
        <f t="shared" si="125"/>
        <v>3626</v>
      </c>
      <c r="W243" s="20"/>
      <c r="X243" s="5"/>
      <c r="Y243" s="64">
        <v>2012</v>
      </c>
      <c r="Z243" s="65" t="s">
        <v>47</v>
      </c>
      <c r="AA243" s="35">
        <f t="shared" si="93"/>
        <v>0.51198257080610021</v>
      </c>
      <c r="AB243" s="35">
        <f t="shared" si="94"/>
        <v>0.65642458100558654</v>
      </c>
      <c r="AC243" s="35">
        <f t="shared" si="95"/>
        <v>0.77995642701525059</v>
      </c>
      <c r="AD243" s="20">
        <v>918</v>
      </c>
      <c r="AE243" s="27">
        <f t="shared" si="126"/>
        <v>202</v>
      </c>
      <c r="AF243" s="20">
        <v>716</v>
      </c>
      <c r="AG243" s="20">
        <v>470</v>
      </c>
      <c r="AH243" s="20">
        <f t="shared" si="127"/>
        <v>246</v>
      </c>
      <c r="AI243" s="20"/>
      <c r="AJ243" s="5"/>
      <c r="AK243" s="64">
        <v>2012</v>
      </c>
      <c r="AL243" s="65" t="s">
        <v>47</v>
      </c>
      <c r="AM243" s="35">
        <f t="shared" si="98"/>
        <v>8.771929824561403E-2</v>
      </c>
      <c r="AN243" s="35">
        <f t="shared" si="99"/>
        <v>0.16981132075471697</v>
      </c>
      <c r="AO243" s="35">
        <f t="shared" si="100"/>
        <v>0.51656920077972712</v>
      </c>
      <c r="AP243" s="20">
        <v>1026</v>
      </c>
      <c r="AQ243" s="27">
        <f t="shared" si="128"/>
        <v>496</v>
      </c>
      <c r="AR243" s="20">
        <v>530</v>
      </c>
      <c r="AS243" s="20">
        <v>90</v>
      </c>
      <c r="AT243" s="20">
        <f t="shared" si="129"/>
        <v>440</v>
      </c>
      <c r="AU243" s="34"/>
    </row>
    <row r="244" spans="1:47" s="2" customFormat="1" ht="12.95" customHeight="1">
      <c r="A244" s="62">
        <v>2012</v>
      </c>
      <c r="B244" s="63" t="s">
        <v>48</v>
      </c>
      <c r="C244" s="35">
        <f t="shared" si="103"/>
        <v>0.16742343734904841</v>
      </c>
      <c r="D244" s="35">
        <f t="shared" si="104"/>
        <v>0.291799966324297</v>
      </c>
      <c r="E244" s="35">
        <f t="shared" si="105"/>
        <v>0.5737609892763984</v>
      </c>
      <c r="F244" s="27">
        <f t="shared" si="121"/>
        <v>10351</v>
      </c>
      <c r="G244" s="20">
        <f t="shared" si="86"/>
        <v>4412</v>
      </c>
      <c r="H244" s="27">
        <f t="shared" si="122"/>
        <v>5939</v>
      </c>
      <c r="I244" s="27">
        <f t="shared" si="123"/>
        <v>1733</v>
      </c>
      <c r="J244" s="20">
        <f t="shared" si="87"/>
        <v>4206</v>
      </c>
      <c r="K244" s="27"/>
      <c r="L244" s="4"/>
      <c r="M244" s="62">
        <v>2012</v>
      </c>
      <c r="N244" s="63" t="s">
        <v>48</v>
      </c>
      <c r="O244" s="35">
        <f t="shared" si="88"/>
        <v>0.14681930839136079</v>
      </c>
      <c r="P244" s="35">
        <f t="shared" si="89"/>
        <v>0.25911268485732142</v>
      </c>
      <c r="Q244" s="35">
        <f t="shared" si="90"/>
        <v>0.56662339195090283</v>
      </c>
      <c r="R244" s="20">
        <v>8473</v>
      </c>
      <c r="S244" s="27">
        <f t="shared" si="124"/>
        <v>3672</v>
      </c>
      <c r="T244" s="20">
        <v>4801</v>
      </c>
      <c r="U244" s="20">
        <v>1244</v>
      </c>
      <c r="V244" s="20">
        <f t="shared" si="125"/>
        <v>3557</v>
      </c>
      <c r="W244" s="20"/>
      <c r="X244" s="5"/>
      <c r="Y244" s="62">
        <v>2012</v>
      </c>
      <c r="Z244" s="63" t="s">
        <v>48</v>
      </c>
      <c r="AA244" s="35">
        <f t="shared" si="93"/>
        <v>0.40653153153153154</v>
      </c>
      <c r="AB244" s="35">
        <f t="shared" si="94"/>
        <v>0.51205673758865244</v>
      </c>
      <c r="AC244" s="35">
        <f t="shared" si="95"/>
        <v>0.79391891891891897</v>
      </c>
      <c r="AD244" s="20">
        <v>888</v>
      </c>
      <c r="AE244" s="27">
        <f t="shared" si="126"/>
        <v>183</v>
      </c>
      <c r="AF244" s="20">
        <v>705</v>
      </c>
      <c r="AG244" s="20">
        <v>361</v>
      </c>
      <c r="AH244" s="20">
        <f t="shared" si="127"/>
        <v>344</v>
      </c>
      <c r="AI244" s="20"/>
      <c r="AJ244" s="5"/>
      <c r="AK244" s="62">
        <v>2012</v>
      </c>
      <c r="AL244" s="63" t="s">
        <v>48</v>
      </c>
      <c r="AM244" s="35">
        <f t="shared" si="98"/>
        <v>0.12929292929292929</v>
      </c>
      <c r="AN244" s="35">
        <f t="shared" si="99"/>
        <v>0.29561200923787528</v>
      </c>
      <c r="AO244" s="35">
        <f t="shared" si="100"/>
        <v>0.43737373737373736</v>
      </c>
      <c r="AP244" s="20">
        <v>990</v>
      </c>
      <c r="AQ244" s="27">
        <f t="shared" si="128"/>
        <v>557</v>
      </c>
      <c r="AR244" s="20">
        <v>433</v>
      </c>
      <c r="AS244" s="20">
        <v>128</v>
      </c>
      <c r="AT244" s="20">
        <f t="shared" si="129"/>
        <v>305</v>
      </c>
      <c r="AU244" s="34"/>
    </row>
    <row r="245" spans="1:47" s="2" customFormat="1" ht="12.95" customHeight="1">
      <c r="A245" s="64">
        <v>2012</v>
      </c>
      <c r="B245" s="65" t="s">
        <v>49</v>
      </c>
      <c r="C245" s="35">
        <f t="shared" si="103"/>
        <v>0.30191345944770603</v>
      </c>
      <c r="D245" s="35">
        <f t="shared" si="104"/>
        <v>0.46523705813369076</v>
      </c>
      <c r="E245" s="35">
        <f t="shared" si="105"/>
        <v>0.6489454229180257</v>
      </c>
      <c r="F245" s="27">
        <f t="shared" si="121"/>
        <v>9198</v>
      </c>
      <c r="G245" s="20">
        <f t="shared" si="86"/>
        <v>3229</v>
      </c>
      <c r="H245" s="27">
        <f t="shared" si="122"/>
        <v>5969</v>
      </c>
      <c r="I245" s="27">
        <f t="shared" si="123"/>
        <v>2777</v>
      </c>
      <c r="J245" s="20">
        <f t="shared" si="87"/>
        <v>3192</v>
      </c>
      <c r="K245" s="27"/>
      <c r="L245" s="10"/>
      <c r="M245" s="64">
        <v>2012</v>
      </c>
      <c r="N245" s="65" t="s">
        <v>49</v>
      </c>
      <c r="O245" s="35">
        <f t="shared" si="88"/>
        <v>0.31472359058565957</v>
      </c>
      <c r="P245" s="35">
        <f t="shared" si="89"/>
        <v>0.4827875734676742</v>
      </c>
      <c r="Q245" s="35">
        <f t="shared" si="90"/>
        <v>0.65188834154351394</v>
      </c>
      <c r="R245" s="20">
        <v>7308</v>
      </c>
      <c r="S245" s="27">
        <f t="shared" si="124"/>
        <v>2544</v>
      </c>
      <c r="T245" s="20">
        <v>4764</v>
      </c>
      <c r="U245" s="20">
        <v>2300</v>
      </c>
      <c r="V245" s="20">
        <f t="shared" si="125"/>
        <v>2464</v>
      </c>
      <c r="W245" s="20"/>
      <c r="X245" s="5"/>
      <c r="Y245" s="64">
        <v>2012</v>
      </c>
      <c r="Z245" s="65" t="s">
        <v>49</v>
      </c>
      <c r="AA245" s="35">
        <f t="shared" si="93"/>
        <v>0.44662309368191722</v>
      </c>
      <c r="AB245" s="35">
        <f t="shared" si="94"/>
        <v>0.53805774278215224</v>
      </c>
      <c r="AC245" s="35">
        <f t="shared" si="95"/>
        <v>0.83006535947712423</v>
      </c>
      <c r="AD245" s="20">
        <v>918</v>
      </c>
      <c r="AE245" s="27">
        <f t="shared" si="126"/>
        <v>156</v>
      </c>
      <c r="AF245" s="20">
        <v>762</v>
      </c>
      <c r="AG245" s="20">
        <v>410</v>
      </c>
      <c r="AH245" s="20">
        <f t="shared" si="127"/>
        <v>352</v>
      </c>
      <c r="AI245" s="20"/>
      <c r="AJ245" s="5"/>
      <c r="AK245" s="64">
        <v>2012</v>
      </c>
      <c r="AL245" s="65" t="s">
        <v>49</v>
      </c>
      <c r="AM245" s="35">
        <f t="shared" si="98"/>
        <v>6.893004115226338E-2</v>
      </c>
      <c r="AN245" s="35">
        <f t="shared" si="99"/>
        <v>0.15124153498871332</v>
      </c>
      <c r="AO245" s="35">
        <f t="shared" si="100"/>
        <v>0.45576131687242799</v>
      </c>
      <c r="AP245" s="20">
        <v>972</v>
      </c>
      <c r="AQ245" s="27">
        <f t="shared" si="128"/>
        <v>529</v>
      </c>
      <c r="AR245" s="20">
        <v>443</v>
      </c>
      <c r="AS245" s="20">
        <v>67</v>
      </c>
      <c r="AT245" s="20">
        <f t="shared" si="129"/>
        <v>376</v>
      </c>
      <c r="AU245" s="34"/>
    </row>
    <row r="246" spans="1:47" s="2" customFormat="1" ht="12.95" customHeight="1">
      <c r="A246" s="62">
        <v>2013</v>
      </c>
      <c r="B246" s="63" t="s">
        <v>38</v>
      </c>
      <c r="C246" s="35">
        <f t="shared" si="103"/>
        <v>0.49244271087274499</v>
      </c>
      <c r="D246" s="35">
        <f t="shared" si="104"/>
        <v>0.68965517241379315</v>
      </c>
      <c r="E246" s="35">
        <f t="shared" si="105"/>
        <v>0.71404193076548028</v>
      </c>
      <c r="F246" s="27">
        <f t="shared" si="121"/>
        <v>8204</v>
      </c>
      <c r="G246" s="20">
        <f t="shared" si="86"/>
        <v>2346</v>
      </c>
      <c r="H246" s="27">
        <f t="shared" si="122"/>
        <v>5858</v>
      </c>
      <c r="I246" s="27">
        <f t="shared" si="123"/>
        <v>4040</v>
      </c>
      <c r="J246" s="20">
        <f t="shared" si="87"/>
        <v>1818</v>
      </c>
      <c r="K246" s="27"/>
      <c r="L246" s="4"/>
      <c r="M246" s="62">
        <v>2013</v>
      </c>
      <c r="N246" s="63" t="s">
        <v>38</v>
      </c>
      <c r="O246" s="35">
        <f t="shared" si="88"/>
        <v>0.52309652755654668</v>
      </c>
      <c r="P246" s="35">
        <f t="shared" si="89"/>
        <v>0.77746212121212122</v>
      </c>
      <c r="Q246" s="35">
        <f t="shared" si="90"/>
        <v>0.67282574068174583</v>
      </c>
      <c r="R246" s="20">
        <v>6278</v>
      </c>
      <c r="S246" s="27">
        <f t="shared" ref="S246:S257" si="130">R246-T246</f>
        <v>2054</v>
      </c>
      <c r="T246" s="20">
        <v>4224</v>
      </c>
      <c r="U246" s="20">
        <v>3284</v>
      </c>
      <c r="V246" s="20">
        <f t="shared" ref="V246:V257" si="131">T246-U246</f>
        <v>940</v>
      </c>
      <c r="W246" s="20"/>
      <c r="X246" s="5"/>
      <c r="Y246" s="62">
        <v>2013</v>
      </c>
      <c r="Z246" s="63" t="s">
        <v>38</v>
      </c>
      <c r="AA246" s="35">
        <f t="shared" si="93"/>
        <v>0.62636165577342051</v>
      </c>
      <c r="AB246" s="35">
        <f t="shared" si="94"/>
        <v>0.68289786223277915</v>
      </c>
      <c r="AC246" s="35">
        <f t="shared" si="95"/>
        <v>0.91721132897603486</v>
      </c>
      <c r="AD246" s="20">
        <v>918</v>
      </c>
      <c r="AE246" s="27">
        <f t="shared" ref="AE246:AE257" si="132">AD246-AF246</f>
        <v>76</v>
      </c>
      <c r="AF246" s="20">
        <v>842</v>
      </c>
      <c r="AG246" s="20">
        <v>575</v>
      </c>
      <c r="AH246" s="20">
        <f t="shared" ref="AH246:AH257" si="133">AF246-AG246</f>
        <v>267</v>
      </c>
      <c r="AI246" s="20"/>
      <c r="AJ246" s="5"/>
      <c r="AK246" s="62">
        <v>2013</v>
      </c>
      <c r="AL246" s="63" t="s">
        <v>38</v>
      </c>
      <c r="AM246" s="35">
        <f t="shared" si="98"/>
        <v>0.17956349206349206</v>
      </c>
      <c r="AN246" s="35">
        <f t="shared" si="99"/>
        <v>0.22853535353535354</v>
      </c>
      <c r="AO246" s="35">
        <f t="shared" si="100"/>
        <v>0.7857142857142857</v>
      </c>
      <c r="AP246" s="20">
        <v>1008</v>
      </c>
      <c r="AQ246" s="27">
        <f t="shared" ref="AQ246:AQ257" si="134">AP246-AR246</f>
        <v>216</v>
      </c>
      <c r="AR246" s="20">
        <v>792</v>
      </c>
      <c r="AS246" s="20">
        <v>181</v>
      </c>
      <c r="AT246" s="20">
        <f t="shared" ref="AT246:AT257" si="135">AR246-AS246</f>
        <v>611</v>
      </c>
      <c r="AU246" s="34"/>
    </row>
    <row r="247" spans="1:47" s="2" customFormat="1" ht="12.95" customHeight="1">
      <c r="A247" s="64">
        <v>2013</v>
      </c>
      <c r="B247" s="65" t="s">
        <v>39</v>
      </c>
      <c r="C247" s="35">
        <f t="shared" si="103"/>
        <v>0.49176728869374314</v>
      </c>
      <c r="D247" s="35">
        <f t="shared" si="104"/>
        <v>0.66394961096702487</v>
      </c>
      <c r="E247" s="35">
        <f t="shared" si="105"/>
        <v>0.74066959385290887</v>
      </c>
      <c r="F247" s="27">
        <f t="shared" si="121"/>
        <v>7288</v>
      </c>
      <c r="G247" s="20">
        <f t="shared" si="86"/>
        <v>1890</v>
      </c>
      <c r="H247" s="27">
        <f t="shared" si="122"/>
        <v>5398</v>
      </c>
      <c r="I247" s="27">
        <f t="shared" si="123"/>
        <v>3584</v>
      </c>
      <c r="J247" s="20">
        <f t="shared" si="87"/>
        <v>1814</v>
      </c>
      <c r="K247" s="27"/>
      <c r="L247" s="4"/>
      <c r="M247" s="64">
        <v>2013</v>
      </c>
      <c r="N247" s="65" t="s">
        <v>39</v>
      </c>
      <c r="O247" s="35">
        <f t="shared" si="88"/>
        <v>0.542309071351739</v>
      </c>
      <c r="P247" s="35">
        <f t="shared" si="89"/>
        <v>0.76024126664991198</v>
      </c>
      <c r="Q247" s="35">
        <f t="shared" si="90"/>
        <v>0.71333811401936176</v>
      </c>
      <c r="R247" s="20">
        <v>5578</v>
      </c>
      <c r="S247" s="27">
        <f t="shared" si="130"/>
        <v>1599</v>
      </c>
      <c r="T247" s="20">
        <v>3979</v>
      </c>
      <c r="U247" s="20">
        <v>3025</v>
      </c>
      <c r="V247" s="20">
        <f t="shared" si="131"/>
        <v>954</v>
      </c>
      <c r="W247" s="20"/>
      <c r="X247" s="5"/>
      <c r="Y247" s="64">
        <v>2013</v>
      </c>
      <c r="Z247" s="65" t="s">
        <v>39</v>
      </c>
      <c r="AA247" s="35">
        <f t="shared" si="93"/>
        <v>0.4939613526570048</v>
      </c>
      <c r="AB247" s="35">
        <f t="shared" si="94"/>
        <v>0.60235640648011779</v>
      </c>
      <c r="AC247" s="35">
        <f t="shared" si="95"/>
        <v>0.82004830917874394</v>
      </c>
      <c r="AD247" s="20">
        <v>828</v>
      </c>
      <c r="AE247" s="27">
        <f t="shared" si="132"/>
        <v>149</v>
      </c>
      <c r="AF247" s="20">
        <v>679</v>
      </c>
      <c r="AG247" s="20">
        <v>409</v>
      </c>
      <c r="AH247" s="20">
        <f t="shared" si="133"/>
        <v>270</v>
      </c>
      <c r="AI247" s="20"/>
      <c r="AJ247" s="5"/>
      <c r="AK247" s="64">
        <v>2013</v>
      </c>
      <c r="AL247" s="65" t="s">
        <v>39</v>
      </c>
      <c r="AM247" s="35">
        <f t="shared" si="98"/>
        <v>0.17006802721088435</v>
      </c>
      <c r="AN247" s="35">
        <f t="shared" si="99"/>
        <v>0.20270270270270271</v>
      </c>
      <c r="AO247" s="35">
        <f t="shared" si="100"/>
        <v>0.83900226757369611</v>
      </c>
      <c r="AP247" s="20">
        <v>882</v>
      </c>
      <c r="AQ247" s="27">
        <f t="shared" si="134"/>
        <v>142</v>
      </c>
      <c r="AR247" s="20">
        <v>740</v>
      </c>
      <c r="AS247" s="20">
        <v>150</v>
      </c>
      <c r="AT247" s="20">
        <f t="shared" si="135"/>
        <v>590</v>
      </c>
      <c r="AU247" s="34"/>
    </row>
    <row r="248" spans="1:47" s="2" customFormat="1" ht="12.95" customHeight="1">
      <c r="A248" s="62">
        <v>2013</v>
      </c>
      <c r="B248" s="63" t="s">
        <v>40</v>
      </c>
      <c r="C248" s="35">
        <f t="shared" si="103"/>
        <v>0.61496216743958998</v>
      </c>
      <c r="D248" s="35">
        <f t="shared" si="104"/>
        <v>0.76638783269961974</v>
      </c>
      <c r="E248" s="35">
        <f t="shared" si="105"/>
        <v>0.80241640224554556</v>
      </c>
      <c r="F248" s="27">
        <f t="shared" si="121"/>
        <v>8194</v>
      </c>
      <c r="G248" s="20">
        <f t="shared" si="86"/>
        <v>1619</v>
      </c>
      <c r="H248" s="27">
        <f t="shared" si="122"/>
        <v>6575</v>
      </c>
      <c r="I248" s="27">
        <f t="shared" si="123"/>
        <v>5039</v>
      </c>
      <c r="J248" s="20">
        <f t="shared" si="87"/>
        <v>1536</v>
      </c>
      <c r="K248" s="27"/>
      <c r="L248" s="4"/>
      <c r="M248" s="62">
        <v>2013</v>
      </c>
      <c r="N248" s="63" t="s">
        <v>40</v>
      </c>
      <c r="O248" s="35">
        <f t="shared" si="88"/>
        <v>0.71326107746254386</v>
      </c>
      <c r="P248" s="35">
        <f t="shared" si="89"/>
        <v>0.87351161428850288</v>
      </c>
      <c r="Q248" s="35">
        <f t="shared" si="90"/>
        <v>0.81654446923812563</v>
      </c>
      <c r="R248" s="20">
        <v>6274</v>
      </c>
      <c r="S248" s="27">
        <f t="shared" si="130"/>
        <v>1151</v>
      </c>
      <c r="T248" s="20">
        <v>5123</v>
      </c>
      <c r="U248" s="20">
        <v>4475</v>
      </c>
      <c r="V248" s="20">
        <f t="shared" si="131"/>
        <v>648</v>
      </c>
      <c r="W248" s="20"/>
      <c r="X248" s="5"/>
      <c r="Y248" s="62">
        <v>2013</v>
      </c>
      <c r="Z248" s="63" t="s">
        <v>40</v>
      </c>
      <c r="AA248" s="35">
        <f t="shared" si="93"/>
        <v>0.45504385964912281</v>
      </c>
      <c r="AB248" s="35">
        <f t="shared" si="94"/>
        <v>0.57320441988950277</v>
      </c>
      <c r="AC248" s="35">
        <f t="shared" si="95"/>
        <v>0.79385964912280704</v>
      </c>
      <c r="AD248" s="20">
        <v>912</v>
      </c>
      <c r="AE248" s="27">
        <f t="shared" si="132"/>
        <v>188</v>
      </c>
      <c r="AF248" s="20">
        <v>724</v>
      </c>
      <c r="AG248" s="20">
        <v>415</v>
      </c>
      <c r="AH248" s="20">
        <f t="shared" si="133"/>
        <v>309</v>
      </c>
      <c r="AI248" s="20"/>
      <c r="AJ248" s="5"/>
      <c r="AK248" s="62">
        <v>2013</v>
      </c>
      <c r="AL248" s="63" t="s">
        <v>40</v>
      </c>
      <c r="AM248" s="35">
        <f t="shared" si="98"/>
        <v>0.14781746031746032</v>
      </c>
      <c r="AN248" s="35">
        <f t="shared" si="99"/>
        <v>0.20467032967032966</v>
      </c>
      <c r="AO248" s="35">
        <f t="shared" si="100"/>
        <v>0.72222222222222221</v>
      </c>
      <c r="AP248" s="20">
        <v>1008</v>
      </c>
      <c r="AQ248" s="27">
        <f t="shared" si="134"/>
        <v>280</v>
      </c>
      <c r="AR248" s="20">
        <v>728</v>
      </c>
      <c r="AS248" s="20">
        <v>149</v>
      </c>
      <c r="AT248" s="20">
        <f t="shared" si="135"/>
        <v>579</v>
      </c>
      <c r="AU248" s="34"/>
    </row>
    <row r="249" spans="1:47" s="2" customFormat="1" ht="12.95" customHeight="1">
      <c r="A249" s="64">
        <v>2013</v>
      </c>
      <c r="B249" s="65" t="s">
        <v>41</v>
      </c>
      <c r="C249" s="35">
        <f t="shared" si="103"/>
        <v>0.58485540334855401</v>
      </c>
      <c r="D249" s="35">
        <f t="shared" si="104"/>
        <v>0.7470836033700583</v>
      </c>
      <c r="E249" s="35">
        <f t="shared" si="105"/>
        <v>0.78285134449518012</v>
      </c>
      <c r="F249" s="27">
        <f t="shared" si="121"/>
        <v>7884</v>
      </c>
      <c r="G249" s="20">
        <f t="shared" si="86"/>
        <v>1712</v>
      </c>
      <c r="H249" s="27">
        <f t="shared" si="122"/>
        <v>6172</v>
      </c>
      <c r="I249" s="27">
        <f t="shared" si="123"/>
        <v>4611</v>
      </c>
      <c r="J249" s="20">
        <f t="shared" si="87"/>
        <v>1561</v>
      </c>
      <c r="K249" s="27"/>
      <c r="L249" s="4"/>
      <c r="M249" s="64">
        <v>2013</v>
      </c>
      <c r="N249" s="65" t="s">
        <v>41</v>
      </c>
      <c r="O249" s="35">
        <f t="shared" si="88"/>
        <v>0.6777888446215139</v>
      </c>
      <c r="P249" s="35">
        <f t="shared" si="89"/>
        <v>0.8402963572751595</v>
      </c>
      <c r="Q249" s="35">
        <f t="shared" si="90"/>
        <v>0.80660690571049132</v>
      </c>
      <c r="R249" s="20">
        <v>6024</v>
      </c>
      <c r="S249" s="27">
        <f t="shared" si="130"/>
        <v>1165</v>
      </c>
      <c r="T249" s="20">
        <v>4859</v>
      </c>
      <c r="U249" s="20">
        <v>4083</v>
      </c>
      <c r="V249" s="20">
        <f t="shared" si="131"/>
        <v>776</v>
      </c>
      <c r="W249" s="20"/>
      <c r="X249" s="5"/>
      <c r="Y249" s="64">
        <v>2013</v>
      </c>
      <c r="Z249" s="65" t="s">
        <v>41</v>
      </c>
      <c r="AA249" s="35">
        <f t="shared" si="93"/>
        <v>0.48873873873873874</v>
      </c>
      <c r="AB249" s="35">
        <f t="shared" si="94"/>
        <v>0.64872944693572498</v>
      </c>
      <c r="AC249" s="35">
        <f t="shared" si="95"/>
        <v>0.7533783783783784</v>
      </c>
      <c r="AD249" s="20">
        <v>888</v>
      </c>
      <c r="AE249" s="27">
        <f t="shared" si="132"/>
        <v>219</v>
      </c>
      <c r="AF249" s="20">
        <v>669</v>
      </c>
      <c r="AG249" s="20">
        <v>434</v>
      </c>
      <c r="AH249" s="20">
        <f t="shared" si="133"/>
        <v>235</v>
      </c>
      <c r="AI249" s="20"/>
      <c r="AJ249" s="5"/>
      <c r="AK249" s="64">
        <v>2013</v>
      </c>
      <c r="AL249" s="65" t="s">
        <v>41</v>
      </c>
      <c r="AM249" s="35">
        <f t="shared" si="98"/>
        <v>9.6707818930041156E-2</v>
      </c>
      <c r="AN249" s="35">
        <f t="shared" si="99"/>
        <v>0.14596273291925466</v>
      </c>
      <c r="AO249" s="35">
        <f t="shared" si="100"/>
        <v>0.66255144032921809</v>
      </c>
      <c r="AP249" s="20">
        <v>972</v>
      </c>
      <c r="AQ249" s="27">
        <f t="shared" si="134"/>
        <v>328</v>
      </c>
      <c r="AR249" s="20">
        <v>644</v>
      </c>
      <c r="AS249" s="20">
        <v>94</v>
      </c>
      <c r="AT249" s="20">
        <f t="shared" si="135"/>
        <v>550</v>
      </c>
      <c r="AU249" s="34"/>
    </row>
    <row r="250" spans="1:47" s="2" customFormat="1" ht="12.95" customHeight="1">
      <c r="A250" s="62">
        <v>2013</v>
      </c>
      <c r="B250" s="63" t="s">
        <v>42</v>
      </c>
      <c r="C250" s="35">
        <f t="shared" si="103"/>
        <v>0.61510441962117535</v>
      </c>
      <c r="D250" s="35">
        <f t="shared" si="104"/>
        <v>0.77926472850330719</v>
      </c>
      <c r="E250" s="35">
        <f t="shared" si="105"/>
        <v>0.78933948518698394</v>
      </c>
      <c r="F250" s="27">
        <f t="shared" si="121"/>
        <v>8236</v>
      </c>
      <c r="G250" s="20">
        <f t="shared" si="86"/>
        <v>1735</v>
      </c>
      <c r="H250" s="27">
        <f t="shared" si="122"/>
        <v>6501</v>
      </c>
      <c r="I250" s="27">
        <f t="shared" si="123"/>
        <v>5066</v>
      </c>
      <c r="J250" s="20">
        <f t="shared" si="87"/>
        <v>1435</v>
      </c>
      <c r="K250" s="27"/>
      <c r="L250" s="4"/>
      <c r="M250" s="62">
        <v>2013</v>
      </c>
      <c r="N250" s="63" t="s">
        <v>42</v>
      </c>
      <c r="O250" s="35">
        <f t="shared" si="88"/>
        <v>0.7325174825174825</v>
      </c>
      <c r="P250" s="35">
        <f t="shared" si="89"/>
        <v>0.86570247933884292</v>
      </c>
      <c r="Q250" s="35">
        <f t="shared" si="90"/>
        <v>0.84615384615384615</v>
      </c>
      <c r="R250" s="20">
        <v>6292</v>
      </c>
      <c r="S250" s="27">
        <f t="shared" si="130"/>
        <v>968</v>
      </c>
      <c r="T250" s="20">
        <v>5324</v>
      </c>
      <c r="U250" s="20">
        <v>4609</v>
      </c>
      <c r="V250" s="20">
        <f t="shared" si="131"/>
        <v>715</v>
      </c>
      <c r="W250" s="20"/>
      <c r="X250" s="5"/>
      <c r="Y250" s="62">
        <v>2013</v>
      </c>
      <c r="Z250" s="63" t="s">
        <v>42</v>
      </c>
      <c r="AA250" s="35">
        <f t="shared" si="93"/>
        <v>0.40305010893246185</v>
      </c>
      <c r="AB250" s="35">
        <f t="shared" si="94"/>
        <v>0.57453416149068326</v>
      </c>
      <c r="AC250" s="35">
        <f t="shared" si="95"/>
        <v>0.70152505446623092</v>
      </c>
      <c r="AD250" s="20">
        <v>918</v>
      </c>
      <c r="AE250" s="27">
        <f t="shared" si="132"/>
        <v>274</v>
      </c>
      <c r="AF250" s="20">
        <v>644</v>
      </c>
      <c r="AG250" s="20">
        <v>370</v>
      </c>
      <c r="AH250" s="20">
        <f t="shared" si="133"/>
        <v>274</v>
      </c>
      <c r="AI250" s="20"/>
      <c r="AJ250" s="5"/>
      <c r="AK250" s="62">
        <v>2013</v>
      </c>
      <c r="AL250" s="63" t="s">
        <v>42</v>
      </c>
      <c r="AM250" s="35">
        <f t="shared" si="98"/>
        <v>8.4795321637426896E-2</v>
      </c>
      <c r="AN250" s="35">
        <f t="shared" si="99"/>
        <v>0.16322701688555347</v>
      </c>
      <c r="AO250" s="35">
        <f t="shared" si="100"/>
        <v>0.51949317738791423</v>
      </c>
      <c r="AP250" s="20">
        <v>1026</v>
      </c>
      <c r="AQ250" s="27">
        <f t="shared" si="134"/>
        <v>493</v>
      </c>
      <c r="AR250" s="20">
        <v>533</v>
      </c>
      <c r="AS250" s="20">
        <v>87</v>
      </c>
      <c r="AT250" s="20">
        <f t="shared" si="135"/>
        <v>446</v>
      </c>
      <c r="AU250" s="34"/>
    </row>
    <row r="251" spans="1:47" s="2" customFormat="1" ht="12.95" customHeight="1">
      <c r="A251" s="64">
        <v>2013</v>
      </c>
      <c r="B251" s="65" t="s">
        <v>43</v>
      </c>
      <c r="C251" s="35">
        <f t="shared" si="103"/>
        <v>0.42538747278083772</v>
      </c>
      <c r="D251" s="35">
        <f t="shared" si="104"/>
        <v>0.61591246290801183</v>
      </c>
      <c r="E251" s="35">
        <f t="shared" si="105"/>
        <v>0.69066222620724993</v>
      </c>
      <c r="F251" s="27">
        <f t="shared" si="121"/>
        <v>7807</v>
      </c>
      <c r="G251" s="20">
        <f t="shared" si="86"/>
        <v>2415</v>
      </c>
      <c r="H251" s="27">
        <f t="shared" si="122"/>
        <v>5392</v>
      </c>
      <c r="I251" s="27">
        <f t="shared" si="123"/>
        <v>3321</v>
      </c>
      <c r="J251" s="20">
        <f t="shared" si="87"/>
        <v>2071</v>
      </c>
      <c r="K251" s="27"/>
      <c r="L251" s="4"/>
      <c r="M251" s="64">
        <v>2013</v>
      </c>
      <c r="N251" s="65" t="s">
        <v>43</v>
      </c>
      <c r="O251" s="35">
        <f t="shared" si="88"/>
        <v>0.50100536193029488</v>
      </c>
      <c r="P251" s="35">
        <f t="shared" si="89"/>
        <v>0.67923671058609725</v>
      </c>
      <c r="Q251" s="35">
        <f t="shared" si="90"/>
        <v>0.73760053619302945</v>
      </c>
      <c r="R251" s="20">
        <v>5968</v>
      </c>
      <c r="S251" s="27">
        <f t="shared" si="130"/>
        <v>1566</v>
      </c>
      <c r="T251" s="20">
        <v>4402</v>
      </c>
      <c r="U251" s="20">
        <v>2990</v>
      </c>
      <c r="V251" s="20">
        <f t="shared" si="131"/>
        <v>1412</v>
      </c>
      <c r="W251" s="20"/>
      <c r="X251" s="5"/>
      <c r="Y251" s="64">
        <v>2013</v>
      </c>
      <c r="Z251" s="65" t="s">
        <v>43</v>
      </c>
      <c r="AA251" s="35">
        <f t="shared" si="93"/>
        <v>0.29265536723163843</v>
      </c>
      <c r="AB251" s="35">
        <f t="shared" si="94"/>
        <v>0.4170692431561997</v>
      </c>
      <c r="AC251" s="35">
        <f t="shared" si="95"/>
        <v>0.70169491525423733</v>
      </c>
      <c r="AD251" s="20">
        <v>885</v>
      </c>
      <c r="AE251" s="27">
        <f t="shared" si="132"/>
        <v>264</v>
      </c>
      <c r="AF251" s="20">
        <v>621</v>
      </c>
      <c r="AG251" s="20">
        <v>259</v>
      </c>
      <c r="AH251" s="20">
        <f t="shared" si="133"/>
        <v>362</v>
      </c>
      <c r="AI251" s="20"/>
      <c r="AJ251" s="5"/>
      <c r="AK251" s="64">
        <v>2013</v>
      </c>
      <c r="AL251" s="65" t="s">
        <v>43</v>
      </c>
      <c r="AM251" s="35">
        <f t="shared" si="98"/>
        <v>7.5471698113207544E-2</v>
      </c>
      <c r="AN251" s="35">
        <f t="shared" si="99"/>
        <v>0.1951219512195122</v>
      </c>
      <c r="AO251" s="35">
        <f t="shared" si="100"/>
        <v>0.3867924528301887</v>
      </c>
      <c r="AP251" s="20">
        <v>954</v>
      </c>
      <c r="AQ251" s="27">
        <f t="shared" si="134"/>
        <v>585</v>
      </c>
      <c r="AR251" s="20">
        <v>369</v>
      </c>
      <c r="AS251" s="20">
        <v>72</v>
      </c>
      <c r="AT251" s="20">
        <f t="shared" si="135"/>
        <v>297</v>
      </c>
      <c r="AU251" s="34"/>
    </row>
    <row r="252" spans="1:47" s="2" customFormat="1" ht="12.95" customHeight="1">
      <c r="A252" s="62">
        <v>2013</v>
      </c>
      <c r="B252" s="63" t="s">
        <v>44</v>
      </c>
      <c r="C252" s="35">
        <f t="shared" si="103"/>
        <v>0.10781932977173385</v>
      </c>
      <c r="D252" s="35">
        <f t="shared" si="104"/>
        <v>0.17018014564967421</v>
      </c>
      <c r="E252" s="35">
        <f t="shared" si="105"/>
        <v>0.63355998057309371</v>
      </c>
      <c r="F252" s="27">
        <f t="shared" si="121"/>
        <v>8236</v>
      </c>
      <c r="G252" s="20">
        <f t="shared" si="86"/>
        <v>3018</v>
      </c>
      <c r="H252" s="27">
        <f t="shared" si="122"/>
        <v>5218</v>
      </c>
      <c r="I252" s="27">
        <f t="shared" si="123"/>
        <v>888</v>
      </c>
      <c r="J252" s="20">
        <f t="shared" si="87"/>
        <v>4330</v>
      </c>
      <c r="K252" s="27"/>
      <c r="L252" s="4"/>
      <c r="M252" s="62">
        <v>2013</v>
      </c>
      <c r="N252" s="63" t="s">
        <v>44</v>
      </c>
      <c r="O252" s="35">
        <f t="shared" si="88"/>
        <v>9.2021614748887481E-2</v>
      </c>
      <c r="P252" s="35">
        <f t="shared" si="89"/>
        <v>0.14507642194938611</v>
      </c>
      <c r="Q252" s="35">
        <f t="shared" si="90"/>
        <v>0.63429752066115708</v>
      </c>
      <c r="R252" s="20">
        <v>6292</v>
      </c>
      <c r="S252" s="27">
        <f t="shared" si="130"/>
        <v>2301</v>
      </c>
      <c r="T252" s="20">
        <v>3991</v>
      </c>
      <c r="U252" s="20">
        <v>579</v>
      </c>
      <c r="V252" s="20">
        <f t="shared" si="131"/>
        <v>3412</v>
      </c>
      <c r="W252" s="20"/>
      <c r="X252" s="5"/>
      <c r="Y252" s="62">
        <v>2013</v>
      </c>
      <c r="Z252" s="63" t="s">
        <v>44</v>
      </c>
      <c r="AA252" s="35">
        <f t="shared" si="93"/>
        <v>0.28540305010893247</v>
      </c>
      <c r="AB252" s="35">
        <f t="shared" si="94"/>
        <v>0.40683229813664595</v>
      </c>
      <c r="AC252" s="35">
        <f t="shared" si="95"/>
        <v>0.70152505446623092</v>
      </c>
      <c r="AD252" s="20">
        <v>918</v>
      </c>
      <c r="AE252" s="27">
        <f t="shared" si="132"/>
        <v>274</v>
      </c>
      <c r="AF252" s="20">
        <v>644</v>
      </c>
      <c r="AG252" s="20">
        <v>262</v>
      </c>
      <c r="AH252" s="20">
        <f t="shared" si="133"/>
        <v>382</v>
      </c>
      <c r="AI252" s="20"/>
      <c r="AJ252" s="5"/>
      <c r="AK252" s="62">
        <v>2013</v>
      </c>
      <c r="AL252" s="63" t="s">
        <v>44</v>
      </c>
      <c r="AM252" s="35">
        <f t="shared" si="98"/>
        <v>4.5808966861598438E-2</v>
      </c>
      <c r="AN252" s="35">
        <f t="shared" si="99"/>
        <v>8.0617495711835338E-2</v>
      </c>
      <c r="AO252" s="35">
        <f t="shared" si="100"/>
        <v>0.56822612085769986</v>
      </c>
      <c r="AP252" s="20">
        <v>1026</v>
      </c>
      <c r="AQ252" s="27">
        <f t="shared" si="134"/>
        <v>443</v>
      </c>
      <c r="AR252" s="20">
        <v>583</v>
      </c>
      <c r="AS252" s="20">
        <v>47</v>
      </c>
      <c r="AT252" s="20">
        <f t="shared" si="135"/>
        <v>536</v>
      </c>
      <c r="AU252" s="34"/>
    </row>
    <row r="253" spans="1:47" s="2" customFormat="1" ht="12.95" customHeight="1">
      <c r="A253" s="64">
        <v>2013</v>
      </c>
      <c r="B253" s="65" t="s">
        <v>45</v>
      </c>
      <c r="C253" s="35">
        <f t="shared" si="103"/>
        <v>0.18729503218753796</v>
      </c>
      <c r="D253" s="35">
        <f t="shared" si="104"/>
        <v>0.27654232424677189</v>
      </c>
      <c r="E253" s="35">
        <f t="shared" si="105"/>
        <v>0.67727438357828251</v>
      </c>
      <c r="F253" s="27">
        <f t="shared" si="121"/>
        <v>8233</v>
      </c>
      <c r="G253" s="20">
        <f t="shared" si="86"/>
        <v>2657</v>
      </c>
      <c r="H253" s="27">
        <f t="shared" si="122"/>
        <v>5576</v>
      </c>
      <c r="I253" s="27">
        <f t="shared" si="123"/>
        <v>1542</v>
      </c>
      <c r="J253" s="20">
        <f t="shared" si="87"/>
        <v>4034</v>
      </c>
      <c r="K253" s="27"/>
      <c r="L253" s="4"/>
      <c r="M253" s="64">
        <v>2013</v>
      </c>
      <c r="N253" s="65" t="s">
        <v>45</v>
      </c>
      <c r="O253" s="35">
        <f t="shared" si="88"/>
        <v>0.1856325492689129</v>
      </c>
      <c r="P253" s="35">
        <f t="shared" si="89"/>
        <v>0.27181754712590178</v>
      </c>
      <c r="Q253" s="35">
        <f t="shared" si="90"/>
        <v>0.68293070565797842</v>
      </c>
      <c r="R253" s="20">
        <v>6292</v>
      </c>
      <c r="S253" s="27">
        <f t="shared" si="130"/>
        <v>1995</v>
      </c>
      <c r="T253" s="20">
        <v>4297</v>
      </c>
      <c r="U253" s="20">
        <v>1168</v>
      </c>
      <c r="V253" s="20">
        <f t="shared" si="131"/>
        <v>3129</v>
      </c>
      <c r="W253" s="20"/>
      <c r="X253" s="5"/>
      <c r="Y253" s="64">
        <v>2013</v>
      </c>
      <c r="Z253" s="65" t="s">
        <v>45</v>
      </c>
      <c r="AA253" s="35">
        <f t="shared" si="93"/>
        <v>0.38251366120218577</v>
      </c>
      <c r="AB253" s="35">
        <f t="shared" si="94"/>
        <v>0.45751633986928103</v>
      </c>
      <c r="AC253" s="35">
        <f t="shared" si="95"/>
        <v>0.83606557377049184</v>
      </c>
      <c r="AD253" s="20">
        <v>915</v>
      </c>
      <c r="AE253" s="27">
        <f t="shared" si="132"/>
        <v>150</v>
      </c>
      <c r="AF253" s="20">
        <v>765</v>
      </c>
      <c r="AG253" s="20">
        <v>350</v>
      </c>
      <c r="AH253" s="20">
        <f t="shared" si="133"/>
        <v>415</v>
      </c>
      <c r="AI253" s="20"/>
      <c r="AJ253" s="5"/>
      <c r="AK253" s="64">
        <v>2013</v>
      </c>
      <c r="AL253" s="65" t="s">
        <v>45</v>
      </c>
      <c r="AM253" s="35">
        <f t="shared" si="98"/>
        <v>2.3391812865497075E-2</v>
      </c>
      <c r="AN253" s="35">
        <f t="shared" si="99"/>
        <v>4.6692607003891051E-2</v>
      </c>
      <c r="AO253" s="35">
        <f t="shared" si="100"/>
        <v>0.50097465886939574</v>
      </c>
      <c r="AP253" s="20">
        <v>1026</v>
      </c>
      <c r="AQ253" s="27">
        <f t="shared" si="134"/>
        <v>512</v>
      </c>
      <c r="AR253" s="20">
        <v>514</v>
      </c>
      <c r="AS253" s="20">
        <v>24</v>
      </c>
      <c r="AT253" s="20">
        <f t="shared" si="135"/>
        <v>490</v>
      </c>
      <c r="AU253" s="34"/>
    </row>
    <row r="254" spans="1:47" s="2" customFormat="1" ht="12.95" customHeight="1">
      <c r="A254" s="62">
        <v>2013</v>
      </c>
      <c r="B254" s="63" t="s">
        <v>46</v>
      </c>
      <c r="C254" s="35">
        <f t="shared" si="103"/>
        <v>0.13608946971600905</v>
      </c>
      <c r="D254" s="35">
        <f t="shared" si="104"/>
        <v>0.21268656716417911</v>
      </c>
      <c r="E254" s="35">
        <f t="shared" si="105"/>
        <v>0.63985926112088465</v>
      </c>
      <c r="F254" s="27">
        <f t="shared" si="121"/>
        <v>7958</v>
      </c>
      <c r="G254" s="20">
        <f t="shared" si="86"/>
        <v>2866</v>
      </c>
      <c r="H254" s="27">
        <f t="shared" si="122"/>
        <v>5092</v>
      </c>
      <c r="I254" s="27">
        <f t="shared" si="123"/>
        <v>1083</v>
      </c>
      <c r="J254" s="20">
        <f t="shared" si="87"/>
        <v>4009</v>
      </c>
      <c r="K254" s="27"/>
      <c r="L254" s="4"/>
      <c r="M254" s="62">
        <v>2013</v>
      </c>
      <c r="N254" s="63" t="s">
        <v>46</v>
      </c>
      <c r="O254" s="35">
        <f t="shared" si="88"/>
        <v>0.14161184210526315</v>
      </c>
      <c r="P254" s="35">
        <f t="shared" si="89"/>
        <v>0.21087435709037472</v>
      </c>
      <c r="Q254" s="35">
        <f t="shared" si="90"/>
        <v>0.67154605263157896</v>
      </c>
      <c r="R254" s="20">
        <v>6080</v>
      </c>
      <c r="S254" s="27">
        <f t="shared" si="130"/>
        <v>1997</v>
      </c>
      <c r="T254" s="20">
        <v>4083</v>
      </c>
      <c r="U254" s="20">
        <v>861</v>
      </c>
      <c r="V254" s="20">
        <f t="shared" si="131"/>
        <v>3222</v>
      </c>
      <c r="W254" s="20"/>
      <c r="X254" s="5"/>
      <c r="Y254" s="62">
        <v>2013</v>
      </c>
      <c r="Z254" s="63" t="s">
        <v>46</v>
      </c>
      <c r="AA254" s="35">
        <f t="shared" si="93"/>
        <v>0.23873873873873874</v>
      </c>
      <c r="AB254" s="35">
        <f t="shared" si="94"/>
        <v>0.29608938547486036</v>
      </c>
      <c r="AC254" s="35">
        <f t="shared" si="95"/>
        <v>0.80630630630630629</v>
      </c>
      <c r="AD254" s="20">
        <v>888</v>
      </c>
      <c r="AE254" s="27">
        <f t="shared" si="132"/>
        <v>172</v>
      </c>
      <c r="AF254" s="20">
        <v>716</v>
      </c>
      <c r="AG254" s="20">
        <v>212</v>
      </c>
      <c r="AH254" s="20">
        <f t="shared" si="133"/>
        <v>504</v>
      </c>
      <c r="AI254" s="20"/>
      <c r="AJ254" s="5"/>
      <c r="AK254" s="62">
        <v>2013</v>
      </c>
      <c r="AL254" s="63" t="s">
        <v>46</v>
      </c>
      <c r="AM254" s="35">
        <f t="shared" si="98"/>
        <v>1.0101010101010102E-2</v>
      </c>
      <c r="AN254" s="35">
        <f t="shared" si="99"/>
        <v>3.4129692832764506E-2</v>
      </c>
      <c r="AO254" s="35">
        <f t="shared" si="100"/>
        <v>0.29595959595959598</v>
      </c>
      <c r="AP254" s="20">
        <v>990</v>
      </c>
      <c r="AQ254" s="27">
        <f t="shared" si="134"/>
        <v>697</v>
      </c>
      <c r="AR254" s="20">
        <v>293</v>
      </c>
      <c r="AS254" s="20">
        <v>10</v>
      </c>
      <c r="AT254" s="20">
        <f t="shared" si="135"/>
        <v>283</v>
      </c>
      <c r="AU254" s="34"/>
    </row>
    <row r="255" spans="1:47" s="2" customFormat="1" ht="12.95" customHeight="1">
      <c r="A255" s="64">
        <v>2013</v>
      </c>
      <c r="B255" s="65" t="s">
        <v>47</v>
      </c>
      <c r="C255" s="35">
        <f t="shared" si="103"/>
        <v>0.13963088878096164</v>
      </c>
      <c r="D255" s="35">
        <f t="shared" si="104"/>
        <v>0.23073836276083468</v>
      </c>
      <c r="E255" s="35">
        <f t="shared" si="105"/>
        <v>0.60514813016027202</v>
      </c>
      <c r="F255" s="27">
        <f t="shared" si="121"/>
        <v>8236</v>
      </c>
      <c r="G255" s="20">
        <f t="shared" si="86"/>
        <v>3252</v>
      </c>
      <c r="H255" s="27">
        <f t="shared" si="122"/>
        <v>4984</v>
      </c>
      <c r="I255" s="27">
        <f t="shared" si="123"/>
        <v>1150</v>
      </c>
      <c r="J255" s="20">
        <f t="shared" si="87"/>
        <v>3834</v>
      </c>
      <c r="K255" s="27"/>
      <c r="L255" s="4"/>
      <c r="M255" s="64">
        <v>2013</v>
      </c>
      <c r="N255" s="65" t="s">
        <v>47</v>
      </c>
      <c r="O255" s="35">
        <f t="shared" si="88"/>
        <v>0.16068022886204705</v>
      </c>
      <c r="P255" s="35">
        <f t="shared" si="89"/>
        <v>0.25976361767728673</v>
      </c>
      <c r="Q255" s="35">
        <f t="shared" si="90"/>
        <v>0.61856325492689124</v>
      </c>
      <c r="R255" s="20">
        <v>6292</v>
      </c>
      <c r="S255" s="27">
        <f t="shared" si="130"/>
        <v>2400</v>
      </c>
      <c r="T255" s="20">
        <v>3892</v>
      </c>
      <c r="U255" s="20">
        <v>1011</v>
      </c>
      <c r="V255" s="20">
        <f t="shared" si="131"/>
        <v>2881</v>
      </c>
      <c r="W255" s="20"/>
      <c r="X255" s="5"/>
      <c r="Y255" s="64">
        <v>2013</v>
      </c>
      <c r="Z255" s="65" t="s">
        <v>47</v>
      </c>
      <c r="AA255" s="35">
        <f t="shared" si="93"/>
        <v>0.14596949891067537</v>
      </c>
      <c r="AB255" s="35">
        <f t="shared" si="94"/>
        <v>0.20364741641337386</v>
      </c>
      <c r="AC255" s="35">
        <f t="shared" si="95"/>
        <v>0.71677559912854028</v>
      </c>
      <c r="AD255" s="20">
        <v>918</v>
      </c>
      <c r="AE255" s="27">
        <f t="shared" si="132"/>
        <v>260</v>
      </c>
      <c r="AF255" s="20">
        <v>658</v>
      </c>
      <c r="AG255" s="20">
        <v>134</v>
      </c>
      <c r="AH255" s="20">
        <f t="shared" si="133"/>
        <v>524</v>
      </c>
      <c r="AI255" s="20"/>
      <c r="AJ255" s="5"/>
      <c r="AK255" s="64">
        <v>2013</v>
      </c>
      <c r="AL255" s="65" t="s">
        <v>47</v>
      </c>
      <c r="AM255" s="35">
        <f t="shared" si="98"/>
        <v>4.8732943469785572E-3</v>
      </c>
      <c r="AN255" s="35">
        <f t="shared" si="99"/>
        <v>1.1520737327188941E-2</v>
      </c>
      <c r="AO255" s="35">
        <f t="shared" si="100"/>
        <v>0.42300194931773877</v>
      </c>
      <c r="AP255" s="20">
        <v>1026</v>
      </c>
      <c r="AQ255" s="27">
        <f t="shared" si="134"/>
        <v>592</v>
      </c>
      <c r="AR255" s="20">
        <v>434</v>
      </c>
      <c r="AS255" s="20">
        <v>5</v>
      </c>
      <c r="AT255" s="20">
        <f t="shared" si="135"/>
        <v>429</v>
      </c>
      <c r="AU255" s="34"/>
    </row>
    <row r="256" spans="1:47" s="2" customFormat="1" ht="12.95" customHeight="1">
      <c r="A256" s="62">
        <v>2013</v>
      </c>
      <c r="B256" s="63" t="s">
        <v>48</v>
      </c>
      <c r="C256" s="35">
        <f t="shared" si="103"/>
        <v>0.14921433060967945</v>
      </c>
      <c r="D256" s="35">
        <f t="shared" si="104"/>
        <v>0.25917030567685589</v>
      </c>
      <c r="E256" s="35">
        <f t="shared" si="105"/>
        <v>0.57573852922690127</v>
      </c>
      <c r="F256" s="27">
        <f t="shared" si="121"/>
        <v>7955</v>
      </c>
      <c r="G256" s="20">
        <f t="shared" si="86"/>
        <v>3375</v>
      </c>
      <c r="H256" s="27">
        <f t="shared" si="122"/>
        <v>4580</v>
      </c>
      <c r="I256" s="27">
        <f t="shared" si="123"/>
        <v>1187</v>
      </c>
      <c r="J256" s="20">
        <f t="shared" si="87"/>
        <v>3393</v>
      </c>
      <c r="K256" s="27"/>
      <c r="L256" s="4"/>
      <c r="M256" s="62">
        <v>2013</v>
      </c>
      <c r="N256" s="63" t="s">
        <v>48</v>
      </c>
      <c r="O256" s="35">
        <f t="shared" si="88"/>
        <v>0.17384868421052632</v>
      </c>
      <c r="P256" s="35">
        <f t="shared" si="89"/>
        <v>0.30978898007034</v>
      </c>
      <c r="Q256" s="35">
        <f t="shared" si="90"/>
        <v>0.56118421052631584</v>
      </c>
      <c r="R256" s="20">
        <v>6080</v>
      </c>
      <c r="S256" s="27">
        <f t="shared" si="130"/>
        <v>2668</v>
      </c>
      <c r="T256" s="20">
        <v>3412</v>
      </c>
      <c r="U256" s="20">
        <v>1057</v>
      </c>
      <c r="V256" s="20">
        <f t="shared" si="131"/>
        <v>2355</v>
      </c>
      <c r="W256" s="20"/>
      <c r="X256" s="5"/>
      <c r="Y256" s="62">
        <v>2013</v>
      </c>
      <c r="Z256" s="63" t="s">
        <v>48</v>
      </c>
      <c r="AA256" s="35">
        <f t="shared" si="93"/>
        <v>0.13559322033898305</v>
      </c>
      <c r="AB256" s="35">
        <f t="shared" si="94"/>
        <v>0.16949152542372881</v>
      </c>
      <c r="AC256" s="35">
        <f t="shared" si="95"/>
        <v>0.8</v>
      </c>
      <c r="AD256" s="20">
        <v>885</v>
      </c>
      <c r="AE256" s="27">
        <f t="shared" si="132"/>
        <v>177</v>
      </c>
      <c r="AF256" s="20">
        <v>708</v>
      </c>
      <c r="AG256" s="20">
        <v>120</v>
      </c>
      <c r="AH256" s="20">
        <f t="shared" si="133"/>
        <v>588</v>
      </c>
      <c r="AI256" s="20"/>
      <c r="AJ256" s="5"/>
      <c r="AK256" s="62">
        <v>2013</v>
      </c>
      <c r="AL256" s="63" t="s">
        <v>48</v>
      </c>
      <c r="AM256" s="35">
        <f t="shared" si="98"/>
        <v>1.0101010101010102E-2</v>
      </c>
      <c r="AN256" s="35">
        <f t="shared" si="99"/>
        <v>2.1739130434782608E-2</v>
      </c>
      <c r="AO256" s="35">
        <f t="shared" si="100"/>
        <v>0.46464646464646464</v>
      </c>
      <c r="AP256" s="20">
        <v>990</v>
      </c>
      <c r="AQ256" s="27">
        <f t="shared" si="134"/>
        <v>530</v>
      </c>
      <c r="AR256" s="20">
        <v>460</v>
      </c>
      <c r="AS256" s="20">
        <v>10</v>
      </c>
      <c r="AT256" s="20">
        <f t="shared" si="135"/>
        <v>450</v>
      </c>
      <c r="AU256" s="34"/>
    </row>
    <row r="257" spans="1:47" s="2" customFormat="1" ht="12.95" customHeight="1">
      <c r="A257" s="64">
        <v>2013</v>
      </c>
      <c r="B257" s="65" t="s">
        <v>49</v>
      </c>
      <c r="C257" s="35">
        <f t="shared" si="103"/>
        <v>0.30276418082349554</v>
      </c>
      <c r="D257" s="35">
        <f t="shared" si="104"/>
        <v>0.44404560810810811</v>
      </c>
      <c r="E257" s="35">
        <f t="shared" si="105"/>
        <v>0.68183126979556574</v>
      </c>
      <c r="F257" s="27">
        <f t="shared" si="121"/>
        <v>6946</v>
      </c>
      <c r="G257" s="20">
        <f t="shared" si="86"/>
        <v>2210</v>
      </c>
      <c r="H257" s="27">
        <f t="shared" si="122"/>
        <v>4736</v>
      </c>
      <c r="I257" s="27">
        <f t="shared" si="123"/>
        <v>2103</v>
      </c>
      <c r="J257" s="20">
        <f t="shared" si="87"/>
        <v>2633</v>
      </c>
      <c r="K257" s="27"/>
      <c r="L257" s="10"/>
      <c r="M257" s="64">
        <v>2013</v>
      </c>
      <c r="N257" s="65" t="s">
        <v>49</v>
      </c>
      <c r="O257" s="35">
        <f t="shared" si="88"/>
        <v>0.3592695514092894</v>
      </c>
      <c r="P257" s="35">
        <f t="shared" si="89"/>
        <v>0.51449687322342241</v>
      </c>
      <c r="Q257" s="35">
        <f t="shared" si="90"/>
        <v>0.69829297340214369</v>
      </c>
      <c r="R257" s="20">
        <v>5038</v>
      </c>
      <c r="S257" s="27">
        <f t="shared" si="130"/>
        <v>1520</v>
      </c>
      <c r="T257" s="20">
        <v>3518</v>
      </c>
      <c r="U257" s="20">
        <v>1810</v>
      </c>
      <c r="V257" s="20">
        <f t="shared" si="131"/>
        <v>1708</v>
      </c>
      <c r="W257" s="20"/>
      <c r="X257" s="5"/>
      <c r="Y257" s="64">
        <v>2013</v>
      </c>
      <c r="Z257" s="65" t="s">
        <v>49</v>
      </c>
      <c r="AA257" s="35">
        <f t="shared" si="93"/>
        <v>0.22463768115942029</v>
      </c>
      <c r="AB257" s="35">
        <f t="shared" si="94"/>
        <v>0.27713920817369092</v>
      </c>
      <c r="AC257" s="35">
        <f t="shared" si="95"/>
        <v>0.81055900621118016</v>
      </c>
      <c r="AD257" s="20">
        <v>966</v>
      </c>
      <c r="AE257" s="27">
        <f t="shared" si="132"/>
        <v>183</v>
      </c>
      <c r="AF257" s="20">
        <v>783</v>
      </c>
      <c r="AG257" s="20">
        <v>217</v>
      </c>
      <c r="AH257" s="20">
        <f t="shared" si="133"/>
        <v>566</v>
      </c>
      <c r="AI257" s="20"/>
      <c r="AJ257" s="5"/>
      <c r="AK257" s="64">
        <v>2013</v>
      </c>
      <c r="AL257" s="65" t="s">
        <v>49</v>
      </c>
      <c r="AM257" s="35">
        <f t="shared" si="98"/>
        <v>8.0679405520169847E-2</v>
      </c>
      <c r="AN257" s="35">
        <f t="shared" si="99"/>
        <v>0.17471264367816092</v>
      </c>
      <c r="AO257" s="35">
        <f t="shared" si="100"/>
        <v>0.46178343949044587</v>
      </c>
      <c r="AP257" s="20">
        <v>942</v>
      </c>
      <c r="AQ257" s="27">
        <f t="shared" si="134"/>
        <v>507</v>
      </c>
      <c r="AR257" s="20">
        <v>435</v>
      </c>
      <c r="AS257" s="20">
        <v>76</v>
      </c>
      <c r="AT257" s="20">
        <f t="shared" si="135"/>
        <v>359</v>
      </c>
      <c r="AU257" s="34"/>
    </row>
    <row r="258" spans="1:47" s="3" customFormat="1" ht="12.75">
      <c r="A258" s="62">
        <v>2014</v>
      </c>
      <c r="B258" s="63" t="s">
        <v>38</v>
      </c>
      <c r="C258" s="35">
        <f t="shared" si="103"/>
        <v>0.52087238030328842</v>
      </c>
      <c r="D258" s="35">
        <f t="shared" si="104"/>
        <v>0.62451481103166495</v>
      </c>
      <c r="E258" s="35">
        <f t="shared" si="105"/>
        <v>0.8340432782416084</v>
      </c>
      <c r="F258" s="27">
        <f t="shared" si="121"/>
        <v>5869</v>
      </c>
      <c r="G258" s="20">
        <f t="shared" si="86"/>
        <v>974</v>
      </c>
      <c r="H258" s="27">
        <f t="shared" si="122"/>
        <v>4895</v>
      </c>
      <c r="I258" s="27">
        <f t="shared" si="123"/>
        <v>3057</v>
      </c>
      <c r="J258" s="20">
        <f t="shared" si="87"/>
        <v>1838</v>
      </c>
      <c r="K258" s="27"/>
      <c r="L258" s="4"/>
      <c r="M258" s="62">
        <v>2014</v>
      </c>
      <c r="N258" s="63" t="s">
        <v>38</v>
      </c>
      <c r="O258" s="35">
        <f t="shared" si="88"/>
        <v>0.67750882501260712</v>
      </c>
      <c r="P258" s="35">
        <f t="shared" si="89"/>
        <v>0.75245029403528418</v>
      </c>
      <c r="Q258" s="35">
        <f t="shared" si="90"/>
        <v>0.90040342914775595</v>
      </c>
      <c r="R258" s="20">
        <v>3966</v>
      </c>
      <c r="S258" s="27">
        <f t="shared" ref="S258:S265" si="136">R258-T258</f>
        <v>395</v>
      </c>
      <c r="T258" s="20">
        <v>3571</v>
      </c>
      <c r="U258" s="20">
        <v>2687</v>
      </c>
      <c r="V258" s="20">
        <f t="shared" ref="V258:V269" si="137">T258-U258</f>
        <v>884</v>
      </c>
      <c r="W258" s="20"/>
      <c r="X258" s="5"/>
      <c r="Y258" s="62">
        <v>2014</v>
      </c>
      <c r="Z258" s="63" t="s">
        <v>38</v>
      </c>
      <c r="AA258" s="35">
        <f t="shared" si="93"/>
        <v>0.25666337611056267</v>
      </c>
      <c r="AB258" s="35">
        <f t="shared" si="94"/>
        <v>0.33722438391699094</v>
      </c>
      <c r="AC258" s="35">
        <f t="shared" si="95"/>
        <v>0.76110562685093786</v>
      </c>
      <c r="AD258" s="20">
        <v>1013</v>
      </c>
      <c r="AE258" s="27">
        <f t="shared" ref="AE258:AE265" si="138">AD258-AF258</f>
        <v>242</v>
      </c>
      <c r="AF258" s="20">
        <v>771</v>
      </c>
      <c r="AG258" s="20">
        <v>260</v>
      </c>
      <c r="AH258" s="20">
        <f t="shared" ref="AH258:AH269" si="139">AF258-AG258</f>
        <v>511</v>
      </c>
      <c r="AI258" s="20"/>
      <c r="AJ258" s="5"/>
      <c r="AK258" s="62">
        <v>2014</v>
      </c>
      <c r="AL258" s="63" t="s">
        <v>38</v>
      </c>
      <c r="AM258" s="35">
        <f t="shared" si="98"/>
        <v>0.12359550561797752</v>
      </c>
      <c r="AN258" s="35">
        <f t="shared" si="99"/>
        <v>0.19891500904159132</v>
      </c>
      <c r="AO258" s="35">
        <f t="shared" si="100"/>
        <v>0.62134831460674156</v>
      </c>
      <c r="AP258" s="20">
        <v>890</v>
      </c>
      <c r="AQ258" s="27">
        <f t="shared" ref="AQ258:AQ265" si="140">AP258-AR258</f>
        <v>337</v>
      </c>
      <c r="AR258" s="20">
        <v>553</v>
      </c>
      <c r="AS258" s="20">
        <v>110</v>
      </c>
      <c r="AT258" s="20">
        <f t="shared" ref="AT258:AT269" si="141">AR258-AS258</f>
        <v>443</v>
      </c>
      <c r="AU258" s="29"/>
    </row>
    <row r="259" spans="1:47" s="3" customFormat="1" ht="12.75">
      <c r="A259" s="64">
        <v>2014</v>
      </c>
      <c r="B259" s="65" t="s">
        <v>39</v>
      </c>
      <c r="C259" s="35">
        <f t="shared" si="103"/>
        <v>0.53882220555138782</v>
      </c>
      <c r="D259" s="35">
        <f t="shared" si="104"/>
        <v>0.61336464560204951</v>
      </c>
      <c r="E259" s="35">
        <f t="shared" si="105"/>
        <v>0.87846961740435103</v>
      </c>
      <c r="F259" s="27">
        <f t="shared" si="121"/>
        <v>5332</v>
      </c>
      <c r="G259" s="20">
        <f t="shared" si="86"/>
        <v>648</v>
      </c>
      <c r="H259" s="27">
        <f t="shared" si="122"/>
        <v>4684</v>
      </c>
      <c r="I259" s="27">
        <f t="shared" si="123"/>
        <v>2873</v>
      </c>
      <c r="J259" s="20">
        <f t="shared" si="87"/>
        <v>1811</v>
      </c>
      <c r="K259" s="27"/>
      <c r="L259" s="4"/>
      <c r="M259" s="64">
        <v>2014</v>
      </c>
      <c r="N259" s="65" t="s">
        <v>39</v>
      </c>
      <c r="O259" s="35">
        <f t="shared" si="88"/>
        <v>0.67904656319290468</v>
      </c>
      <c r="P259" s="35">
        <f t="shared" si="89"/>
        <v>0.71868583162217659</v>
      </c>
      <c r="Q259" s="35">
        <f t="shared" si="90"/>
        <v>0.94484478935698446</v>
      </c>
      <c r="R259" s="20">
        <v>3608</v>
      </c>
      <c r="S259" s="27">
        <f t="shared" si="136"/>
        <v>199</v>
      </c>
      <c r="T259" s="20">
        <v>3409</v>
      </c>
      <c r="U259" s="20">
        <v>2450</v>
      </c>
      <c r="V259" s="20">
        <f t="shared" si="137"/>
        <v>959</v>
      </c>
      <c r="W259" s="20"/>
      <c r="X259" s="5"/>
      <c r="Y259" s="64">
        <v>2014</v>
      </c>
      <c r="Z259" s="65" t="s">
        <v>39</v>
      </c>
      <c r="AA259" s="35">
        <f t="shared" si="93"/>
        <v>0.33842794759825329</v>
      </c>
      <c r="AB259" s="35">
        <f t="shared" si="94"/>
        <v>0.43661971830985913</v>
      </c>
      <c r="AC259" s="35">
        <f t="shared" si="95"/>
        <v>0.77510917030567683</v>
      </c>
      <c r="AD259" s="20">
        <v>916</v>
      </c>
      <c r="AE259" s="27">
        <f t="shared" si="138"/>
        <v>206</v>
      </c>
      <c r="AF259" s="20">
        <v>710</v>
      </c>
      <c r="AG259" s="20">
        <v>310</v>
      </c>
      <c r="AH259" s="20">
        <f t="shared" si="139"/>
        <v>400</v>
      </c>
      <c r="AI259" s="20"/>
      <c r="AJ259" s="5"/>
      <c r="AK259" s="64">
        <v>2014</v>
      </c>
      <c r="AL259" s="65" t="s">
        <v>39</v>
      </c>
      <c r="AM259" s="35">
        <f t="shared" si="98"/>
        <v>0.13985148514851486</v>
      </c>
      <c r="AN259" s="35">
        <f t="shared" si="99"/>
        <v>0.2</v>
      </c>
      <c r="AO259" s="35">
        <f t="shared" si="100"/>
        <v>0.69925742574257421</v>
      </c>
      <c r="AP259" s="20">
        <v>808</v>
      </c>
      <c r="AQ259" s="27">
        <f t="shared" si="140"/>
        <v>243</v>
      </c>
      <c r="AR259" s="20">
        <v>565</v>
      </c>
      <c r="AS259" s="20">
        <v>113</v>
      </c>
      <c r="AT259" s="20">
        <f t="shared" si="141"/>
        <v>452</v>
      </c>
      <c r="AU259" s="29"/>
    </row>
    <row r="260" spans="1:47" s="3" customFormat="1" ht="12.75">
      <c r="A260" s="62">
        <v>2014</v>
      </c>
      <c r="B260" s="63" t="s">
        <v>40</v>
      </c>
      <c r="C260" s="35">
        <f t="shared" si="103"/>
        <v>0.57848479521884333</v>
      </c>
      <c r="D260" s="35">
        <f t="shared" si="104"/>
        <v>0.6645799676898223</v>
      </c>
      <c r="E260" s="35">
        <f t="shared" si="105"/>
        <v>0.87045174898927757</v>
      </c>
      <c r="F260" s="27">
        <f t="shared" si="121"/>
        <v>5689</v>
      </c>
      <c r="G260" s="20">
        <f t="shared" si="86"/>
        <v>737</v>
      </c>
      <c r="H260" s="27">
        <f t="shared" si="122"/>
        <v>4952</v>
      </c>
      <c r="I260" s="27">
        <f t="shared" si="123"/>
        <v>3291</v>
      </c>
      <c r="J260" s="20">
        <f t="shared" si="87"/>
        <v>1661</v>
      </c>
      <c r="K260" s="27"/>
      <c r="L260" s="4"/>
      <c r="M260" s="62">
        <v>2014</v>
      </c>
      <c r="N260" s="63" t="s">
        <v>40</v>
      </c>
      <c r="O260" s="35">
        <f t="shared" si="88"/>
        <v>0.70859538784067089</v>
      </c>
      <c r="P260" s="35">
        <f t="shared" si="89"/>
        <v>0.74654886802871345</v>
      </c>
      <c r="Q260" s="35">
        <f t="shared" si="90"/>
        <v>0.94916142557651995</v>
      </c>
      <c r="R260" s="20">
        <v>3816</v>
      </c>
      <c r="S260" s="27">
        <f t="shared" si="136"/>
        <v>194</v>
      </c>
      <c r="T260" s="20">
        <v>3622</v>
      </c>
      <c r="U260" s="20">
        <v>2704</v>
      </c>
      <c r="V260" s="20">
        <f t="shared" si="137"/>
        <v>918</v>
      </c>
      <c r="W260" s="20"/>
      <c r="X260" s="5"/>
      <c r="Y260" s="62">
        <v>2014</v>
      </c>
      <c r="Z260" s="63" t="s">
        <v>40</v>
      </c>
      <c r="AA260" s="35">
        <f t="shared" si="93"/>
        <v>0.42701092353525322</v>
      </c>
      <c r="AB260" s="35">
        <f t="shared" si="94"/>
        <v>0.54156171284634758</v>
      </c>
      <c r="AC260" s="35">
        <f t="shared" si="95"/>
        <v>0.78848063555114201</v>
      </c>
      <c r="AD260" s="20">
        <v>1007</v>
      </c>
      <c r="AE260" s="27">
        <f t="shared" si="138"/>
        <v>213</v>
      </c>
      <c r="AF260" s="20">
        <v>794</v>
      </c>
      <c r="AG260" s="20">
        <v>430</v>
      </c>
      <c r="AH260" s="20">
        <f t="shared" si="139"/>
        <v>364</v>
      </c>
      <c r="AI260" s="20"/>
      <c r="AJ260" s="5"/>
      <c r="AK260" s="62">
        <v>2014</v>
      </c>
      <c r="AL260" s="63" t="s">
        <v>40</v>
      </c>
      <c r="AM260" s="35">
        <f t="shared" si="98"/>
        <v>0.1812933025404157</v>
      </c>
      <c r="AN260" s="35">
        <f t="shared" si="99"/>
        <v>0.29291044776119401</v>
      </c>
      <c r="AO260" s="35">
        <f t="shared" si="100"/>
        <v>0.61893764434180143</v>
      </c>
      <c r="AP260" s="20">
        <v>866</v>
      </c>
      <c r="AQ260" s="27">
        <f t="shared" si="140"/>
        <v>330</v>
      </c>
      <c r="AR260" s="20">
        <v>536</v>
      </c>
      <c r="AS260" s="20">
        <v>157</v>
      </c>
      <c r="AT260" s="20">
        <f t="shared" si="141"/>
        <v>379</v>
      </c>
      <c r="AU260" s="29"/>
    </row>
    <row r="261" spans="1:47" s="3" customFormat="1" ht="12.75">
      <c r="A261" s="64">
        <v>2014</v>
      </c>
      <c r="B261" s="65" t="s">
        <v>41</v>
      </c>
      <c r="C261" s="35">
        <f t="shared" si="103"/>
        <v>0.51853832442067738</v>
      </c>
      <c r="D261" s="35">
        <f t="shared" si="104"/>
        <v>0.59905271828665574</v>
      </c>
      <c r="E261" s="35">
        <f t="shared" si="105"/>
        <v>0.86559714795008913</v>
      </c>
      <c r="F261" s="27">
        <f t="shared" si="121"/>
        <v>5610</v>
      </c>
      <c r="G261" s="20">
        <f t="shared" si="86"/>
        <v>754</v>
      </c>
      <c r="H261" s="27">
        <f t="shared" si="122"/>
        <v>4856</v>
      </c>
      <c r="I261" s="27">
        <f t="shared" si="123"/>
        <v>2909</v>
      </c>
      <c r="J261" s="20">
        <f t="shared" si="87"/>
        <v>1947</v>
      </c>
      <c r="K261" s="27"/>
      <c r="L261" s="4"/>
      <c r="M261" s="64">
        <v>2014</v>
      </c>
      <c r="N261" s="65" t="s">
        <v>41</v>
      </c>
      <c r="O261" s="35">
        <f t="shared" si="88"/>
        <v>0.63015873015873014</v>
      </c>
      <c r="P261" s="35">
        <f t="shared" si="89"/>
        <v>0.67728177423940861</v>
      </c>
      <c r="Q261" s="35">
        <f t="shared" si="90"/>
        <v>0.93042328042328037</v>
      </c>
      <c r="R261" s="20">
        <v>3780</v>
      </c>
      <c r="S261" s="27">
        <f t="shared" si="136"/>
        <v>263</v>
      </c>
      <c r="T261" s="20">
        <v>3517</v>
      </c>
      <c r="U261" s="20">
        <v>2382</v>
      </c>
      <c r="V261" s="20">
        <f t="shared" si="137"/>
        <v>1135</v>
      </c>
      <c r="W261" s="20"/>
      <c r="X261" s="5"/>
      <c r="Y261" s="64">
        <v>2014</v>
      </c>
      <c r="Z261" s="65" t="s">
        <v>41</v>
      </c>
      <c r="AA261" s="35">
        <f t="shared" si="93"/>
        <v>0.39059304703476483</v>
      </c>
      <c r="AB261" s="35">
        <f t="shared" si="94"/>
        <v>0.48354430379746838</v>
      </c>
      <c r="AC261" s="35">
        <f t="shared" si="95"/>
        <v>0.80777096114519431</v>
      </c>
      <c r="AD261" s="20">
        <v>978</v>
      </c>
      <c r="AE261" s="27">
        <f t="shared" si="138"/>
        <v>188</v>
      </c>
      <c r="AF261" s="20">
        <v>790</v>
      </c>
      <c r="AG261" s="20">
        <v>382</v>
      </c>
      <c r="AH261" s="20">
        <f t="shared" si="139"/>
        <v>408</v>
      </c>
      <c r="AI261" s="20"/>
      <c r="AJ261" s="5"/>
      <c r="AK261" s="64">
        <v>2014</v>
      </c>
      <c r="AL261" s="65" t="s">
        <v>41</v>
      </c>
      <c r="AM261" s="35">
        <f t="shared" si="98"/>
        <v>0.17018779342723006</v>
      </c>
      <c r="AN261" s="35">
        <f t="shared" si="99"/>
        <v>0.26411657559198543</v>
      </c>
      <c r="AO261" s="35">
        <f t="shared" si="100"/>
        <v>0.64436619718309862</v>
      </c>
      <c r="AP261" s="20">
        <v>852</v>
      </c>
      <c r="AQ261" s="27">
        <f t="shared" si="140"/>
        <v>303</v>
      </c>
      <c r="AR261" s="20">
        <v>549</v>
      </c>
      <c r="AS261" s="20">
        <v>145</v>
      </c>
      <c r="AT261" s="20">
        <f t="shared" si="141"/>
        <v>404</v>
      </c>
      <c r="AU261" s="29"/>
    </row>
    <row r="262" spans="1:47" s="3" customFormat="1" ht="12.75">
      <c r="A262" s="62">
        <v>2014</v>
      </c>
      <c r="B262" s="63" t="s">
        <v>42</v>
      </c>
      <c r="C262" s="35">
        <f t="shared" si="103"/>
        <v>0.48355999311413322</v>
      </c>
      <c r="D262" s="35">
        <f t="shared" si="104"/>
        <v>0.59474910014821092</v>
      </c>
      <c r="E262" s="35">
        <f t="shared" si="105"/>
        <v>0.81304871750731622</v>
      </c>
      <c r="F262" s="27">
        <f t="shared" si="121"/>
        <v>5809</v>
      </c>
      <c r="G262" s="20">
        <f t="shared" ref="G262:G325" si="142">F262-H262</f>
        <v>1086</v>
      </c>
      <c r="H262" s="27">
        <f t="shared" si="122"/>
        <v>4723</v>
      </c>
      <c r="I262" s="27">
        <f t="shared" si="123"/>
        <v>2809</v>
      </c>
      <c r="J262" s="20">
        <f t="shared" ref="J262:J325" si="143">H262-I262</f>
        <v>1914</v>
      </c>
      <c r="K262" s="27"/>
      <c r="L262" s="4"/>
      <c r="M262" s="62">
        <v>2014</v>
      </c>
      <c r="N262" s="63" t="s">
        <v>42</v>
      </c>
      <c r="O262" s="35">
        <f t="shared" ref="O262:O325" si="144">U262/R262</f>
        <v>0.62053115423901939</v>
      </c>
      <c r="P262" s="35">
        <f t="shared" ref="P262:P325" si="145">U262/T262</f>
        <v>0.69329529243937238</v>
      </c>
      <c r="Q262" s="35">
        <f t="shared" ref="Q262:Q325" si="146">T262/R262</f>
        <v>0.89504596527068436</v>
      </c>
      <c r="R262" s="20">
        <v>3916</v>
      </c>
      <c r="S262" s="27">
        <f t="shared" si="136"/>
        <v>411</v>
      </c>
      <c r="T262" s="20">
        <v>3505</v>
      </c>
      <c r="U262" s="20">
        <v>2430</v>
      </c>
      <c r="V262" s="20">
        <f t="shared" si="137"/>
        <v>1075</v>
      </c>
      <c r="W262" s="20"/>
      <c r="X262" s="5"/>
      <c r="Y262" s="62">
        <v>2014</v>
      </c>
      <c r="Z262" s="63" t="s">
        <v>42</v>
      </c>
      <c r="AA262" s="35">
        <f t="shared" ref="AA262:AA325" si="147">AG262/AD262</f>
        <v>0.29179030662710187</v>
      </c>
      <c r="AB262" s="35">
        <f t="shared" ref="AB262:AB325" si="148">AG262/AF262</f>
        <v>0.44427710843373491</v>
      </c>
      <c r="AC262" s="35">
        <f t="shared" ref="AC262:AC325" si="149">AF262/AD262</f>
        <v>0.65677546983184965</v>
      </c>
      <c r="AD262" s="20">
        <v>1011</v>
      </c>
      <c r="AE262" s="27">
        <f t="shared" si="138"/>
        <v>347</v>
      </c>
      <c r="AF262" s="20">
        <v>664</v>
      </c>
      <c r="AG262" s="20">
        <v>295</v>
      </c>
      <c r="AH262" s="20">
        <f t="shared" si="139"/>
        <v>369</v>
      </c>
      <c r="AI262" s="20"/>
      <c r="AJ262" s="5"/>
      <c r="AK262" s="62">
        <v>2014</v>
      </c>
      <c r="AL262" s="63" t="s">
        <v>42</v>
      </c>
      <c r="AM262" s="35">
        <f t="shared" ref="AM262:AM325" si="150">AS262/AP262</f>
        <v>9.5238095238095233E-2</v>
      </c>
      <c r="AN262" s="35">
        <f t="shared" ref="AN262:AN325" si="151">AS262/AR262</f>
        <v>0.15162454873646208</v>
      </c>
      <c r="AO262" s="35">
        <f t="shared" ref="AO262:AO325" si="152">AR262/AP262</f>
        <v>0.6281179138321995</v>
      </c>
      <c r="AP262" s="20">
        <v>882</v>
      </c>
      <c r="AQ262" s="27">
        <f t="shared" si="140"/>
        <v>328</v>
      </c>
      <c r="AR262" s="20">
        <v>554</v>
      </c>
      <c r="AS262" s="20">
        <v>84</v>
      </c>
      <c r="AT262" s="20">
        <f t="shared" si="141"/>
        <v>470</v>
      </c>
      <c r="AU262" s="29"/>
    </row>
    <row r="263" spans="1:47" s="3" customFormat="1" ht="12.75">
      <c r="A263" s="64">
        <v>2014</v>
      </c>
      <c r="B263" s="65" t="s">
        <v>43</v>
      </c>
      <c r="C263" s="35">
        <f t="shared" si="103"/>
        <v>0.54046345811051688</v>
      </c>
      <c r="D263" s="35">
        <f t="shared" si="104"/>
        <v>0.63324979114452795</v>
      </c>
      <c r="E263" s="35">
        <f t="shared" si="105"/>
        <v>0.85347593582887704</v>
      </c>
      <c r="F263" s="27">
        <f t="shared" si="121"/>
        <v>5610</v>
      </c>
      <c r="G263" s="20">
        <f t="shared" si="142"/>
        <v>822</v>
      </c>
      <c r="H263" s="27">
        <f t="shared" si="122"/>
        <v>4788</v>
      </c>
      <c r="I263" s="27">
        <f t="shared" si="123"/>
        <v>3032</v>
      </c>
      <c r="J263" s="20">
        <f t="shared" si="143"/>
        <v>1756</v>
      </c>
      <c r="K263" s="27"/>
      <c r="L263" s="4"/>
      <c r="M263" s="64">
        <v>2014</v>
      </c>
      <c r="N263" s="65" t="s">
        <v>43</v>
      </c>
      <c r="O263" s="35">
        <f t="shared" si="144"/>
        <v>0.696031746031746</v>
      </c>
      <c r="P263" s="35">
        <f t="shared" si="145"/>
        <v>0.73553256919206034</v>
      </c>
      <c r="Q263" s="35">
        <f t="shared" si="146"/>
        <v>0.9462962962962963</v>
      </c>
      <c r="R263" s="20">
        <v>3780</v>
      </c>
      <c r="S263" s="27">
        <f t="shared" si="136"/>
        <v>203</v>
      </c>
      <c r="T263" s="20">
        <v>3577</v>
      </c>
      <c r="U263" s="20">
        <v>2631</v>
      </c>
      <c r="V263" s="20">
        <f t="shared" si="137"/>
        <v>946</v>
      </c>
      <c r="W263" s="20"/>
      <c r="X263" s="5"/>
      <c r="Y263" s="64">
        <v>2014</v>
      </c>
      <c r="Z263" s="65" t="s">
        <v>43</v>
      </c>
      <c r="AA263" s="35">
        <f t="shared" si="147"/>
        <v>0.33844580777096117</v>
      </c>
      <c r="AB263" s="35">
        <f t="shared" si="148"/>
        <v>0.50611620795107037</v>
      </c>
      <c r="AC263" s="35">
        <f t="shared" si="149"/>
        <v>0.66871165644171782</v>
      </c>
      <c r="AD263" s="20">
        <v>978</v>
      </c>
      <c r="AE263" s="27">
        <f t="shared" si="138"/>
        <v>324</v>
      </c>
      <c r="AF263" s="20">
        <v>654</v>
      </c>
      <c r="AG263" s="20">
        <v>331</v>
      </c>
      <c r="AH263" s="20">
        <f t="shared" si="139"/>
        <v>323</v>
      </c>
      <c r="AI263" s="20"/>
      <c r="AJ263" s="5"/>
      <c r="AK263" s="64">
        <v>2014</v>
      </c>
      <c r="AL263" s="65" t="s">
        <v>43</v>
      </c>
      <c r="AM263" s="35">
        <f t="shared" si="150"/>
        <v>8.2159624413145546E-2</v>
      </c>
      <c r="AN263" s="35">
        <f t="shared" si="151"/>
        <v>0.12567324955116696</v>
      </c>
      <c r="AO263" s="35">
        <f t="shared" si="152"/>
        <v>0.65375586854460099</v>
      </c>
      <c r="AP263" s="20">
        <v>852</v>
      </c>
      <c r="AQ263" s="27">
        <f t="shared" si="140"/>
        <v>295</v>
      </c>
      <c r="AR263" s="20">
        <v>557</v>
      </c>
      <c r="AS263" s="20">
        <v>70</v>
      </c>
      <c r="AT263" s="20">
        <f t="shared" si="141"/>
        <v>487</v>
      </c>
      <c r="AU263" s="29"/>
    </row>
    <row r="264" spans="1:47" s="3" customFormat="1" ht="12.75">
      <c r="A264" s="62">
        <v>2014</v>
      </c>
      <c r="B264" s="63" t="s">
        <v>44</v>
      </c>
      <c r="C264" s="35">
        <f t="shared" si="103"/>
        <v>0.55036892034332174</v>
      </c>
      <c r="D264" s="35">
        <f t="shared" si="104"/>
        <v>0.62919607505594766</v>
      </c>
      <c r="E264" s="35">
        <f t="shared" si="105"/>
        <v>0.87471766300255982</v>
      </c>
      <c r="F264" s="27">
        <f t="shared" si="121"/>
        <v>6641</v>
      </c>
      <c r="G264" s="20">
        <f t="shared" si="142"/>
        <v>832</v>
      </c>
      <c r="H264" s="27">
        <f t="shared" si="122"/>
        <v>5809</v>
      </c>
      <c r="I264" s="27">
        <f t="shared" si="123"/>
        <v>3655</v>
      </c>
      <c r="J264" s="20">
        <f t="shared" si="143"/>
        <v>2154</v>
      </c>
      <c r="K264" s="27"/>
      <c r="L264" s="4"/>
      <c r="M264" s="62">
        <v>2014</v>
      </c>
      <c r="N264" s="63" t="s">
        <v>44</v>
      </c>
      <c r="O264" s="35">
        <f t="shared" si="144"/>
        <v>0.68847615027437736</v>
      </c>
      <c r="P264" s="35">
        <f t="shared" si="145"/>
        <v>0.74713696747595049</v>
      </c>
      <c r="Q264" s="35">
        <f t="shared" si="146"/>
        <v>0.92148585901224145</v>
      </c>
      <c r="R264" s="20">
        <v>4738</v>
      </c>
      <c r="S264" s="27">
        <f t="shared" si="136"/>
        <v>372</v>
      </c>
      <c r="T264" s="20">
        <v>4366</v>
      </c>
      <c r="U264" s="20">
        <v>3262</v>
      </c>
      <c r="V264" s="20">
        <f t="shared" si="137"/>
        <v>1104</v>
      </c>
      <c r="W264" s="20"/>
      <c r="X264" s="5"/>
      <c r="Y264" s="62">
        <v>2014</v>
      </c>
      <c r="Z264" s="63" t="s">
        <v>44</v>
      </c>
      <c r="AA264" s="35">
        <f t="shared" si="147"/>
        <v>0.30306021717670284</v>
      </c>
      <c r="AB264" s="35">
        <f t="shared" si="148"/>
        <v>0.3730255164034022</v>
      </c>
      <c r="AC264" s="35">
        <f t="shared" si="149"/>
        <v>0.81243830207305034</v>
      </c>
      <c r="AD264" s="20">
        <v>1013</v>
      </c>
      <c r="AE264" s="27">
        <f t="shared" si="138"/>
        <v>190</v>
      </c>
      <c r="AF264" s="20">
        <v>823</v>
      </c>
      <c r="AG264" s="20">
        <v>307</v>
      </c>
      <c r="AH264" s="20">
        <f t="shared" si="139"/>
        <v>516</v>
      </c>
      <c r="AI264" s="20"/>
      <c r="AJ264" s="5"/>
      <c r="AK264" s="62">
        <v>2014</v>
      </c>
      <c r="AL264" s="63" t="s">
        <v>44</v>
      </c>
      <c r="AM264" s="35">
        <f t="shared" si="150"/>
        <v>9.662921348314607E-2</v>
      </c>
      <c r="AN264" s="35">
        <f t="shared" si="151"/>
        <v>0.13870967741935483</v>
      </c>
      <c r="AO264" s="35">
        <f t="shared" si="152"/>
        <v>0.6966292134831461</v>
      </c>
      <c r="AP264" s="20">
        <v>890</v>
      </c>
      <c r="AQ264" s="27">
        <f t="shared" si="140"/>
        <v>270</v>
      </c>
      <c r="AR264" s="20">
        <v>620</v>
      </c>
      <c r="AS264" s="20">
        <v>86</v>
      </c>
      <c r="AT264" s="20">
        <f t="shared" si="141"/>
        <v>534</v>
      </c>
      <c r="AU264" s="29"/>
    </row>
    <row r="265" spans="1:47" s="3" customFormat="1" ht="12.75">
      <c r="A265" s="64">
        <v>2014</v>
      </c>
      <c r="B265" s="65" t="s">
        <v>45</v>
      </c>
      <c r="C265" s="35">
        <f t="shared" si="103"/>
        <v>0.50932298836190715</v>
      </c>
      <c r="D265" s="35">
        <f t="shared" si="104"/>
        <v>0.66082156194187369</v>
      </c>
      <c r="E265" s="35">
        <f t="shared" si="105"/>
        <v>0.77074208484545115</v>
      </c>
      <c r="F265" s="27">
        <f t="shared" si="121"/>
        <v>7991</v>
      </c>
      <c r="G265" s="20">
        <f t="shared" si="142"/>
        <v>1832</v>
      </c>
      <c r="H265" s="27">
        <f t="shared" si="122"/>
        <v>6159</v>
      </c>
      <c r="I265" s="27">
        <f t="shared" si="123"/>
        <v>4070</v>
      </c>
      <c r="J265" s="20">
        <f t="shared" si="143"/>
        <v>2089</v>
      </c>
      <c r="K265" s="27"/>
      <c r="L265" s="4"/>
      <c r="M265" s="64">
        <v>2014</v>
      </c>
      <c r="N265" s="65" t="s">
        <v>45</v>
      </c>
      <c r="O265" s="35">
        <f t="shared" si="144"/>
        <v>0.63447031813709409</v>
      </c>
      <c r="P265" s="35">
        <f t="shared" si="145"/>
        <v>0.72331276874182093</v>
      </c>
      <c r="Q265" s="35">
        <f t="shared" si="146"/>
        <v>0.87717284355526404</v>
      </c>
      <c r="R265" s="20">
        <v>6098</v>
      </c>
      <c r="S265" s="27">
        <f t="shared" si="136"/>
        <v>749</v>
      </c>
      <c r="T265" s="20">
        <v>5349</v>
      </c>
      <c r="U265" s="20">
        <v>3869</v>
      </c>
      <c r="V265" s="20">
        <f t="shared" si="137"/>
        <v>1480</v>
      </c>
      <c r="W265" s="20"/>
      <c r="X265" s="5"/>
      <c r="Y265" s="64">
        <v>2014</v>
      </c>
      <c r="Z265" s="65" t="s">
        <v>45</v>
      </c>
      <c r="AA265" s="35">
        <f t="shared" si="147"/>
        <v>0.17507418397626112</v>
      </c>
      <c r="AB265" s="35">
        <f t="shared" si="148"/>
        <v>0.22634271099744246</v>
      </c>
      <c r="AC265" s="35">
        <f t="shared" si="149"/>
        <v>0.77349159248269039</v>
      </c>
      <c r="AD265" s="20">
        <v>1011</v>
      </c>
      <c r="AE265" s="27">
        <f t="shared" si="138"/>
        <v>229</v>
      </c>
      <c r="AF265" s="20">
        <v>782</v>
      </c>
      <c r="AG265" s="20">
        <v>177</v>
      </c>
      <c r="AH265" s="20">
        <f t="shared" si="139"/>
        <v>605</v>
      </c>
      <c r="AI265" s="20"/>
      <c r="AJ265" s="5"/>
      <c r="AK265" s="64">
        <v>2014</v>
      </c>
      <c r="AL265" s="65" t="s">
        <v>45</v>
      </c>
      <c r="AM265" s="35">
        <f t="shared" si="150"/>
        <v>2.7210884353741496E-2</v>
      </c>
      <c r="AN265" s="35">
        <f t="shared" si="151"/>
        <v>0.8571428571428571</v>
      </c>
      <c r="AO265" s="35">
        <f t="shared" si="152"/>
        <v>3.1746031746031744E-2</v>
      </c>
      <c r="AP265" s="20">
        <v>882</v>
      </c>
      <c r="AQ265" s="27">
        <f t="shared" si="140"/>
        <v>854</v>
      </c>
      <c r="AR265" s="20">
        <v>28</v>
      </c>
      <c r="AS265" s="20">
        <v>24</v>
      </c>
      <c r="AT265" s="20">
        <f t="shared" si="141"/>
        <v>4</v>
      </c>
      <c r="AU265" s="29"/>
    </row>
    <row r="266" spans="1:47" s="3" customFormat="1" ht="12.75">
      <c r="A266" s="62">
        <v>2014</v>
      </c>
      <c r="B266" s="63" t="s">
        <v>46</v>
      </c>
      <c r="C266" s="35">
        <f t="shared" ref="C266:C329" si="153">I266/F266</f>
        <v>0.67644807348813474</v>
      </c>
      <c r="D266" s="35">
        <f t="shared" ref="D266:D329" si="154">I266/H266</f>
        <v>0.78887070376432078</v>
      </c>
      <c r="E266" s="35">
        <f t="shared" ref="E266:E329" si="155">H266/F266</f>
        <v>0.85748915539678494</v>
      </c>
      <c r="F266" s="27">
        <f t="shared" ref="F266:F297" si="156">+R266+AD266+AP266</f>
        <v>7838</v>
      </c>
      <c r="G266" s="20">
        <f t="shared" si="142"/>
        <v>1117</v>
      </c>
      <c r="H266" s="27">
        <f t="shared" ref="H266:H297" si="157">+T266+AF266+AR266</f>
        <v>6721</v>
      </c>
      <c r="I266" s="27">
        <f t="shared" ref="I266:I297" si="158">+U266+AG266+AS266</f>
        <v>5302</v>
      </c>
      <c r="J266" s="20">
        <f t="shared" si="143"/>
        <v>1419</v>
      </c>
      <c r="K266" s="27"/>
      <c r="L266" s="4"/>
      <c r="M266" s="62">
        <v>2014</v>
      </c>
      <c r="N266" s="63" t="s">
        <v>46</v>
      </c>
      <c r="O266" s="35">
        <f t="shared" si="144"/>
        <v>0.86940547762191045</v>
      </c>
      <c r="P266" s="35">
        <f t="shared" si="145"/>
        <v>0.91189350148887716</v>
      </c>
      <c r="Q266" s="35">
        <f t="shared" si="146"/>
        <v>0.95340681362725455</v>
      </c>
      <c r="R266" s="20">
        <v>5988</v>
      </c>
      <c r="S266" s="27">
        <f>R266-T266</f>
        <v>279</v>
      </c>
      <c r="T266" s="20">
        <v>5709</v>
      </c>
      <c r="U266" s="20">
        <v>5206</v>
      </c>
      <c r="V266" s="20">
        <f t="shared" si="137"/>
        <v>503</v>
      </c>
      <c r="W266" s="20"/>
      <c r="X266" s="5"/>
      <c r="Y266" s="62">
        <v>2014</v>
      </c>
      <c r="Z266" s="63" t="s">
        <v>46</v>
      </c>
      <c r="AA266" s="35">
        <f t="shared" si="147"/>
        <v>9.775967413441955E-2</v>
      </c>
      <c r="AB266" s="35">
        <f t="shared" si="148"/>
        <v>0.17112299465240641</v>
      </c>
      <c r="AC266" s="35">
        <f t="shared" si="149"/>
        <v>0.57128309572301428</v>
      </c>
      <c r="AD266" s="20">
        <v>982</v>
      </c>
      <c r="AE266" s="27">
        <f>AD266-AF266</f>
        <v>421</v>
      </c>
      <c r="AF266" s="20">
        <v>561</v>
      </c>
      <c r="AG266" s="20">
        <v>96</v>
      </c>
      <c r="AH266" s="20">
        <f t="shared" si="139"/>
        <v>465</v>
      </c>
      <c r="AI266" s="20"/>
      <c r="AJ266" s="5"/>
      <c r="AK266" s="62">
        <v>2014</v>
      </c>
      <c r="AL266" s="63" t="s">
        <v>46</v>
      </c>
      <c r="AM266" s="35">
        <f t="shared" si="150"/>
        <v>0</v>
      </c>
      <c r="AN266" s="35">
        <f t="shared" si="151"/>
        <v>0</v>
      </c>
      <c r="AO266" s="35">
        <f t="shared" si="152"/>
        <v>0.5195852534562212</v>
      </c>
      <c r="AP266" s="20">
        <v>868</v>
      </c>
      <c r="AQ266" s="27">
        <f>AP266-AR266</f>
        <v>417</v>
      </c>
      <c r="AR266" s="20">
        <v>451</v>
      </c>
      <c r="AS266" s="20">
        <v>0</v>
      </c>
      <c r="AT266" s="20">
        <f t="shared" si="141"/>
        <v>451</v>
      </c>
      <c r="AU266" s="29"/>
    </row>
    <row r="267" spans="1:47" s="3" customFormat="1" ht="12.75">
      <c r="A267" s="64">
        <v>2014</v>
      </c>
      <c r="B267" s="65" t="s">
        <v>47</v>
      </c>
      <c r="C267" s="35">
        <f t="shared" si="153"/>
        <v>0.67026959870791403</v>
      </c>
      <c r="D267" s="35">
        <f t="shared" si="154"/>
        <v>0.79654510556621883</v>
      </c>
      <c r="E267" s="35">
        <f t="shared" si="155"/>
        <v>0.84147099018511617</v>
      </c>
      <c r="F267" s="27">
        <f t="shared" si="156"/>
        <v>8049</v>
      </c>
      <c r="G267" s="20">
        <f t="shared" si="142"/>
        <v>1276</v>
      </c>
      <c r="H267" s="27">
        <f t="shared" si="157"/>
        <v>6773</v>
      </c>
      <c r="I267" s="27">
        <f t="shared" si="158"/>
        <v>5395</v>
      </c>
      <c r="J267" s="20">
        <f t="shared" si="143"/>
        <v>1378</v>
      </c>
      <c r="K267" s="27"/>
      <c r="L267" s="4"/>
      <c r="M267" s="64">
        <v>2014</v>
      </c>
      <c r="N267" s="65" t="s">
        <v>47</v>
      </c>
      <c r="O267" s="35">
        <f t="shared" si="144"/>
        <v>0.86983403839895868</v>
      </c>
      <c r="P267" s="35">
        <f t="shared" si="145"/>
        <v>0.92283790781978248</v>
      </c>
      <c r="Q267" s="35">
        <f t="shared" si="146"/>
        <v>0.94256426944354055</v>
      </c>
      <c r="R267" s="20">
        <v>6146</v>
      </c>
      <c r="S267" s="27">
        <f>R267-T267</f>
        <v>353</v>
      </c>
      <c r="T267" s="20">
        <v>5793</v>
      </c>
      <c r="U267" s="20">
        <v>5346</v>
      </c>
      <c r="V267" s="20">
        <f t="shared" si="137"/>
        <v>447</v>
      </c>
      <c r="W267" s="20"/>
      <c r="X267" s="5"/>
      <c r="Y267" s="64">
        <v>2014</v>
      </c>
      <c r="Z267" s="65" t="s">
        <v>47</v>
      </c>
      <c r="AA267" s="35">
        <f t="shared" si="147"/>
        <v>4.8371174728529122E-2</v>
      </c>
      <c r="AB267" s="35">
        <f t="shared" si="148"/>
        <v>9.1588785046728974E-2</v>
      </c>
      <c r="AC267" s="35">
        <f t="shared" si="149"/>
        <v>0.5281342546890424</v>
      </c>
      <c r="AD267" s="20">
        <v>1013</v>
      </c>
      <c r="AE267" s="27">
        <f>AD267-AF267</f>
        <v>478</v>
      </c>
      <c r="AF267" s="20">
        <v>535</v>
      </c>
      <c r="AG267" s="20">
        <v>49</v>
      </c>
      <c r="AH267" s="20">
        <f t="shared" si="139"/>
        <v>486</v>
      </c>
      <c r="AI267" s="20"/>
      <c r="AJ267" s="5"/>
      <c r="AK267" s="64">
        <v>2014</v>
      </c>
      <c r="AL267" s="65" t="s">
        <v>47</v>
      </c>
      <c r="AM267" s="35">
        <f t="shared" si="150"/>
        <v>0</v>
      </c>
      <c r="AN267" s="35">
        <f t="shared" si="151"/>
        <v>0</v>
      </c>
      <c r="AO267" s="35">
        <f t="shared" si="152"/>
        <v>0.5</v>
      </c>
      <c r="AP267" s="20">
        <v>890</v>
      </c>
      <c r="AQ267" s="27">
        <f>AP267-AR267</f>
        <v>445</v>
      </c>
      <c r="AR267" s="20">
        <v>445</v>
      </c>
      <c r="AS267" s="20">
        <v>0</v>
      </c>
      <c r="AT267" s="20">
        <f t="shared" si="141"/>
        <v>445</v>
      </c>
      <c r="AU267" s="29"/>
    </row>
    <row r="268" spans="1:47" s="3" customFormat="1" ht="12.75">
      <c r="A268" s="62">
        <v>2014</v>
      </c>
      <c r="B268" s="63" t="s">
        <v>48</v>
      </c>
      <c r="C268" s="35">
        <f t="shared" si="153"/>
        <v>0.62548562548562547</v>
      </c>
      <c r="D268" s="35">
        <f t="shared" si="154"/>
        <v>0.76972111553784861</v>
      </c>
      <c r="E268" s="35">
        <f t="shared" si="155"/>
        <v>0.8126133126133126</v>
      </c>
      <c r="F268" s="27">
        <f t="shared" si="156"/>
        <v>7722</v>
      </c>
      <c r="G268" s="20">
        <f t="shared" si="142"/>
        <v>1447</v>
      </c>
      <c r="H268" s="27">
        <f t="shared" si="157"/>
        <v>6275</v>
      </c>
      <c r="I268" s="27">
        <f t="shared" si="158"/>
        <v>4830</v>
      </c>
      <c r="J268" s="20">
        <f t="shared" si="143"/>
        <v>1445</v>
      </c>
      <c r="K268" s="27"/>
      <c r="L268" s="4"/>
      <c r="M268" s="62">
        <v>2014</v>
      </c>
      <c r="N268" s="63" t="s">
        <v>48</v>
      </c>
      <c r="O268" s="35">
        <f t="shared" si="144"/>
        <v>0.80821452817379502</v>
      </c>
      <c r="P268" s="35">
        <f t="shared" si="145"/>
        <v>0.89059285580699454</v>
      </c>
      <c r="Q268" s="35">
        <f t="shared" si="146"/>
        <v>0.90750169721656482</v>
      </c>
      <c r="R268" s="20">
        <v>5892</v>
      </c>
      <c r="S268" s="27">
        <f>R268-T268</f>
        <v>545</v>
      </c>
      <c r="T268" s="20">
        <v>5347</v>
      </c>
      <c r="U268" s="20">
        <v>4762</v>
      </c>
      <c r="V268" s="20">
        <f t="shared" si="137"/>
        <v>585</v>
      </c>
      <c r="W268" s="20"/>
      <c r="X268" s="5"/>
      <c r="Y268" s="62">
        <v>2014</v>
      </c>
      <c r="Z268" s="63" t="s">
        <v>48</v>
      </c>
      <c r="AA268" s="35">
        <f t="shared" si="147"/>
        <v>6.9529652351738247E-2</v>
      </c>
      <c r="AB268" s="35">
        <f t="shared" si="148"/>
        <v>0.12927756653992395</v>
      </c>
      <c r="AC268" s="35">
        <f t="shared" si="149"/>
        <v>0.53783231083844585</v>
      </c>
      <c r="AD268" s="20">
        <v>978</v>
      </c>
      <c r="AE268" s="27">
        <f>AD268-AF268</f>
        <v>452</v>
      </c>
      <c r="AF268" s="20">
        <v>526</v>
      </c>
      <c r="AG268" s="20">
        <v>68</v>
      </c>
      <c r="AH268" s="20">
        <f t="shared" si="139"/>
        <v>458</v>
      </c>
      <c r="AI268" s="20"/>
      <c r="AJ268" s="5"/>
      <c r="AK268" s="62">
        <v>2014</v>
      </c>
      <c r="AL268" s="63" t="s">
        <v>48</v>
      </c>
      <c r="AM268" s="35">
        <f t="shared" si="150"/>
        <v>0</v>
      </c>
      <c r="AN268" s="35">
        <f t="shared" si="151"/>
        <v>0</v>
      </c>
      <c r="AO268" s="35">
        <f t="shared" si="152"/>
        <v>0.47183098591549294</v>
      </c>
      <c r="AP268" s="20">
        <v>852</v>
      </c>
      <c r="AQ268" s="27">
        <f>AP268-AR268</f>
        <v>450</v>
      </c>
      <c r="AR268" s="20">
        <v>402</v>
      </c>
      <c r="AS268" s="20">
        <v>0</v>
      </c>
      <c r="AT268" s="20">
        <f t="shared" si="141"/>
        <v>402</v>
      </c>
      <c r="AU268" s="29"/>
    </row>
    <row r="269" spans="1:47" s="3" customFormat="1" ht="12.75">
      <c r="A269" s="64">
        <v>2014</v>
      </c>
      <c r="B269" s="65" t="s">
        <v>49</v>
      </c>
      <c r="C269" s="35">
        <f t="shared" si="153"/>
        <v>0.66191856800705917</v>
      </c>
      <c r="D269" s="35">
        <f t="shared" si="154"/>
        <v>0.80388854868340476</v>
      </c>
      <c r="E269" s="35">
        <f t="shared" si="155"/>
        <v>0.82339594100592461</v>
      </c>
      <c r="F269" s="27">
        <f t="shared" si="156"/>
        <v>7933</v>
      </c>
      <c r="G269" s="20">
        <f t="shared" si="142"/>
        <v>1401</v>
      </c>
      <c r="H269" s="27">
        <f t="shared" si="157"/>
        <v>6532</v>
      </c>
      <c r="I269" s="27">
        <f t="shared" si="158"/>
        <v>5251</v>
      </c>
      <c r="J269" s="20">
        <f t="shared" si="143"/>
        <v>1281</v>
      </c>
      <c r="K269" s="27"/>
      <c r="L269" s="10"/>
      <c r="M269" s="64">
        <v>2014</v>
      </c>
      <c r="N269" s="65" t="s">
        <v>49</v>
      </c>
      <c r="O269" s="35">
        <f t="shared" si="144"/>
        <v>0.8542148760330579</v>
      </c>
      <c r="P269" s="35">
        <f t="shared" si="145"/>
        <v>0.92533572068039394</v>
      </c>
      <c r="Q269" s="35">
        <f t="shared" si="146"/>
        <v>0.92314049586776858</v>
      </c>
      <c r="R269" s="20">
        <v>6050</v>
      </c>
      <c r="S269" s="27">
        <f>R269-T269</f>
        <v>465</v>
      </c>
      <c r="T269" s="20">
        <v>5585</v>
      </c>
      <c r="U269" s="20">
        <v>5168</v>
      </c>
      <c r="V269" s="20">
        <f t="shared" si="137"/>
        <v>417</v>
      </c>
      <c r="W269" s="20"/>
      <c r="X269" s="5"/>
      <c r="Y269" s="64">
        <v>2014</v>
      </c>
      <c r="Z269" s="65" t="s">
        <v>49</v>
      </c>
      <c r="AA269" s="35">
        <f t="shared" si="147"/>
        <v>8.2259663032705654E-2</v>
      </c>
      <c r="AB269" s="35">
        <f t="shared" si="148"/>
        <v>0.15090909090909091</v>
      </c>
      <c r="AC269" s="35">
        <f t="shared" si="149"/>
        <v>0.54509415262636274</v>
      </c>
      <c r="AD269" s="20">
        <v>1009</v>
      </c>
      <c r="AE269" s="27">
        <f>AD269-AF269</f>
        <v>459</v>
      </c>
      <c r="AF269" s="20">
        <v>550</v>
      </c>
      <c r="AG269" s="20">
        <v>83</v>
      </c>
      <c r="AH269" s="20">
        <f t="shared" si="139"/>
        <v>467</v>
      </c>
      <c r="AI269" s="20"/>
      <c r="AJ269" s="5"/>
      <c r="AK269" s="64">
        <v>2014</v>
      </c>
      <c r="AL269" s="65" t="s">
        <v>49</v>
      </c>
      <c r="AM269" s="35">
        <f t="shared" si="150"/>
        <v>0</v>
      </c>
      <c r="AN269" s="35">
        <f t="shared" si="151"/>
        <v>0</v>
      </c>
      <c r="AO269" s="35">
        <f t="shared" si="152"/>
        <v>0.45423340961098396</v>
      </c>
      <c r="AP269" s="20">
        <v>874</v>
      </c>
      <c r="AQ269" s="27">
        <f>AP269-AR269</f>
        <v>477</v>
      </c>
      <c r="AR269" s="20">
        <v>397</v>
      </c>
      <c r="AS269" s="20">
        <v>0</v>
      </c>
      <c r="AT269" s="20">
        <f t="shared" si="141"/>
        <v>397</v>
      </c>
      <c r="AU269" s="29"/>
    </row>
    <row r="270" spans="1:47" s="3" customFormat="1" ht="12.75">
      <c r="A270" s="62">
        <v>2015</v>
      </c>
      <c r="B270" s="63" t="s">
        <v>38</v>
      </c>
      <c r="C270" s="35">
        <f t="shared" si="153"/>
        <v>0.62305876506398306</v>
      </c>
      <c r="D270" s="35">
        <f t="shared" si="154"/>
        <v>0.78777882500785423</v>
      </c>
      <c r="E270" s="35">
        <f t="shared" si="155"/>
        <v>0.79090570257174808</v>
      </c>
      <c r="F270" s="27">
        <f t="shared" si="156"/>
        <v>8049</v>
      </c>
      <c r="G270" s="20">
        <f t="shared" si="142"/>
        <v>1683</v>
      </c>
      <c r="H270" s="27">
        <f t="shared" si="157"/>
        <v>6366</v>
      </c>
      <c r="I270" s="27">
        <f t="shared" si="158"/>
        <v>5015</v>
      </c>
      <c r="J270" s="20">
        <f t="shared" si="143"/>
        <v>1351</v>
      </c>
      <c r="K270" s="27"/>
      <c r="L270" s="4"/>
      <c r="M270" s="62">
        <v>2015</v>
      </c>
      <c r="N270" s="63" t="s">
        <v>38</v>
      </c>
      <c r="O270" s="35">
        <f t="shared" si="144"/>
        <v>0.80719166937845754</v>
      </c>
      <c r="P270" s="35">
        <f t="shared" si="145"/>
        <v>0.89694449466642556</v>
      </c>
      <c r="Q270" s="35">
        <f t="shared" si="146"/>
        <v>0.89993491701919948</v>
      </c>
      <c r="R270" s="20">
        <v>6146</v>
      </c>
      <c r="S270" s="27">
        <f t="shared" ref="S270:S277" si="159">R270-T270</f>
        <v>615</v>
      </c>
      <c r="T270" s="20">
        <v>5531</v>
      </c>
      <c r="U270" s="20">
        <v>4961</v>
      </c>
      <c r="V270" s="20">
        <f t="shared" ref="V270:V281" si="160">T270-U270</f>
        <v>570</v>
      </c>
      <c r="W270" s="20"/>
      <c r="X270" s="5"/>
      <c r="Y270" s="62">
        <v>2015</v>
      </c>
      <c r="Z270" s="63" t="s">
        <v>38</v>
      </c>
      <c r="AA270" s="35">
        <f t="shared" si="147"/>
        <v>5.3307008884501482E-2</v>
      </c>
      <c r="AB270" s="35">
        <f t="shared" si="148"/>
        <v>0.10305343511450382</v>
      </c>
      <c r="AC270" s="35">
        <f t="shared" si="149"/>
        <v>0.51727541954590328</v>
      </c>
      <c r="AD270" s="20">
        <v>1013</v>
      </c>
      <c r="AE270" s="27">
        <f t="shared" ref="AE270:AE277" si="161">AD270-AF270</f>
        <v>489</v>
      </c>
      <c r="AF270" s="20">
        <v>524</v>
      </c>
      <c r="AG270" s="20">
        <v>54</v>
      </c>
      <c r="AH270" s="20">
        <f t="shared" ref="AH270:AH281" si="162">AF270-AG270</f>
        <v>470</v>
      </c>
      <c r="AI270" s="20"/>
      <c r="AJ270" s="5"/>
      <c r="AK270" s="62">
        <v>2015</v>
      </c>
      <c r="AL270" s="63" t="s">
        <v>38</v>
      </c>
      <c r="AM270" s="35">
        <f t="shared" si="150"/>
        <v>0</v>
      </c>
      <c r="AN270" s="35">
        <f t="shared" si="151"/>
        <v>0</v>
      </c>
      <c r="AO270" s="35">
        <f t="shared" si="152"/>
        <v>0.34943820224719102</v>
      </c>
      <c r="AP270" s="20">
        <v>890</v>
      </c>
      <c r="AQ270" s="27">
        <f t="shared" ref="AQ270:AQ277" si="163">AP270-AR270</f>
        <v>579</v>
      </c>
      <c r="AR270" s="20">
        <v>311</v>
      </c>
      <c r="AS270" s="20">
        <v>0</v>
      </c>
      <c r="AT270" s="20">
        <f t="shared" ref="AT270:AT281" si="164">AR270-AS270</f>
        <v>311</v>
      </c>
      <c r="AU270" s="29"/>
    </row>
    <row r="271" spans="1:47" s="3" customFormat="1" ht="12.75">
      <c r="A271" s="64">
        <v>2015</v>
      </c>
      <c r="B271" s="65" t="s">
        <v>39</v>
      </c>
      <c r="C271" s="35">
        <f t="shared" si="153"/>
        <v>0.59940699126092389</v>
      </c>
      <c r="D271" s="35">
        <f t="shared" si="154"/>
        <v>0.77082079068834031</v>
      </c>
      <c r="E271" s="35">
        <f t="shared" si="155"/>
        <v>0.77762172284644193</v>
      </c>
      <c r="F271" s="27">
        <f t="shared" si="156"/>
        <v>6408</v>
      </c>
      <c r="G271" s="20">
        <f t="shared" si="142"/>
        <v>1425</v>
      </c>
      <c r="H271" s="27">
        <f t="shared" si="157"/>
        <v>4983</v>
      </c>
      <c r="I271" s="27">
        <f t="shared" si="158"/>
        <v>3841</v>
      </c>
      <c r="J271" s="20">
        <f t="shared" si="143"/>
        <v>1142</v>
      </c>
      <c r="K271" s="27"/>
      <c r="L271" s="4"/>
      <c r="M271" s="64">
        <v>2015</v>
      </c>
      <c r="N271" s="65" t="s">
        <v>39</v>
      </c>
      <c r="O271" s="35">
        <f t="shared" si="144"/>
        <v>0.81228741496598644</v>
      </c>
      <c r="P271" s="35">
        <f t="shared" si="145"/>
        <v>0.90160453043888622</v>
      </c>
      <c r="Q271" s="35">
        <f t="shared" si="146"/>
        <v>0.90093537414965985</v>
      </c>
      <c r="R271" s="20">
        <v>4704</v>
      </c>
      <c r="S271" s="27">
        <f t="shared" si="159"/>
        <v>466</v>
      </c>
      <c r="T271" s="20">
        <v>4238</v>
      </c>
      <c r="U271" s="20">
        <v>3821</v>
      </c>
      <c r="V271" s="20">
        <f t="shared" si="160"/>
        <v>417</v>
      </c>
      <c r="W271" s="20"/>
      <c r="X271" s="5"/>
      <c r="Y271" s="64">
        <v>2015</v>
      </c>
      <c r="Z271" s="65" t="s">
        <v>39</v>
      </c>
      <c r="AA271" s="35">
        <f t="shared" si="147"/>
        <v>2.1929824561403508E-2</v>
      </c>
      <c r="AB271" s="35">
        <f t="shared" si="148"/>
        <v>4.2283298097251586E-2</v>
      </c>
      <c r="AC271" s="35">
        <f t="shared" si="149"/>
        <v>0.51864035087719296</v>
      </c>
      <c r="AD271" s="20">
        <v>912</v>
      </c>
      <c r="AE271" s="27">
        <f t="shared" si="161"/>
        <v>439</v>
      </c>
      <c r="AF271" s="20">
        <v>473</v>
      </c>
      <c r="AG271" s="20">
        <v>20</v>
      </c>
      <c r="AH271" s="20">
        <f t="shared" si="162"/>
        <v>453</v>
      </c>
      <c r="AI271" s="20"/>
      <c r="AJ271" s="5"/>
      <c r="AK271" s="64">
        <v>2015</v>
      </c>
      <c r="AL271" s="65" t="s">
        <v>39</v>
      </c>
      <c r="AM271" s="35">
        <f t="shared" si="150"/>
        <v>0</v>
      </c>
      <c r="AN271" s="35">
        <f t="shared" si="151"/>
        <v>0</v>
      </c>
      <c r="AO271" s="35">
        <f t="shared" si="152"/>
        <v>0.34343434343434343</v>
      </c>
      <c r="AP271" s="20">
        <v>792</v>
      </c>
      <c r="AQ271" s="27">
        <f t="shared" si="163"/>
        <v>520</v>
      </c>
      <c r="AR271" s="20">
        <v>272</v>
      </c>
      <c r="AS271" s="20">
        <v>0</v>
      </c>
      <c r="AT271" s="20">
        <f t="shared" si="164"/>
        <v>272</v>
      </c>
      <c r="AU271" s="29"/>
    </row>
    <row r="272" spans="1:47" s="3" customFormat="1" ht="12.75">
      <c r="A272" s="62">
        <v>2015</v>
      </c>
      <c r="B272" s="63" t="s">
        <v>40</v>
      </c>
      <c r="C272" s="35">
        <f t="shared" si="153"/>
        <v>0.57588836138685084</v>
      </c>
      <c r="D272" s="35">
        <f t="shared" si="154"/>
        <v>0.76276676829268297</v>
      </c>
      <c r="E272" s="35">
        <f t="shared" si="155"/>
        <v>0.75499928067903899</v>
      </c>
      <c r="F272" s="27">
        <f t="shared" si="156"/>
        <v>6951</v>
      </c>
      <c r="G272" s="20">
        <f t="shared" si="142"/>
        <v>1703</v>
      </c>
      <c r="H272" s="27">
        <f t="shared" si="157"/>
        <v>5248</v>
      </c>
      <c r="I272" s="27">
        <f t="shared" si="158"/>
        <v>4003</v>
      </c>
      <c r="J272" s="20">
        <f t="shared" si="143"/>
        <v>1245</v>
      </c>
      <c r="K272" s="27"/>
      <c r="L272" s="4"/>
      <c r="M272" s="62">
        <v>2015</v>
      </c>
      <c r="N272" s="63" t="s">
        <v>40</v>
      </c>
      <c r="O272" s="35">
        <f t="shared" si="144"/>
        <v>0.78512233622730865</v>
      </c>
      <c r="P272" s="35">
        <f t="shared" si="145"/>
        <v>0.87489006156552329</v>
      </c>
      <c r="Q272" s="35">
        <f t="shared" si="146"/>
        <v>0.89739542225730073</v>
      </c>
      <c r="R272" s="20">
        <v>5068</v>
      </c>
      <c r="S272" s="27">
        <f t="shared" si="159"/>
        <v>520</v>
      </c>
      <c r="T272" s="20">
        <v>4548</v>
      </c>
      <c r="U272" s="20">
        <v>3979</v>
      </c>
      <c r="V272" s="20">
        <f t="shared" si="160"/>
        <v>569</v>
      </c>
      <c r="W272" s="20"/>
      <c r="X272" s="5"/>
      <c r="Y272" s="62">
        <v>2015</v>
      </c>
      <c r="Z272" s="63" t="s">
        <v>40</v>
      </c>
      <c r="AA272" s="35">
        <f t="shared" si="147"/>
        <v>2.3785926660059464E-2</v>
      </c>
      <c r="AB272" s="35">
        <f t="shared" si="148"/>
        <v>5.8679706601466992E-2</v>
      </c>
      <c r="AC272" s="35">
        <f t="shared" si="149"/>
        <v>0.40535183349851339</v>
      </c>
      <c r="AD272" s="20">
        <v>1009</v>
      </c>
      <c r="AE272" s="27">
        <f t="shared" si="161"/>
        <v>600</v>
      </c>
      <c r="AF272" s="20">
        <v>409</v>
      </c>
      <c r="AG272" s="20">
        <v>24</v>
      </c>
      <c r="AH272" s="20">
        <f t="shared" si="162"/>
        <v>385</v>
      </c>
      <c r="AI272" s="20"/>
      <c r="AJ272" s="5"/>
      <c r="AK272" s="62">
        <v>2015</v>
      </c>
      <c r="AL272" s="63" t="s">
        <v>40</v>
      </c>
      <c r="AM272" s="35">
        <f t="shared" si="150"/>
        <v>0</v>
      </c>
      <c r="AN272" s="35">
        <f t="shared" si="151"/>
        <v>0</v>
      </c>
      <c r="AO272" s="35">
        <f t="shared" si="152"/>
        <v>0.33295194508009152</v>
      </c>
      <c r="AP272" s="20">
        <v>874</v>
      </c>
      <c r="AQ272" s="27">
        <f t="shared" si="163"/>
        <v>583</v>
      </c>
      <c r="AR272" s="20">
        <v>291</v>
      </c>
      <c r="AS272" s="20">
        <v>0</v>
      </c>
      <c r="AT272" s="20">
        <f t="shared" si="164"/>
        <v>291</v>
      </c>
      <c r="AU272" s="29"/>
    </row>
    <row r="273" spans="1:47" s="3" customFormat="1" ht="12.75">
      <c r="A273" s="64">
        <v>2015</v>
      </c>
      <c r="B273" s="65" t="s">
        <v>41</v>
      </c>
      <c r="C273" s="35">
        <f t="shared" si="153"/>
        <v>0.62699333140040592</v>
      </c>
      <c r="D273" s="35">
        <f t="shared" si="154"/>
        <v>0.77467311481282464</v>
      </c>
      <c r="E273" s="35">
        <f t="shared" si="155"/>
        <v>0.80936503334299792</v>
      </c>
      <c r="F273" s="27">
        <f t="shared" si="156"/>
        <v>6898</v>
      </c>
      <c r="G273" s="20">
        <f t="shared" si="142"/>
        <v>1315</v>
      </c>
      <c r="H273" s="27">
        <f t="shared" si="157"/>
        <v>5583</v>
      </c>
      <c r="I273" s="27">
        <f t="shared" si="158"/>
        <v>4325</v>
      </c>
      <c r="J273" s="20">
        <f t="shared" si="143"/>
        <v>1258</v>
      </c>
      <c r="K273" s="27"/>
      <c r="L273" s="4"/>
      <c r="M273" s="64">
        <v>2015</v>
      </c>
      <c r="N273" s="65" t="s">
        <v>41</v>
      </c>
      <c r="O273" s="35">
        <f t="shared" si="144"/>
        <v>0.84984214680347281</v>
      </c>
      <c r="P273" s="35">
        <f t="shared" si="145"/>
        <v>0.88767518549051938</v>
      </c>
      <c r="Q273" s="35">
        <f t="shared" si="146"/>
        <v>0.95737963693764794</v>
      </c>
      <c r="R273" s="20">
        <v>5068</v>
      </c>
      <c r="S273" s="27">
        <f t="shared" si="159"/>
        <v>216</v>
      </c>
      <c r="T273" s="20">
        <v>4852</v>
      </c>
      <c r="U273" s="20">
        <v>4307</v>
      </c>
      <c r="V273" s="20">
        <f t="shared" si="160"/>
        <v>545</v>
      </c>
      <c r="W273" s="20"/>
      <c r="X273" s="5"/>
      <c r="Y273" s="64">
        <v>2015</v>
      </c>
      <c r="Z273" s="65" t="s">
        <v>41</v>
      </c>
      <c r="AA273" s="35">
        <f t="shared" si="147"/>
        <v>1.8404907975460124E-2</v>
      </c>
      <c r="AB273" s="35">
        <f t="shared" si="148"/>
        <v>4.3795620437956206E-2</v>
      </c>
      <c r="AC273" s="35">
        <f t="shared" si="149"/>
        <v>0.42024539877300615</v>
      </c>
      <c r="AD273" s="20">
        <v>978</v>
      </c>
      <c r="AE273" s="27">
        <f t="shared" si="161"/>
        <v>567</v>
      </c>
      <c r="AF273" s="20">
        <v>411</v>
      </c>
      <c r="AG273" s="20">
        <v>18</v>
      </c>
      <c r="AH273" s="20">
        <f t="shared" si="162"/>
        <v>393</v>
      </c>
      <c r="AI273" s="20"/>
      <c r="AJ273" s="5"/>
      <c r="AK273" s="64">
        <v>2015</v>
      </c>
      <c r="AL273" s="65" t="s">
        <v>41</v>
      </c>
      <c r="AM273" s="35">
        <f t="shared" si="150"/>
        <v>0</v>
      </c>
      <c r="AN273" s="35">
        <f t="shared" si="151"/>
        <v>0</v>
      </c>
      <c r="AO273" s="35">
        <f t="shared" si="152"/>
        <v>0.37558685446009388</v>
      </c>
      <c r="AP273" s="20">
        <v>852</v>
      </c>
      <c r="AQ273" s="27">
        <f t="shared" si="163"/>
        <v>532</v>
      </c>
      <c r="AR273" s="20">
        <v>320</v>
      </c>
      <c r="AS273" s="20">
        <v>0</v>
      </c>
      <c r="AT273" s="20">
        <f t="shared" si="164"/>
        <v>320</v>
      </c>
      <c r="AU273" s="29"/>
    </row>
    <row r="274" spans="1:47" s="3" customFormat="1" ht="12.75">
      <c r="A274" s="62">
        <v>2015</v>
      </c>
      <c r="B274" s="63" t="s">
        <v>42</v>
      </c>
      <c r="C274" s="35">
        <f t="shared" si="153"/>
        <v>0.63131971606547876</v>
      </c>
      <c r="D274" s="35">
        <f t="shared" si="154"/>
        <v>0.77752007136485279</v>
      </c>
      <c r="E274" s="35">
        <f t="shared" si="155"/>
        <v>0.81196581196581197</v>
      </c>
      <c r="F274" s="27">
        <f t="shared" si="156"/>
        <v>6903</v>
      </c>
      <c r="G274" s="20">
        <f t="shared" si="142"/>
        <v>1298</v>
      </c>
      <c r="H274" s="27">
        <f t="shared" si="157"/>
        <v>5605</v>
      </c>
      <c r="I274" s="27">
        <f t="shared" si="158"/>
        <v>4358</v>
      </c>
      <c r="J274" s="20">
        <f t="shared" si="143"/>
        <v>1247</v>
      </c>
      <c r="K274" s="27"/>
      <c r="L274" s="4"/>
      <c r="M274" s="62">
        <v>2015</v>
      </c>
      <c r="N274" s="63" t="s">
        <v>42</v>
      </c>
      <c r="O274" s="35">
        <f t="shared" si="144"/>
        <v>0.86454183266932272</v>
      </c>
      <c r="P274" s="35">
        <f t="shared" si="145"/>
        <v>0.8855335645786574</v>
      </c>
      <c r="Q274" s="35">
        <f t="shared" si="146"/>
        <v>0.97629482071713147</v>
      </c>
      <c r="R274" s="20">
        <v>5020</v>
      </c>
      <c r="S274" s="27">
        <f t="shared" si="159"/>
        <v>119</v>
      </c>
      <c r="T274" s="20">
        <v>4901</v>
      </c>
      <c r="U274" s="20">
        <v>4340</v>
      </c>
      <c r="V274" s="20">
        <f t="shared" si="160"/>
        <v>561</v>
      </c>
      <c r="W274" s="20"/>
      <c r="X274" s="5"/>
      <c r="Y274" s="62">
        <v>2015</v>
      </c>
      <c r="Z274" s="63" t="s">
        <v>42</v>
      </c>
      <c r="AA274" s="35">
        <f t="shared" si="147"/>
        <v>1.7839444995044598E-2</v>
      </c>
      <c r="AB274" s="35">
        <f t="shared" si="148"/>
        <v>4.3902439024390241E-2</v>
      </c>
      <c r="AC274" s="35">
        <f t="shared" si="149"/>
        <v>0.40634291377601583</v>
      </c>
      <c r="AD274" s="20">
        <v>1009</v>
      </c>
      <c r="AE274" s="27">
        <f t="shared" si="161"/>
        <v>599</v>
      </c>
      <c r="AF274" s="20">
        <v>410</v>
      </c>
      <c r="AG274" s="20">
        <v>18</v>
      </c>
      <c r="AH274" s="20">
        <f t="shared" si="162"/>
        <v>392</v>
      </c>
      <c r="AI274" s="20"/>
      <c r="AJ274" s="5"/>
      <c r="AK274" s="62">
        <v>2015</v>
      </c>
      <c r="AL274" s="63" t="s">
        <v>42</v>
      </c>
      <c r="AM274" s="35">
        <f t="shared" si="150"/>
        <v>0</v>
      </c>
      <c r="AN274" s="35">
        <f t="shared" si="151"/>
        <v>0</v>
      </c>
      <c r="AO274" s="35">
        <f t="shared" si="152"/>
        <v>0.33638443935926776</v>
      </c>
      <c r="AP274" s="20">
        <v>874</v>
      </c>
      <c r="AQ274" s="27">
        <f t="shared" si="163"/>
        <v>580</v>
      </c>
      <c r="AR274" s="20">
        <v>294</v>
      </c>
      <c r="AS274" s="20">
        <v>0</v>
      </c>
      <c r="AT274" s="20">
        <f t="shared" si="164"/>
        <v>294</v>
      </c>
      <c r="AU274" s="29"/>
    </row>
    <row r="275" spans="1:47" s="3" customFormat="1" ht="12.75">
      <c r="A275" s="64">
        <v>2015</v>
      </c>
      <c r="B275" s="65" t="s">
        <v>43</v>
      </c>
      <c r="C275" s="35">
        <f t="shared" si="153"/>
        <v>0.625</v>
      </c>
      <c r="D275" s="35">
        <f t="shared" si="154"/>
        <v>0.80506993006993011</v>
      </c>
      <c r="E275" s="35">
        <f t="shared" si="155"/>
        <v>0.77633007600434312</v>
      </c>
      <c r="F275" s="27">
        <f t="shared" si="156"/>
        <v>7368</v>
      </c>
      <c r="G275" s="20">
        <f t="shared" si="142"/>
        <v>1648</v>
      </c>
      <c r="H275" s="27">
        <f t="shared" si="157"/>
        <v>5720</v>
      </c>
      <c r="I275" s="27">
        <f t="shared" si="158"/>
        <v>4605</v>
      </c>
      <c r="J275" s="20">
        <f t="shared" si="143"/>
        <v>1115</v>
      </c>
      <c r="K275" s="27"/>
      <c r="L275" s="4"/>
      <c r="M275" s="64">
        <v>2015</v>
      </c>
      <c r="N275" s="65" t="s">
        <v>43</v>
      </c>
      <c r="O275" s="35">
        <f t="shared" si="144"/>
        <v>0.83158465991316932</v>
      </c>
      <c r="P275" s="35">
        <f t="shared" si="145"/>
        <v>0.88745173745173744</v>
      </c>
      <c r="Q275" s="35">
        <f t="shared" si="146"/>
        <v>0.93704775687409547</v>
      </c>
      <c r="R275" s="20">
        <v>5528</v>
      </c>
      <c r="S275" s="27">
        <f t="shared" si="159"/>
        <v>348</v>
      </c>
      <c r="T275" s="20">
        <v>5180</v>
      </c>
      <c r="U275" s="20">
        <v>4597</v>
      </c>
      <c r="V275" s="20">
        <f t="shared" si="160"/>
        <v>583</v>
      </c>
      <c r="W275" s="20"/>
      <c r="X275" s="5"/>
      <c r="Y275" s="64">
        <v>2015</v>
      </c>
      <c r="Z275" s="65" t="s">
        <v>43</v>
      </c>
      <c r="AA275" s="35">
        <f t="shared" si="147"/>
        <v>8.1632653061224497E-3</v>
      </c>
      <c r="AB275" s="35">
        <f t="shared" si="148"/>
        <v>3.3613445378151259E-2</v>
      </c>
      <c r="AC275" s="35">
        <f t="shared" si="149"/>
        <v>0.24285714285714285</v>
      </c>
      <c r="AD275" s="20">
        <v>980</v>
      </c>
      <c r="AE275" s="27">
        <f t="shared" si="161"/>
        <v>742</v>
      </c>
      <c r="AF275" s="20">
        <v>238</v>
      </c>
      <c r="AG275" s="20">
        <v>8</v>
      </c>
      <c r="AH275" s="20">
        <f t="shared" si="162"/>
        <v>230</v>
      </c>
      <c r="AI275" s="20"/>
      <c r="AJ275" s="5"/>
      <c r="AK275" s="64">
        <v>2015</v>
      </c>
      <c r="AL275" s="65" t="s">
        <v>43</v>
      </c>
      <c r="AM275" s="35">
        <f t="shared" si="150"/>
        <v>0</v>
      </c>
      <c r="AN275" s="35">
        <f t="shared" si="151"/>
        <v>0</v>
      </c>
      <c r="AO275" s="35">
        <f t="shared" si="152"/>
        <v>0.35116279069767442</v>
      </c>
      <c r="AP275" s="20">
        <v>860</v>
      </c>
      <c r="AQ275" s="27">
        <f t="shared" si="163"/>
        <v>558</v>
      </c>
      <c r="AR275" s="20">
        <v>302</v>
      </c>
      <c r="AS275" s="20">
        <v>0</v>
      </c>
      <c r="AT275" s="20">
        <f t="shared" si="164"/>
        <v>302</v>
      </c>
      <c r="AU275" s="29"/>
    </row>
    <row r="276" spans="1:47" s="3" customFormat="1" ht="12.75">
      <c r="A276" s="62">
        <v>2015</v>
      </c>
      <c r="B276" s="63" t="s">
        <v>44</v>
      </c>
      <c r="C276" s="35">
        <f t="shared" si="153"/>
        <v>0.59411106969809913</v>
      </c>
      <c r="D276" s="35">
        <f t="shared" si="154"/>
        <v>0.73693943596856215</v>
      </c>
      <c r="E276" s="35">
        <f t="shared" si="155"/>
        <v>0.80618710398807303</v>
      </c>
      <c r="F276" s="27">
        <f t="shared" si="156"/>
        <v>8049</v>
      </c>
      <c r="G276" s="20">
        <f t="shared" si="142"/>
        <v>1560</v>
      </c>
      <c r="H276" s="27">
        <f t="shared" si="157"/>
        <v>6489</v>
      </c>
      <c r="I276" s="27">
        <f t="shared" si="158"/>
        <v>4782</v>
      </c>
      <c r="J276" s="20">
        <f t="shared" si="143"/>
        <v>1707</v>
      </c>
      <c r="K276" s="27"/>
      <c r="L276" s="4"/>
      <c r="M276" s="62">
        <v>2015</v>
      </c>
      <c r="N276" s="63" t="s">
        <v>44</v>
      </c>
      <c r="O276" s="35">
        <f t="shared" si="144"/>
        <v>0.77741620566221936</v>
      </c>
      <c r="P276" s="35">
        <f t="shared" si="145"/>
        <v>0.82592912705272259</v>
      </c>
      <c r="Q276" s="35">
        <f t="shared" si="146"/>
        <v>0.94126260982753007</v>
      </c>
      <c r="R276" s="20">
        <v>6146</v>
      </c>
      <c r="S276" s="27">
        <f t="shared" si="159"/>
        <v>361</v>
      </c>
      <c r="T276" s="20">
        <v>5785</v>
      </c>
      <c r="U276" s="20">
        <v>4778</v>
      </c>
      <c r="V276" s="20">
        <f t="shared" si="160"/>
        <v>1007</v>
      </c>
      <c r="W276" s="20"/>
      <c r="X276" s="5"/>
      <c r="Y276" s="62">
        <v>2015</v>
      </c>
      <c r="Z276" s="63" t="s">
        <v>44</v>
      </c>
      <c r="AA276" s="35">
        <f t="shared" si="147"/>
        <v>3.9486673247778872E-3</v>
      </c>
      <c r="AB276" s="35">
        <f t="shared" si="148"/>
        <v>1.1527377521613832E-2</v>
      </c>
      <c r="AC276" s="35">
        <f t="shared" si="149"/>
        <v>0.34254689042448172</v>
      </c>
      <c r="AD276" s="20">
        <v>1013</v>
      </c>
      <c r="AE276" s="27">
        <f t="shared" si="161"/>
        <v>666</v>
      </c>
      <c r="AF276" s="20">
        <v>347</v>
      </c>
      <c r="AG276" s="20">
        <v>4</v>
      </c>
      <c r="AH276" s="20">
        <f t="shared" si="162"/>
        <v>343</v>
      </c>
      <c r="AI276" s="20"/>
      <c r="AJ276" s="5"/>
      <c r="AK276" s="62">
        <v>2015</v>
      </c>
      <c r="AL276" s="63" t="s">
        <v>44</v>
      </c>
      <c r="AM276" s="35">
        <f t="shared" si="150"/>
        <v>0</v>
      </c>
      <c r="AN276" s="35">
        <f t="shared" si="151"/>
        <v>0</v>
      </c>
      <c r="AO276" s="35">
        <f t="shared" si="152"/>
        <v>0.40112359550561799</v>
      </c>
      <c r="AP276" s="20">
        <v>890</v>
      </c>
      <c r="AQ276" s="27">
        <f t="shared" si="163"/>
        <v>533</v>
      </c>
      <c r="AR276" s="20">
        <v>357</v>
      </c>
      <c r="AS276" s="20">
        <v>0</v>
      </c>
      <c r="AT276" s="20">
        <f t="shared" si="164"/>
        <v>357</v>
      </c>
      <c r="AU276" s="29"/>
    </row>
    <row r="277" spans="1:47" s="3" customFormat="1" ht="12.75">
      <c r="A277" s="64">
        <v>2015</v>
      </c>
      <c r="B277" s="65" t="s">
        <v>45</v>
      </c>
      <c r="C277" s="35">
        <f t="shared" si="153"/>
        <v>0.58490802152421473</v>
      </c>
      <c r="D277" s="35">
        <f t="shared" si="154"/>
        <v>0.74855861627162079</v>
      </c>
      <c r="E277" s="35">
        <f t="shared" si="155"/>
        <v>0.78137905143286202</v>
      </c>
      <c r="F277" s="27">
        <f t="shared" si="156"/>
        <v>7991</v>
      </c>
      <c r="G277" s="20">
        <f t="shared" si="142"/>
        <v>1747</v>
      </c>
      <c r="H277" s="27">
        <f t="shared" si="157"/>
        <v>6244</v>
      </c>
      <c r="I277" s="27">
        <f t="shared" si="158"/>
        <v>4674</v>
      </c>
      <c r="J277" s="20">
        <f t="shared" si="143"/>
        <v>1570</v>
      </c>
      <c r="K277" s="27"/>
      <c r="L277" s="4"/>
      <c r="M277" s="64">
        <v>2015</v>
      </c>
      <c r="N277" s="65" t="s">
        <v>45</v>
      </c>
      <c r="O277" s="35">
        <f t="shared" si="144"/>
        <v>0.76402099048868477</v>
      </c>
      <c r="P277" s="35">
        <f t="shared" si="145"/>
        <v>0.83554519368723101</v>
      </c>
      <c r="Q277" s="35">
        <f t="shared" si="146"/>
        <v>0.91439816333224011</v>
      </c>
      <c r="R277" s="20">
        <v>6098</v>
      </c>
      <c r="S277" s="27">
        <f t="shared" si="159"/>
        <v>522</v>
      </c>
      <c r="T277" s="20">
        <v>5576</v>
      </c>
      <c r="U277" s="20">
        <v>4659</v>
      </c>
      <c r="V277" s="20">
        <f t="shared" si="160"/>
        <v>917</v>
      </c>
      <c r="W277" s="20"/>
      <c r="X277" s="5"/>
      <c r="Y277" s="64">
        <v>2015</v>
      </c>
      <c r="Z277" s="65" t="s">
        <v>45</v>
      </c>
      <c r="AA277" s="35">
        <f t="shared" si="147"/>
        <v>1.483679525222552E-2</v>
      </c>
      <c r="AB277" s="35">
        <f t="shared" si="148"/>
        <v>4.0322580645161289E-2</v>
      </c>
      <c r="AC277" s="35">
        <f t="shared" si="149"/>
        <v>0.36795252225519287</v>
      </c>
      <c r="AD277" s="20">
        <v>1011</v>
      </c>
      <c r="AE277" s="27">
        <f t="shared" si="161"/>
        <v>639</v>
      </c>
      <c r="AF277" s="20">
        <v>372</v>
      </c>
      <c r="AG277" s="20">
        <v>15</v>
      </c>
      <c r="AH277" s="20">
        <f t="shared" si="162"/>
        <v>357</v>
      </c>
      <c r="AI277" s="20"/>
      <c r="AJ277" s="5"/>
      <c r="AK277" s="64">
        <v>2015</v>
      </c>
      <c r="AL277" s="65" t="s">
        <v>45</v>
      </c>
      <c r="AM277" s="35">
        <f t="shared" si="150"/>
        <v>0</v>
      </c>
      <c r="AN277" s="35">
        <f t="shared" si="151"/>
        <v>0</v>
      </c>
      <c r="AO277" s="35">
        <f t="shared" si="152"/>
        <v>0.33560090702947848</v>
      </c>
      <c r="AP277" s="20">
        <v>882</v>
      </c>
      <c r="AQ277" s="27">
        <f t="shared" si="163"/>
        <v>586</v>
      </c>
      <c r="AR277" s="20">
        <v>296</v>
      </c>
      <c r="AS277" s="20">
        <v>0</v>
      </c>
      <c r="AT277" s="20">
        <f t="shared" si="164"/>
        <v>296</v>
      </c>
      <c r="AU277" s="29"/>
    </row>
    <row r="278" spans="1:47" s="3" customFormat="1" ht="12.75">
      <c r="A278" s="62">
        <v>2015</v>
      </c>
      <c r="B278" s="63" t="s">
        <v>46</v>
      </c>
      <c r="C278" s="35">
        <f t="shared" si="153"/>
        <v>0.5407858741606566</v>
      </c>
      <c r="D278" s="35">
        <f t="shared" si="154"/>
        <v>0.66023986640352206</v>
      </c>
      <c r="E278" s="35">
        <f t="shared" si="155"/>
        <v>0.81907485700074611</v>
      </c>
      <c r="F278" s="27">
        <f t="shared" si="156"/>
        <v>8042</v>
      </c>
      <c r="G278" s="20">
        <f t="shared" si="142"/>
        <v>1455</v>
      </c>
      <c r="H278" s="27">
        <f t="shared" si="157"/>
        <v>6587</v>
      </c>
      <c r="I278" s="27">
        <f t="shared" si="158"/>
        <v>4349</v>
      </c>
      <c r="J278" s="20">
        <f t="shared" si="143"/>
        <v>2238</v>
      </c>
      <c r="K278" s="27"/>
      <c r="L278" s="4"/>
      <c r="M278" s="62">
        <v>2015</v>
      </c>
      <c r="N278" s="63" t="s">
        <v>46</v>
      </c>
      <c r="O278" s="35">
        <f t="shared" si="144"/>
        <v>0.66698966408268734</v>
      </c>
      <c r="P278" s="35">
        <f t="shared" si="145"/>
        <v>0.73987817986384807</v>
      </c>
      <c r="Q278" s="35">
        <f t="shared" si="146"/>
        <v>0.90148578811369506</v>
      </c>
      <c r="R278" s="20">
        <v>6192</v>
      </c>
      <c r="S278" s="27">
        <f>R278-T278</f>
        <v>610</v>
      </c>
      <c r="T278" s="20">
        <v>5582</v>
      </c>
      <c r="U278" s="20">
        <v>4130</v>
      </c>
      <c r="V278" s="20">
        <f t="shared" si="160"/>
        <v>1452</v>
      </c>
      <c r="W278" s="20"/>
      <c r="X278" s="5"/>
      <c r="Y278" s="62">
        <v>2015</v>
      </c>
      <c r="Z278" s="63" t="s">
        <v>46</v>
      </c>
      <c r="AA278" s="35">
        <f t="shared" si="147"/>
        <v>3.8696537678207736E-2</v>
      </c>
      <c r="AB278" s="35">
        <f t="shared" si="148"/>
        <v>9.1127098321342928E-2</v>
      </c>
      <c r="AC278" s="35">
        <f t="shared" si="149"/>
        <v>0.42464358452138495</v>
      </c>
      <c r="AD278" s="20">
        <v>982</v>
      </c>
      <c r="AE278" s="27">
        <f>AD278-AF278</f>
        <v>565</v>
      </c>
      <c r="AF278" s="20">
        <v>417</v>
      </c>
      <c r="AG278" s="20">
        <v>38</v>
      </c>
      <c r="AH278" s="20">
        <f t="shared" si="162"/>
        <v>379</v>
      </c>
      <c r="AI278" s="20"/>
      <c r="AJ278" s="5"/>
      <c r="AK278" s="62">
        <v>2015</v>
      </c>
      <c r="AL278" s="63" t="s">
        <v>46</v>
      </c>
      <c r="AM278" s="35">
        <f t="shared" si="150"/>
        <v>0.20852534562211983</v>
      </c>
      <c r="AN278" s="35">
        <f t="shared" si="151"/>
        <v>0.30782312925170069</v>
      </c>
      <c r="AO278" s="35">
        <f t="shared" si="152"/>
        <v>0.67741935483870963</v>
      </c>
      <c r="AP278" s="20">
        <v>868</v>
      </c>
      <c r="AQ278" s="27">
        <f>AP278-AR278</f>
        <v>280</v>
      </c>
      <c r="AR278" s="20">
        <v>588</v>
      </c>
      <c r="AS278" s="20">
        <v>181</v>
      </c>
      <c r="AT278" s="20">
        <f t="shared" si="164"/>
        <v>407</v>
      </c>
      <c r="AU278" s="29"/>
    </row>
    <row r="279" spans="1:47" s="3" customFormat="1" ht="12.75">
      <c r="A279" s="64">
        <v>2015</v>
      </c>
      <c r="B279" s="65" t="s">
        <v>47</v>
      </c>
      <c r="C279" s="35">
        <f t="shared" si="153"/>
        <v>0.56850433253798816</v>
      </c>
      <c r="D279" s="35">
        <f t="shared" si="154"/>
        <v>0.7014254725751472</v>
      </c>
      <c r="E279" s="35">
        <f t="shared" si="155"/>
        <v>0.81049855582067065</v>
      </c>
      <c r="F279" s="27">
        <f t="shared" si="156"/>
        <v>7963</v>
      </c>
      <c r="G279" s="20">
        <f t="shared" si="142"/>
        <v>1509</v>
      </c>
      <c r="H279" s="27">
        <f t="shared" si="157"/>
        <v>6454</v>
      </c>
      <c r="I279" s="27">
        <f t="shared" si="158"/>
        <v>4527</v>
      </c>
      <c r="J279" s="20">
        <f t="shared" si="143"/>
        <v>1927</v>
      </c>
      <c r="K279" s="27"/>
      <c r="L279" s="4"/>
      <c r="M279" s="64">
        <v>2015</v>
      </c>
      <c r="N279" s="65" t="s">
        <v>47</v>
      </c>
      <c r="O279" s="35">
        <f t="shared" si="144"/>
        <v>0.69306930693069302</v>
      </c>
      <c r="P279" s="35">
        <f t="shared" si="145"/>
        <v>0.79066265060240959</v>
      </c>
      <c r="Q279" s="35">
        <f t="shared" si="146"/>
        <v>0.87656765676567661</v>
      </c>
      <c r="R279" s="20">
        <v>6060</v>
      </c>
      <c r="S279" s="27">
        <f>R279-T279</f>
        <v>748</v>
      </c>
      <c r="T279" s="20">
        <v>5312</v>
      </c>
      <c r="U279" s="20">
        <v>4200</v>
      </c>
      <c r="V279" s="20">
        <f t="shared" si="160"/>
        <v>1112</v>
      </c>
      <c r="W279" s="20"/>
      <c r="X279" s="5"/>
      <c r="Y279" s="64">
        <v>2015</v>
      </c>
      <c r="Z279" s="65" t="s">
        <v>47</v>
      </c>
      <c r="AA279" s="35">
        <f t="shared" si="147"/>
        <v>0.10266535044422508</v>
      </c>
      <c r="AB279" s="35">
        <f t="shared" si="148"/>
        <v>0.22174840085287847</v>
      </c>
      <c r="AC279" s="35">
        <f t="shared" si="149"/>
        <v>0.46298124383020728</v>
      </c>
      <c r="AD279" s="20">
        <v>1013</v>
      </c>
      <c r="AE279" s="27">
        <f>AD279-AF279</f>
        <v>544</v>
      </c>
      <c r="AF279" s="20">
        <v>469</v>
      </c>
      <c r="AG279" s="20">
        <v>104</v>
      </c>
      <c r="AH279" s="20">
        <f t="shared" si="162"/>
        <v>365</v>
      </c>
      <c r="AI279" s="20"/>
      <c r="AJ279" s="5"/>
      <c r="AK279" s="64">
        <v>2015</v>
      </c>
      <c r="AL279" s="65" t="s">
        <v>47</v>
      </c>
      <c r="AM279" s="35">
        <f t="shared" si="150"/>
        <v>0.25056179775280901</v>
      </c>
      <c r="AN279" s="35">
        <f t="shared" si="151"/>
        <v>0.3313521545319465</v>
      </c>
      <c r="AO279" s="35">
        <f t="shared" si="152"/>
        <v>0.75617977528089886</v>
      </c>
      <c r="AP279" s="20">
        <v>890</v>
      </c>
      <c r="AQ279" s="27">
        <f>AP279-AR279</f>
        <v>217</v>
      </c>
      <c r="AR279" s="20">
        <v>673</v>
      </c>
      <c r="AS279" s="20">
        <v>223</v>
      </c>
      <c r="AT279" s="20">
        <f t="shared" si="164"/>
        <v>450</v>
      </c>
      <c r="AU279" s="29"/>
    </row>
    <row r="280" spans="1:47" s="3" customFormat="1" ht="12.75">
      <c r="A280" s="62">
        <v>2015</v>
      </c>
      <c r="B280" s="63" t="s">
        <v>48</v>
      </c>
      <c r="C280" s="35">
        <f t="shared" si="153"/>
        <v>0.58037825059101655</v>
      </c>
      <c r="D280" s="35">
        <f t="shared" si="154"/>
        <v>0.71504854368932036</v>
      </c>
      <c r="E280" s="35">
        <f t="shared" si="155"/>
        <v>0.81166272655634353</v>
      </c>
      <c r="F280" s="27">
        <f t="shared" si="156"/>
        <v>7614</v>
      </c>
      <c r="G280" s="20">
        <f t="shared" si="142"/>
        <v>1434</v>
      </c>
      <c r="H280" s="27">
        <f t="shared" si="157"/>
        <v>6180</v>
      </c>
      <c r="I280" s="27">
        <f t="shared" si="158"/>
        <v>4419</v>
      </c>
      <c r="J280" s="20">
        <f t="shared" si="143"/>
        <v>1761</v>
      </c>
      <c r="K280" s="27"/>
      <c r="L280" s="4"/>
      <c r="M280" s="62">
        <v>2015</v>
      </c>
      <c r="N280" s="63" t="s">
        <v>48</v>
      </c>
      <c r="O280" s="35">
        <f t="shared" si="144"/>
        <v>0.71317427385892118</v>
      </c>
      <c r="P280" s="35">
        <f t="shared" si="145"/>
        <v>0.81312832643406263</v>
      </c>
      <c r="Q280" s="35">
        <f t="shared" si="146"/>
        <v>0.87707468879668049</v>
      </c>
      <c r="R280" s="20">
        <v>5784</v>
      </c>
      <c r="S280" s="27">
        <f>R280-T280</f>
        <v>711</v>
      </c>
      <c r="T280" s="20">
        <v>5073</v>
      </c>
      <c r="U280" s="20">
        <v>4125</v>
      </c>
      <c r="V280" s="20">
        <f t="shared" si="160"/>
        <v>948</v>
      </c>
      <c r="W280" s="20"/>
      <c r="X280" s="5"/>
      <c r="Y280" s="62">
        <v>2015</v>
      </c>
      <c r="Z280" s="63" t="s">
        <v>48</v>
      </c>
      <c r="AA280" s="35">
        <f t="shared" si="147"/>
        <v>7.9754601226993863E-2</v>
      </c>
      <c r="AB280" s="35">
        <f t="shared" si="148"/>
        <v>0.17449664429530201</v>
      </c>
      <c r="AC280" s="35">
        <f t="shared" si="149"/>
        <v>0.45705521472392641</v>
      </c>
      <c r="AD280" s="20">
        <v>978</v>
      </c>
      <c r="AE280" s="27">
        <f>AD280-AF280</f>
        <v>531</v>
      </c>
      <c r="AF280" s="20">
        <v>447</v>
      </c>
      <c r="AG280" s="20">
        <v>78</v>
      </c>
      <c r="AH280" s="20">
        <f t="shared" si="162"/>
        <v>369</v>
      </c>
      <c r="AI280" s="20"/>
      <c r="AJ280" s="5"/>
      <c r="AK280" s="62">
        <v>2015</v>
      </c>
      <c r="AL280" s="63" t="s">
        <v>48</v>
      </c>
      <c r="AM280" s="35">
        <f t="shared" si="150"/>
        <v>0.25352112676056338</v>
      </c>
      <c r="AN280" s="35">
        <f t="shared" si="151"/>
        <v>0.32727272727272727</v>
      </c>
      <c r="AO280" s="35">
        <f t="shared" si="152"/>
        <v>0.77464788732394363</v>
      </c>
      <c r="AP280" s="20">
        <v>852</v>
      </c>
      <c r="AQ280" s="27">
        <f>AP280-AR280</f>
        <v>192</v>
      </c>
      <c r="AR280" s="20">
        <v>660</v>
      </c>
      <c r="AS280" s="20">
        <v>216</v>
      </c>
      <c r="AT280" s="20">
        <f t="shared" si="164"/>
        <v>444</v>
      </c>
      <c r="AU280" s="29"/>
    </row>
    <row r="281" spans="1:47" s="3" customFormat="1" ht="12.75">
      <c r="A281" s="64">
        <v>2015</v>
      </c>
      <c r="B281" s="65" t="s">
        <v>49</v>
      </c>
      <c r="C281" s="35">
        <f t="shared" si="153"/>
        <v>0.61251442492627262</v>
      </c>
      <c r="D281" s="35">
        <f t="shared" si="154"/>
        <v>0.74524180967238685</v>
      </c>
      <c r="E281" s="35">
        <f t="shared" si="155"/>
        <v>0.82190024362097702</v>
      </c>
      <c r="F281" s="27">
        <f t="shared" si="156"/>
        <v>7799</v>
      </c>
      <c r="G281" s="20">
        <f t="shared" si="142"/>
        <v>1389</v>
      </c>
      <c r="H281" s="27">
        <f t="shared" si="157"/>
        <v>6410</v>
      </c>
      <c r="I281" s="27">
        <f t="shared" si="158"/>
        <v>4777</v>
      </c>
      <c r="J281" s="20">
        <f t="shared" si="143"/>
        <v>1633</v>
      </c>
      <c r="K281" s="27"/>
      <c r="L281" s="10"/>
      <c r="M281" s="64">
        <v>2015</v>
      </c>
      <c r="N281" s="65" t="s">
        <v>49</v>
      </c>
      <c r="O281" s="35">
        <f t="shared" si="144"/>
        <v>0.71991210277214335</v>
      </c>
      <c r="P281" s="35">
        <f t="shared" si="145"/>
        <v>0.82379110251450682</v>
      </c>
      <c r="Q281" s="35">
        <f t="shared" si="146"/>
        <v>0.87390128465179173</v>
      </c>
      <c r="R281" s="20">
        <v>5916</v>
      </c>
      <c r="S281" s="27">
        <f>R281-T281</f>
        <v>746</v>
      </c>
      <c r="T281" s="20">
        <v>5170</v>
      </c>
      <c r="U281" s="20">
        <v>4259</v>
      </c>
      <c r="V281" s="20">
        <f t="shared" si="160"/>
        <v>911</v>
      </c>
      <c r="W281" s="20"/>
      <c r="X281" s="5"/>
      <c r="Y281" s="64">
        <v>2015</v>
      </c>
      <c r="Z281" s="65" t="s">
        <v>49</v>
      </c>
      <c r="AA281" s="35">
        <f t="shared" si="147"/>
        <v>0.15857284440039643</v>
      </c>
      <c r="AB281" s="35">
        <f t="shared" si="148"/>
        <v>0.30769230769230771</v>
      </c>
      <c r="AC281" s="35">
        <f t="shared" si="149"/>
        <v>0.51536174430128845</v>
      </c>
      <c r="AD281" s="20">
        <v>1009</v>
      </c>
      <c r="AE281" s="27">
        <f>AD281-AF281</f>
        <v>489</v>
      </c>
      <c r="AF281" s="20">
        <v>520</v>
      </c>
      <c r="AG281" s="20">
        <v>160</v>
      </c>
      <c r="AH281" s="20">
        <f t="shared" si="162"/>
        <v>360</v>
      </c>
      <c r="AI281" s="20"/>
      <c r="AJ281" s="5"/>
      <c r="AK281" s="64">
        <v>2015</v>
      </c>
      <c r="AL281" s="65" t="s">
        <v>49</v>
      </c>
      <c r="AM281" s="35">
        <f t="shared" si="150"/>
        <v>0.40961098398169338</v>
      </c>
      <c r="AN281" s="35">
        <f t="shared" si="151"/>
        <v>0.49722222222222223</v>
      </c>
      <c r="AO281" s="35">
        <f t="shared" si="152"/>
        <v>0.82379862700228834</v>
      </c>
      <c r="AP281" s="20">
        <v>874</v>
      </c>
      <c r="AQ281" s="27">
        <f>AP281-AR281</f>
        <v>154</v>
      </c>
      <c r="AR281" s="20">
        <v>720</v>
      </c>
      <c r="AS281" s="20">
        <v>358</v>
      </c>
      <c r="AT281" s="20">
        <f t="shared" si="164"/>
        <v>362</v>
      </c>
      <c r="AU281" s="29"/>
    </row>
    <row r="282" spans="1:47" s="3" customFormat="1" ht="12.75">
      <c r="A282" s="62">
        <v>2016</v>
      </c>
      <c r="B282" s="63" t="s">
        <v>38</v>
      </c>
      <c r="C282" s="35">
        <f t="shared" si="153"/>
        <v>0.66412698412698412</v>
      </c>
      <c r="D282" s="35">
        <f t="shared" si="154"/>
        <v>0.81642210427724005</v>
      </c>
      <c r="E282" s="35">
        <f t="shared" si="155"/>
        <v>0.81346031746031744</v>
      </c>
      <c r="F282" s="27">
        <f t="shared" si="156"/>
        <v>7875</v>
      </c>
      <c r="G282" s="20">
        <f t="shared" si="142"/>
        <v>1469</v>
      </c>
      <c r="H282" s="27">
        <f t="shared" si="157"/>
        <v>6406</v>
      </c>
      <c r="I282" s="27">
        <f t="shared" si="158"/>
        <v>5230</v>
      </c>
      <c r="J282" s="20">
        <f t="shared" si="143"/>
        <v>1176</v>
      </c>
      <c r="K282" s="27"/>
      <c r="L282" s="4"/>
      <c r="M282" s="62">
        <v>2016</v>
      </c>
      <c r="N282" s="63" t="s">
        <v>38</v>
      </c>
      <c r="O282" s="35">
        <f t="shared" si="144"/>
        <v>0.78151120026746912</v>
      </c>
      <c r="P282" s="35">
        <f t="shared" si="145"/>
        <v>0.89422341239479719</v>
      </c>
      <c r="Q282" s="35">
        <f t="shared" si="146"/>
        <v>0.87395519893012374</v>
      </c>
      <c r="R282" s="20">
        <v>5982</v>
      </c>
      <c r="S282" s="27">
        <f t="shared" ref="S282:S293" si="165">R282-T282</f>
        <v>754</v>
      </c>
      <c r="T282" s="20">
        <v>5228</v>
      </c>
      <c r="U282" s="20">
        <v>4675</v>
      </c>
      <c r="V282" s="20">
        <f t="shared" ref="V282:V293" si="166">T282-U282</f>
        <v>553</v>
      </c>
      <c r="W282" s="20"/>
      <c r="X282" s="5"/>
      <c r="Y282" s="62">
        <v>2016</v>
      </c>
      <c r="Z282" s="63" t="s">
        <v>38</v>
      </c>
      <c r="AA282" s="35">
        <f t="shared" si="147"/>
        <v>0.15727002967359049</v>
      </c>
      <c r="AB282" s="35">
        <f t="shared" si="148"/>
        <v>0.31115459882583169</v>
      </c>
      <c r="AC282" s="35">
        <f t="shared" si="149"/>
        <v>0.50544015825914934</v>
      </c>
      <c r="AD282" s="20">
        <v>1011</v>
      </c>
      <c r="AE282" s="27">
        <f t="shared" ref="AE282:AE292" si="167">AD282-AF282</f>
        <v>500</v>
      </c>
      <c r="AF282" s="20">
        <v>511</v>
      </c>
      <c r="AG282" s="20">
        <v>159</v>
      </c>
      <c r="AH282" s="20">
        <f t="shared" ref="AH282:AH293" si="168">AF282-AG282</f>
        <v>352</v>
      </c>
      <c r="AI282" s="20"/>
      <c r="AJ282" s="5"/>
      <c r="AK282" s="62">
        <v>2016</v>
      </c>
      <c r="AL282" s="63" t="s">
        <v>38</v>
      </c>
      <c r="AM282" s="35">
        <f t="shared" si="150"/>
        <v>0.44897959183673469</v>
      </c>
      <c r="AN282" s="35">
        <f t="shared" si="151"/>
        <v>0.59370314842578709</v>
      </c>
      <c r="AO282" s="35">
        <f t="shared" si="152"/>
        <v>0.75623582766439912</v>
      </c>
      <c r="AP282" s="20">
        <v>882</v>
      </c>
      <c r="AQ282" s="27">
        <f t="shared" ref="AQ282:AQ292" si="169">AP282-AR282</f>
        <v>215</v>
      </c>
      <c r="AR282" s="20">
        <v>667</v>
      </c>
      <c r="AS282" s="20">
        <v>396</v>
      </c>
      <c r="AT282" s="20">
        <f t="shared" ref="AT282:AT293" si="170">AR282-AS282</f>
        <v>271</v>
      </c>
      <c r="AU282" s="29"/>
    </row>
    <row r="283" spans="1:47" s="3" customFormat="1" ht="12.75">
      <c r="A283" s="64">
        <v>2016</v>
      </c>
      <c r="B283" s="65" t="s">
        <v>39</v>
      </c>
      <c r="C283" s="35">
        <f t="shared" si="153"/>
        <v>0.67334150660672931</v>
      </c>
      <c r="D283" s="35">
        <f t="shared" si="154"/>
        <v>0.82109634551495014</v>
      </c>
      <c r="E283" s="35">
        <f t="shared" si="155"/>
        <v>0.82005176406484126</v>
      </c>
      <c r="F283" s="27">
        <f t="shared" si="156"/>
        <v>7341</v>
      </c>
      <c r="G283" s="20">
        <f t="shared" si="142"/>
        <v>1321</v>
      </c>
      <c r="H283" s="27">
        <f t="shared" si="157"/>
        <v>6020</v>
      </c>
      <c r="I283" s="27">
        <f t="shared" si="158"/>
        <v>4943</v>
      </c>
      <c r="J283" s="20">
        <f t="shared" si="143"/>
        <v>1077</v>
      </c>
      <c r="K283" s="27"/>
      <c r="L283" s="4"/>
      <c r="M283" s="64">
        <v>2016</v>
      </c>
      <c r="N283" s="65" t="s">
        <v>39</v>
      </c>
      <c r="O283" s="35">
        <f t="shared" si="144"/>
        <v>0.78704700394689631</v>
      </c>
      <c r="P283" s="35">
        <f t="shared" si="145"/>
        <v>0.88501109542061729</v>
      </c>
      <c r="Q283" s="35">
        <f t="shared" si="146"/>
        <v>0.88930749910297813</v>
      </c>
      <c r="R283" s="20">
        <v>5574</v>
      </c>
      <c r="S283" s="27">
        <f t="shared" si="165"/>
        <v>617</v>
      </c>
      <c r="T283" s="20">
        <v>4957</v>
      </c>
      <c r="U283" s="20">
        <v>4387</v>
      </c>
      <c r="V283" s="20">
        <f t="shared" si="166"/>
        <v>570</v>
      </c>
      <c r="W283" s="20"/>
      <c r="X283" s="5"/>
      <c r="Y283" s="64">
        <v>2016</v>
      </c>
      <c r="Z283" s="65" t="s">
        <v>39</v>
      </c>
      <c r="AA283" s="35">
        <f t="shared" si="147"/>
        <v>0.18518518518518517</v>
      </c>
      <c r="AB283" s="35">
        <f t="shared" si="148"/>
        <v>0.34722222222222221</v>
      </c>
      <c r="AC283" s="35">
        <f t="shared" si="149"/>
        <v>0.53333333333333333</v>
      </c>
      <c r="AD283" s="20">
        <v>945</v>
      </c>
      <c r="AE283" s="27">
        <f t="shared" si="167"/>
        <v>441</v>
      </c>
      <c r="AF283" s="20">
        <v>504</v>
      </c>
      <c r="AG283" s="20">
        <v>175</v>
      </c>
      <c r="AH283" s="20">
        <f t="shared" si="168"/>
        <v>329</v>
      </c>
      <c r="AI283" s="20"/>
      <c r="AJ283" s="5"/>
      <c r="AK283" s="64">
        <v>2016</v>
      </c>
      <c r="AL283" s="65" t="s">
        <v>39</v>
      </c>
      <c r="AM283" s="35">
        <f t="shared" si="150"/>
        <v>0.46350364963503649</v>
      </c>
      <c r="AN283" s="35">
        <f t="shared" si="151"/>
        <v>0.68157423971377462</v>
      </c>
      <c r="AO283" s="35">
        <f t="shared" si="152"/>
        <v>0.68004866180048662</v>
      </c>
      <c r="AP283" s="20">
        <v>822</v>
      </c>
      <c r="AQ283" s="27">
        <f t="shared" si="169"/>
        <v>263</v>
      </c>
      <c r="AR283" s="20">
        <v>559</v>
      </c>
      <c r="AS283" s="20">
        <v>381</v>
      </c>
      <c r="AT283" s="20">
        <f t="shared" si="170"/>
        <v>178</v>
      </c>
      <c r="AU283" s="29"/>
    </row>
    <row r="284" spans="1:47" s="3" customFormat="1" ht="12.75">
      <c r="A284" s="62">
        <v>2016</v>
      </c>
      <c r="B284" s="63" t="s">
        <v>40</v>
      </c>
      <c r="C284" s="35">
        <f t="shared" si="153"/>
        <v>0.70216812476226698</v>
      </c>
      <c r="D284" s="35">
        <f t="shared" si="154"/>
        <v>0.83203125</v>
      </c>
      <c r="E284" s="35">
        <f t="shared" si="155"/>
        <v>0.8439203753011284</v>
      </c>
      <c r="F284" s="27">
        <f t="shared" si="156"/>
        <v>7887</v>
      </c>
      <c r="G284" s="20">
        <f t="shared" si="142"/>
        <v>1231</v>
      </c>
      <c r="H284" s="27">
        <f t="shared" si="157"/>
        <v>6656</v>
      </c>
      <c r="I284" s="27">
        <f t="shared" si="158"/>
        <v>5538</v>
      </c>
      <c r="J284" s="20">
        <f t="shared" si="143"/>
        <v>1118</v>
      </c>
      <c r="K284" s="27"/>
      <c r="L284" s="4"/>
      <c r="M284" s="62">
        <v>2016</v>
      </c>
      <c r="N284" s="63" t="s">
        <v>40</v>
      </c>
      <c r="O284" s="35">
        <f t="shared" si="144"/>
        <v>0.80130130130130128</v>
      </c>
      <c r="P284" s="35">
        <f t="shared" si="145"/>
        <v>0.90759637188208619</v>
      </c>
      <c r="Q284" s="35">
        <f t="shared" si="146"/>
        <v>0.88288288288288286</v>
      </c>
      <c r="R284" s="20">
        <v>5994</v>
      </c>
      <c r="S284" s="27">
        <f t="shared" si="165"/>
        <v>702</v>
      </c>
      <c r="T284" s="20">
        <v>5292</v>
      </c>
      <c r="U284" s="20">
        <v>4803</v>
      </c>
      <c r="V284" s="20">
        <f t="shared" si="166"/>
        <v>489</v>
      </c>
      <c r="W284" s="20"/>
      <c r="X284" s="5"/>
      <c r="Y284" s="62">
        <v>2016</v>
      </c>
      <c r="Z284" s="63" t="s">
        <v>40</v>
      </c>
      <c r="AA284" s="35">
        <f t="shared" si="147"/>
        <v>0.22354104846686448</v>
      </c>
      <c r="AB284" s="35">
        <f t="shared" si="148"/>
        <v>0.36628849270664504</v>
      </c>
      <c r="AC284" s="35">
        <f t="shared" si="149"/>
        <v>0.61028684470820971</v>
      </c>
      <c r="AD284" s="20">
        <v>1011</v>
      </c>
      <c r="AE284" s="27">
        <f t="shared" si="167"/>
        <v>394</v>
      </c>
      <c r="AF284" s="20">
        <v>617</v>
      </c>
      <c r="AG284" s="20">
        <v>226</v>
      </c>
      <c r="AH284" s="20">
        <f t="shared" si="168"/>
        <v>391</v>
      </c>
      <c r="AI284" s="20"/>
      <c r="AJ284" s="5"/>
      <c r="AK284" s="62">
        <v>2016</v>
      </c>
      <c r="AL284" s="63" t="s">
        <v>40</v>
      </c>
      <c r="AM284" s="35">
        <f t="shared" si="150"/>
        <v>0.57709750566893425</v>
      </c>
      <c r="AN284" s="35">
        <f t="shared" si="151"/>
        <v>0.68139223560910311</v>
      </c>
      <c r="AO284" s="35">
        <f t="shared" si="152"/>
        <v>0.84693877551020413</v>
      </c>
      <c r="AP284" s="20">
        <v>882</v>
      </c>
      <c r="AQ284" s="27">
        <f t="shared" si="169"/>
        <v>135</v>
      </c>
      <c r="AR284" s="20">
        <v>747</v>
      </c>
      <c r="AS284" s="20">
        <v>509</v>
      </c>
      <c r="AT284" s="20">
        <f t="shared" si="170"/>
        <v>238</v>
      </c>
      <c r="AU284" s="29"/>
    </row>
    <row r="285" spans="1:47" s="3" customFormat="1" ht="12.75">
      <c r="A285" s="64">
        <v>2016</v>
      </c>
      <c r="B285" s="65" t="s">
        <v>41</v>
      </c>
      <c r="C285" s="35">
        <f t="shared" si="153"/>
        <v>0.71228252401973513</v>
      </c>
      <c r="D285" s="35">
        <f t="shared" si="154"/>
        <v>0.81819537658463837</v>
      </c>
      <c r="E285" s="35">
        <f t="shared" si="155"/>
        <v>0.87055310309010647</v>
      </c>
      <c r="F285" s="27">
        <f t="shared" si="156"/>
        <v>7702</v>
      </c>
      <c r="G285" s="20">
        <f t="shared" si="142"/>
        <v>997</v>
      </c>
      <c r="H285" s="27">
        <f t="shared" si="157"/>
        <v>6705</v>
      </c>
      <c r="I285" s="27">
        <f t="shared" si="158"/>
        <v>5486</v>
      </c>
      <c r="J285" s="20">
        <f t="shared" si="143"/>
        <v>1219</v>
      </c>
      <c r="K285" s="27"/>
      <c r="L285" s="4"/>
      <c r="M285" s="64">
        <v>2016</v>
      </c>
      <c r="N285" s="65" t="s">
        <v>41</v>
      </c>
      <c r="O285" s="35">
        <f t="shared" si="144"/>
        <v>0.7804503582395087</v>
      </c>
      <c r="P285" s="35">
        <f t="shared" si="145"/>
        <v>0.89635579937304077</v>
      </c>
      <c r="Q285" s="35">
        <f t="shared" si="146"/>
        <v>0.87069259638348684</v>
      </c>
      <c r="R285" s="20">
        <v>5862</v>
      </c>
      <c r="S285" s="27">
        <f t="shared" si="165"/>
        <v>758</v>
      </c>
      <c r="T285" s="20">
        <v>5104</v>
      </c>
      <c r="U285" s="20">
        <v>4575</v>
      </c>
      <c r="V285" s="20">
        <f t="shared" si="166"/>
        <v>529</v>
      </c>
      <c r="W285" s="20"/>
      <c r="X285" s="5"/>
      <c r="Y285" s="64">
        <v>2016</v>
      </c>
      <c r="Z285" s="65" t="s">
        <v>41</v>
      </c>
      <c r="AA285" s="35">
        <f t="shared" si="147"/>
        <v>0.41122448979591836</v>
      </c>
      <c r="AB285" s="35">
        <f t="shared" si="148"/>
        <v>0.5050125313283208</v>
      </c>
      <c r="AC285" s="35">
        <f t="shared" si="149"/>
        <v>0.81428571428571428</v>
      </c>
      <c r="AD285" s="20">
        <v>980</v>
      </c>
      <c r="AE285" s="27">
        <f t="shared" si="167"/>
        <v>182</v>
      </c>
      <c r="AF285" s="20">
        <v>798</v>
      </c>
      <c r="AG285" s="20">
        <v>403</v>
      </c>
      <c r="AH285" s="20">
        <f t="shared" si="168"/>
        <v>395</v>
      </c>
      <c r="AI285" s="20"/>
      <c r="AJ285" s="5"/>
      <c r="AK285" s="64">
        <v>2016</v>
      </c>
      <c r="AL285" s="65" t="s">
        <v>41</v>
      </c>
      <c r="AM285" s="35">
        <f t="shared" si="150"/>
        <v>0.59069767441860466</v>
      </c>
      <c r="AN285" s="35">
        <f t="shared" si="151"/>
        <v>0.63262764632627644</v>
      </c>
      <c r="AO285" s="35">
        <f t="shared" si="152"/>
        <v>0.93372093023255809</v>
      </c>
      <c r="AP285" s="20">
        <v>860</v>
      </c>
      <c r="AQ285" s="27">
        <f t="shared" si="169"/>
        <v>57</v>
      </c>
      <c r="AR285" s="20">
        <v>803</v>
      </c>
      <c r="AS285" s="20">
        <v>508</v>
      </c>
      <c r="AT285" s="20">
        <f t="shared" si="170"/>
        <v>295</v>
      </c>
      <c r="AU285" s="29"/>
    </row>
    <row r="286" spans="1:47" s="3" customFormat="1" ht="12.75">
      <c r="A286" s="62">
        <v>2016</v>
      </c>
      <c r="B286" s="63" t="s">
        <v>42</v>
      </c>
      <c r="C286" s="35">
        <f t="shared" si="153"/>
        <v>0.73931786484087736</v>
      </c>
      <c r="D286" s="35">
        <f t="shared" si="154"/>
        <v>0.82744430254008794</v>
      </c>
      <c r="E286" s="35">
        <f t="shared" si="155"/>
        <v>0.89349562571319896</v>
      </c>
      <c r="F286" s="27">
        <f t="shared" si="156"/>
        <v>7887</v>
      </c>
      <c r="G286" s="20">
        <f t="shared" si="142"/>
        <v>840</v>
      </c>
      <c r="H286" s="27">
        <f t="shared" si="157"/>
        <v>7047</v>
      </c>
      <c r="I286" s="27">
        <f t="shared" si="158"/>
        <v>5831</v>
      </c>
      <c r="J286" s="20">
        <f t="shared" si="143"/>
        <v>1216</v>
      </c>
      <c r="K286" s="27"/>
      <c r="L286" s="4"/>
      <c r="M286" s="62">
        <v>2016</v>
      </c>
      <c r="N286" s="63" t="s">
        <v>42</v>
      </c>
      <c r="O286" s="35">
        <f t="shared" si="144"/>
        <v>0.78895562228895566</v>
      </c>
      <c r="P286" s="35">
        <f t="shared" si="145"/>
        <v>0.89058380414312621</v>
      </c>
      <c r="Q286" s="35">
        <f t="shared" si="146"/>
        <v>0.8858858858858859</v>
      </c>
      <c r="R286" s="20">
        <v>5994</v>
      </c>
      <c r="S286" s="27">
        <f t="shared" si="165"/>
        <v>684</v>
      </c>
      <c r="T286" s="20">
        <v>5310</v>
      </c>
      <c r="U286" s="20">
        <v>4729</v>
      </c>
      <c r="V286" s="20">
        <f t="shared" si="166"/>
        <v>581</v>
      </c>
      <c r="W286" s="20"/>
      <c r="X286" s="5"/>
      <c r="Y286" s="62">
        <v>2016</v>
      </c>
      <c r="Z286" s="63" t="s">
        <v>42</v>
      </c>
      <c r="AA286" s="35">
        <f t="shared" si="147"/>
        <v>0.58456973293768544</v>
      </c>
      <c r="AB286" s="35">
        <f t="shared" si="148"/>
        <v>0.64731653888280394</v>
      </c>
      <c r="AC286" s="35">
        <f t="shared" si="149"/>
        <v>0.90306627101879322</v>
      </c>
      <c r="AD286" s="20">
        <v>1011</v>
      </c>
      <c r="AE286" s="27">
        <f t="shared" si="167"/>
        <v>98</v>
      </c>
      <c r="AF286" s="20">
        <v>913</v>
      </c>
      <c r="AG286" s="20">
        <v>591</v>
      </c>
      <c r="AH286" s="20">
        <f t="shared" si="168"/>
        <v>322</v>
      </c>
      <c r="AI286" s="20"/>
      <c r="AJ286" s="5"/>
      <c r="AK286" s="62">
        <v>2016</v>
      </c>
      <c r="AL286" s="63" t="s">
        <v>42</v>
      </c>
      <c r="AM286" s="35">
        <f t="shared" si="150"/>
        <v>0.57936507936507942</v>
      </c>
      <c r="AN286" s="35">
        <f t="shared" si="151"/>
        <v>0.62014563106796117</v>
      </c>
      <c r="AO286" s="35">
        <f t="shared" si="152"/>
        <v>0.93424036281179135</v>
      </c>
      <c r="AP286" s="20">
        <v>882</v>
      </c>
      <c r="AQ286" s="27">
        <f t="shared" si="169"/>
        <v>58</v>
      </c>
      <c r="AR286" s="20">
        <v>824</v>
      </c>
      <c r="AS286" s="20">
        <v>511</v>
      </c>
      <c r="AT286" s="20">
        <f t="shared" si="170"/>
        <v>313</v>
      </c>
      <c r="AU286" s="29"/>
    </row>
    <row r="287" spans="1:47" s="3" customFormat="1" ht="12.75">
      <c r="A287" s="64">
        <v>2016</v>
      </c>
      <c r="B287" s="65" t="s">
        <v>43</v>
      </c>
      <c r="C287" s="35">
        <f t="shared" si="153"/>
        <v>0.74110620618021295</v>
      </c>
      <c r="D287" s="35">
        <f t="shared" si="154"/>
        <v>0.8266473569876901</v>
      </c>
      <c r="E287" s="35">
        <f t="shared" si="155"/>
        <v>0.89652038431576209</v>
      </c>
      <c r="F287" s="27">
        <f t="shared" si="156"/>
        <v>7702</v>
      </c>
      <c r="G287" s="20">
        <f t="shared" si="142"/>
        <v>797</v>
      </c>
      <c r="H287" s="27">
        <f t="shared" si="157"/>
        <v>6905</v>
      </c>
      <c r="I287" s="27">
        <f t="shared" si="158"/>
        <v>5708</v>
      </c>
      <c r="J287" s="20">
        <f t="shared" si="143"/>
        <v>1197</v>
      </c>
      <c r="K287" s="27"/>
      <c r="L287" s="4"/>
      <c r="M287" s="64">
        <v>2016</v>
      </c>
      <c r="N287" s="65" t="s">
        <v>43</v>
      </c>
      <c r="O287" s="35">
        <f t="shared" si="144"/>
        <v>0.78915046059365401</v>
      </c>
      <c r="P287" s="35">
        <f t="shared" si="145"/>
        <v>0.88876080691642656</v>
      </c>
      <c r="Q287" s="35">
        <f t="shared" si="146"/>
        <v>0.88792221084953937</v>
      </c>
      <c r="R287" s="20">
        <v>5862</v>
      </c>
      <c r="S287" s="27">
        <f t="shared" si="165"/>
        <v>657</v>
      </c>
      <c r="T287" s="20">
        <v>5205</v>
      </c>
      <c r="U287" s="20">
        <v>4626</v>
      </c>
      <c r="V287" s="20">
        <f t="shared" si="166"/>
        <v>579</v>
      </c>
      <c r="W287" s="20"/>
      <c r="X287" s="5"/>
      <c r="Y287" s="64">
        <v>2016</v>
      </c>
      <c r="Z287" s="65" t="s">
        <v>43</v>
      </c>
      <c r="AA287" s="35">
        <f t="shared" si="147"/>
        <v>0.56326530612244896</v>
      </c>
      <c r="AB287" s="35">
        <f t="shared" si="148"/>
        <v>0.62232243517474639</v>
      </c>
      <c r="AC287" s="35">
        <f t="shared" si="149"/>
        <v>0.9051020408163265</v>
      </c>
      <c r="AD287" s="20">
        <v>980</v>
      </c>
      <c r="AE287" s="27">
        <f t="shared" si="167"/>
        <v>93</v>
      </c>
      <c r="AF287" s="20">
        <v>887</v>
      </c>
      <c r="AG287" s="20">
        <v>552</v>
      </c>
      <c r="AH287" s="20">
        <f t="shared" si="168"/>
        <v>335</v>
      </c>
      <c r="AI287" s="20"/>
      <c r="AJ287" s="5"/>
      <c r="AK287" s="64">
        <v>2016</v>
      </c>
      <c r="AL287" s="65" t="s">
        <v>43</v>
      </c>
      <c r="AM287" s="35">
        <f t="shared" si="150"/>
        <v>0.61627906976744184</v>
      </c>
      <c r="AN287" s="35">
        <f t="shared" si="151"/>
        <v>0.6519065190651907</v>
      </c>
      <c r="AO287" s="35">
        <f t="shared" si="152"/>
        <v>0.9453488372093023</v>
      </c>
      <c r="AP287" s="20">
        <v>860</v>
      </c>
      <c r="AQ287" s="27">
        <f t="shared" si="169"/>
        <v>47</v>
      </c>
      <c r="AR287" s="20">
        <v>813</v>
      </c>
      <c r="AS287" s="20">
        <v>530</v>
      </c>
      <c r="AT287" s="20">
        <f t="shared" si="170"/>
        <v>283</v>
      </c>
      <c r="AU287" s="29"/>
    </row>
    <row r="288" spans="1:47" s="3" customFormat="1" ht="12.75">
      <c r="A288" s="62">
        <v>2016</v>
      </c>
      <c r="B288" s="63" t="s">
        <v>44</v>
      </c>
      <c r="C288" s="35">
        <f t="shared" si="153"/>
        <v>0.75484036414924993</v>
      </c>
      <c r="D288" s="35">
        <f t="shared" si="154"/>
        <v>0.84692849949647531</v>
      </c>
      <c r="E288" s="35">
        <f t="shared" si="155"/>
        <v>0.89126811129632</v>
      </c>
      <c r="F288" s="27">
        <f t="shared" si="156"/>
        <v>7799</v>
      </c>
      <c r="G288" s="20">
        <f t="shared" si="142"/>
        <v>848</v>
      </c>
      <c r="H288" s="27">
        <f t="shared" si="157"/>
        <v>6951</v>
      </c>
      <c r="I288" s="27">
        <f t="shared" si="158"/>
        <v>5887</v>
      </c>
      <c r="J288" s="20">
        <f t="shared" si="143"/>
        <v>1064</v>
      </c>
      <c r="K288" s="27"/>
      <c r="L288" s="4"/>
      <c r="M288" s="62">
        <v>2016</v>
      </c>
      <c r="N288" s="63" t="s">
        <v>44</v>
      </c>
      <c r="O288" s="35">
        <f t="shared" si="144"/>
        <v>0.7861730899256254</v>
      </c>
      <c r="P288" s="35">
        <f t="shared" si="145"/>
        <v>0.88844317096466097</v>
      </c>
      <c r="Q288" s="35">
        <f t="shared" si="146"/>
        <v>0.88488843813387419</v>
      </c>
      <c r="R288" s="20">
        <v>5916</v>
      </c>
      <c r="S288" s="27">
        <f t="shared" si="165"/>
        <v>681</v>
      </c>
      <c r="T288" s="20">
        <v>5235</v>
      </c>
      <c r="U288" s="20">
        <v>4651</v>
      </c>
      <c r="V288" s="20">
        <f t="shared" si="166"/>
        <v>584</v>
      </c>
      <c r="W288" s="20"/>
      <c r="X288" s="5"/>
      <c r="Y288" s="62">
        <v>2016</v>
      </c>
      <c r="Z288" s="63" t="s">
        <v>44</v>
      </c>
      <c r="AA288" s="35">
        <f t="shared" si="147"/>
        <v>0.65113974231912786</v>
      </c>
      <c r="AB288" s="35">
        <f t="shared" si="148"/>
        <v>0.73407821229050274</v>
      </c>
      <c r="AC288" s="35">
        <f t="shared" si="149"/>
        <v>0.8870168483647175</v>
      </c>
      <c r="AD288" s="20">
        <v>1009</v>
      </c>
      <c r="AE288" s="27">
        <f t="shared" si="167"/>
        <v>114</v>
      </c>
      <c r="AF288" s="20">
        <v>895</v>
      </c>
      <c r="AG288" s="20">
        <v>657</v>
      </c>
      <c r="AH288" s="20">
        <f t="shared" si="168"/>
        <v>238</v>
      </c>
      <c r="AI288" s="20"/>
      <c r="AJ288" s="5"/>
      <c r="AK288" s="62">
        <v>2016</v>
      </c>
      <c r="AL288" s="63" t="s">
        <v>44</v>
      </c>
      <c r="AM288" s="35">
        <f t="shared" si="150"/>
        <v>0.6624713958810069</v>
      </c>
      <c r="AN288" s="35">
        <f t="shared" si="151"/>
        <v>0.70523751522533495</v>
      </c>
      <c r="AO288" s="35">
        <f t="shared" si="152"/>
        <v>0.9393592677345538</v>
      </c>
      <c r="AP288" s="20">
        <v>874</v>
      </c>
      <c r="AQ288" s="27">
        <f t="shared" si="169"/>
        <v>53</v>
      </c>
      <c r="AR288" s="20">
        <v>821</v>
      </c>
      <c r="AS288" s="20">
        <v>579</v>
      </c>
      <c r="AT288" s="20">
        <f t="shared" si="170"/>
        <v>242</v>
      </c>
      <c r="AU288" s="29"/>
    </row>
    <row r="289" spans="1:47" s="3" customFormat="1" ht="12.75">
      <c r="A289" s="64">
        <v>2016</v>
      </c>
      <c r="B289" s="65" t="s">
        <v>45</v>
      </c>
      <c r="C289" s="35">
        <f t="shared" si="153"/>
        <v>0.85191222570532921</v>
      </c>
      <c r="D289" s="35">
        <f t="shared" si="154"/>
        <v>0.87191991786447642</v>
      </c>
      <c r="E289" s="35">
        <f t="shared" si="155"/>
        <v>0.97705329153605014</v>
      </c>
      <c r="F289" s="27">
        <f t="shared" si="156"/>
        <v>7975</v>
      </c>
      <c r="G289" s="20">
        <f t="shared" si="142"/>
        <v>183</v>
      </c>
      <c r="H289" s="27">
        <f t="shared" si="157"/>
        <v>7792</v>
      </c>
      <c r="I289" s="27">
        <f t="shared" si="158"/>
        <v>6794</v>
      </c>
      <c r="J289" s="20">
        <f t="shared" si="143"/>
        <v>998</v>
      </c>
      <c r="K289" s="27"/>
      <c r="L289" s="4"/>
      <c r="M289" s="64">
        <v>2016</v>
      </c>
      <c r="N289" s="65" t="s">
        <v>45</v>
      </c>
      <c r="O289" s="35">
        <f t="shared" si="144"/>
        <v>0.88010540184453223</v>
      </c>
      <c r="P289" s="35">
        <f t="shared" si="145"/>
        <v>0.89424364123159306</v>
      </c>
      <c r="Q289" s="35">
        <f t="shared" si="146"/>
        <v>0.98418972332015808</v>
      </c>
      <c r="R289" s="20">
        <v>6072</v>
      </c>
      <c r="S289" s="27">
        <f t="shared" si="165"/>
        <v>96</v>
      </c>
      <c r="T289" s="20">
        <v>5976</v>
      </c>
      <c r="U289" s="20">
        <v>5344</v>
      </c>
      <c r="V289" s="20">
        <f t="shared" si="166"/>
        <v>632</v>
      </c>
      <c r="W289" s="20"/>
      <c r="X289" s="5"/>
      <c r="Y289" s="64">
        <v>2016</v>
      </c>
      <c r="Z289" s="65" t="s">
        <v>45</v>
      </c>
      <c r="AA289" s="35">
        <f t="shared" si="147"/>
        <v>0.85192497532082923</v>
      </c>
      <c r="AB289" s="35">
        <f t="shared" si="148"/>
        <v>0.890608875128999</v>
      </c>
      <c r="AC289" s="35">
        <f t="shared" si="149"/>
        <v>0.95656465942744329</v>
      </c>
      <c r="AD289" s="20">
        <v>1013</v>
      </c>
      <c r="AE289" s="27">
        <f t="shared" si="167"/>
        <v>44</v>
      </c>
      <c r="AF289" s="20">
        <v>969</v>
      </c>
      <c r="AG289" s="20">
        <v>863</v>
      </c>
      <c r="AH289" s="20">
        <f t="shared" si="168"/>
        <v>106</v>
      </c>
      <c r="AI289" s="20"/>
      <c r="AJ289" s="5"/>
      <c r="AK289" s="64">
        <v>2016</v>
      </c>
      <c r="AL289" s="65" t="s">
        <v>45</v>
      </c>
      <c r="AM289" s="35">
        <f t="shared" si="150"/>
        <v>0.65955056179775284</v>
      </c>
      <c r="AN289" s="35">
        <f t="shared" si="151"/>
        <v>0.69303423848878398</v>
      </c>
      <c r="AO289" s="35">
        <f t="shared" si="152"/>
        <v>0.95168539325842694</v>
      </c>
      <c r="AP289" s="20">
        <v>890</v>
      </c>
      <c r="AQ289" s="27">
        <f t="shared" si="169"/>
        <v>43</v>
      </c>
      <c r="AR289" s="20">
        <v>847</v>
      </c>
      <c r="AS289" s="20">
        <v>587</v>
      </c>
      <c r="AT289" s="20">
        <f t="shared" si="170"/>
        <v>260</v>
      </c>
      <c r="AU289" s="29"/>
    </row>
    <row r="290" spans="1:47" s="3" customFormat="1" ht="12.75">
      <c r="A290" s="62">
        <v>2016</v>
      </c>
      <c r="B290" s="63" t="s">
        <v>46</v>
      </c>
      <c r="C290" s="35">
        <f t="shared" si="153"/>
        <v>0.86931964056482669</v>
      </c>
      <c r="D290" s="35">
        <f t="shared" si="154"/>
        <v>0.8905839032088374</v>
      </c>
      <c r="E290" s="35">
        <f t="shared" si="155"/>
        <v>0.97612323491655972</v>
      </c>
      <c r="F290" s="27">
        <f t="shared" si="156"/>
        <v>7790</v>
      </c>
      <c r="G290" s="20">
        <f t="shared" si="142"/>
        <v>186</v>
      </c>
      <c r="H290" s="27">
        <f t="shared" si="157"/>
        <v>7604</v>
      </c>
      <c r="I290" s="27">
        <f t="shared" si="158"/>
        <v>6772</v>
      </c>
      <c r="J290" s="20">
        <f t="shared" si="143"/>
        <v>832</v>
      </c>
      <c r="K290" s="27"/>
      <c r="L290" s="4"/>
      <c r="M290" s="62">
        <v>2016</v>
      </c>
      <c r="N290" s="63" t="s">
        <v>46</v>
      </c>
      <c r="O290" s="35">
        <f t="shared" si="144"/>
        <v>0.87962962962962965</v>
      </c>
      <c r="P290" s="35">
        <f t="shared" si="145"/>
        <v>0.89838376891334248</v>
      </c>
      <c r="Q290" s="35">
        <f t="shared" si="146"/>
        <v>0.97912457912457918</v>
      </c>
      <c r="R290" s="20">
        <v>5940</v>
      </c>
      <c r="S290" s="27">
        <f t="shared" si="165"/>
        <v>124</v>
      </c>
      <c r="T290" s="20">
        <v>5816</v>
      </c>
      <c r="U290" s="20">
        <v>5225</v>
      </c>
      <c r="V290" s="20">
        <f t="shared" si="166"/>
        <v>591</v>
      </c>
      <c r="W290" s="20"/>
      <c r="X290" s="5"/>
      <c r="Y290" s="62">
        <v>2016</v>
      </c>
      <c r="Z290" s="63" t="s">
        <v>46</v>
      </c>
      <c r="AA290" s="35">
        <f t="shared" si="147"/>
        <v>0.87270875763747457</v>
      </c>
      <c r="AB290" s="35">
        <f t="shared" si="148"/>
        <v>0.91073326248671627</v>
      </c>
      <c r="AC290" s="35">
        <f t="shared" si="149"/>
        <v>0.9582484725050916</v>
      </c>
      <c r="AD290" s="20">
        <v>982</v>
      </c>
      <c r="AE290" s="27">
        <f t="shared" si="167"/>
        <v>41</v>
      </c>
      <c r="AF290" s="20">
        <v>941</v>
      </c>
      <c r="AG290" s="20">
        <v>857</v>
      </c>
      <c r="AH290" s="20">
        <f t="shared" si="168"/>
        <v>84</v>
      </c>
      <c r="AI290" s="20"/>
      <c r="AJ290" s="5"/>
      <c r="AK290" s="62">
        <v>2016</v>
      </c>
      <c r="AL290" s="63" t="s">
        <v>46</v>
      </c>
      <c r="AM290" s="35">
        <f t="shared" si="150"/>
        <v>0.79493087557603692</v>
      </c>
      <c r="AN290" s="35">
        <f t="shared" si="151"/>
        <v>0.81463990554899646</v>
      </c>
      <c r="AO290" s="35">
        <f t="shared" si="152"/>
        <v>0.97580645161290325</v>
      </c>
      <c r="AP290" s="20">
        <v>868</v>
      </c>
      <c r="AQ290" s="27">
        <f t="shared" si="169"/>
        <v>21</v>
      </c>
      <c r="AR290" s="20">
        <v>847</v>
      </c>
      <c r="AS290" s="20">
        <v>690</v>
      </c>
      <c r="AT290" s="20">
        <f t="shared" si="170"/>
        <v>157</v>
      </c>
      <c r="AU290" s="29"/>
    </row>
    <row r="291" spans="1:47" s="3" customFormat="1" ht="12.75">
      <c r="A291" s="64">
        <v>2016</v>
      </c>
      <c r="B291" s="65" t="s">
        <v>47</v>
      </c>
      <c r="C291" s="35">
        <f t="shared" si="153"/>
        <v>0.84101587301587299</v>
      </c>
      <c r="D291" s="35">
        <f t="shared" si="154"/>
        <v>0.89330995414081471</v>
      </c>
      <c r="E291" s="35">
        <f t="shared" si="155"/>
        <v>0.94146031746031744</v>
      </c>
      <c r="F291" s="27">
        <f t="shared" si="156"/>
        <v>7875</v>
      </c>
      <c r="G291" s="20">
        <f t="shared" si="142"/>
        <v>461</v>
      </c>
      <c r="H291" s="27">
        <f t="shared" si="157"/>
        <v>7414</v>
      </c>
      <c r="I291" s="27">
        <f t="shared" si="158"/>
        <v>6623</v>
      </c>
      <c r="J291" s="20">
        <f t="shared" si="143"/>
        <v>791</v>
      </c>
      <c r="K291" s="27"/>
      <c r="L291" s="4"/>
      <c r="M291" s="64">
        <v>2016</v>
      </c>
      <c r="N291" s="65" t="s">
        <v>47</v>
      </c>
      <c r="O291" s="35">
        <f t="shared" si="144"/>
        <v>0.85289200936141762</v>
      </c>
      <c r="P291" s="35">
        <f t="shared" si="145"/>
        <v>0.90863757791629562</v>
      </c>
      <c r="Q291" s="35">
        <f t="shared" si="146"/>
        <v>0.93864928117686397</v>
      </c>
      <c r="R291" s="20">
        <v>5982</v>
      </c>
      <c r="S291" s="27">
        <f t="shared" si="165"/>
        <v>367</v>
      </c>
      <c r="T291" s="20">
        <v>5615</v>
      </c>
      <c r="U291" s="20">
        <v>5102</v>
      </c>
      <c r="V291" s="20">
        <f t="shared" si="166"/>
        <v>513</v>
      </c>
      <c r="W291" s="20"/>
      <c r="X291" s="5"/>
      <c r="Y291" s="64">
        <v>2016</v>
      </c>
      <c r="Z291" s="65" t="s">
        <v>47</v>
      </c>
      <c r="AA291" s="35">
        <f t="shared" si="147"/>
        <v>0.89020771513353114</v>
      </c>
      <c r="AB291" s="35">
        <f t="shared" si="148"/>
        <v>0.9375</v>
      </c>
      <c r="AC291" s="35">
        <f t="shared" si="149"/>
        <v>0.94955489614243327</v>
      </c>
      <c r="AD291" s="20">
        <v>1011</v>
      </c>
      <c r="AE291" s="27">
        <f t="shared" si="167"/>
        <v>51</v>
      </c>
      <c r="AF291" s="20">
        <v>960</v>
      </c>
      <c r="AG291" s="20">
        <v>900</v>
      </c>
      <c r="AH291" s="20">
        <f t="shared" si="168"/>
        <v>60</v>
      </c>
      <c r="AI291" s="20"/>
      <c r="AJ291" s="5"/>
      <c r="AK291" s="64">
        <v>2016</v>
      </c>
      <c r="AL291" s="65" t="s">
        <v>47</v>
      </c>
      <c r="AM291" s="35">
        <f t="shared" si="150"/>
        <v>0.70408163265306123</v>
      </c>
      <c r="AN291" s="35">
        <f t="shared" si="151"/>
        <v>0.74016686531585218</v>
      </c>
      <c r="AO291" s="35">
        <f t="shared" si="152"/>
        <v>0.9512471655328798</v>
      </c>
      <c r="AP291" s="20">
        <v>882</v>
      </c>
      <c r="AQ291" s="27">
        <f t="shared" si="169"/>
        <v>43</v>
      </c>
      <c r="AR291" s="20">
        <v>839</v>
      </c>
      <c r="AS291" s="20">
        <v>621</v>
      </c>
      <c r="AT291" s="20">
        <f t="shared" si="170"/>
        <v>218</v>
      </c>
      <c r="AU291" s="29"/>
    </row>
    <row r="292" spans="1:47" s="3" customFormat="1" ht="12.75">
      <c r="A292" s="62">
        <v>2016</v>
      </c>
      <c r="B292" s="63" t="s">
        <v>48</v>
      </c>
      <c r="C292" s="35">
        <f t="shared" si="153"/>
        <v>0.85510257076084129</v>
      </c>
      <c r="D292" s="35">
        <f t="shared" si="154"/>
        <v>0.88154196225404902</v>
      </c>
      <c r="E292" s="35">
        <f t="shared" si="155"/>
        <v>0.97000779018436767</v>
      </c>
      <c r="F292" s="27">
        <f t="shared" si="156"/>
        <v>7702</v>
      </c>
      <c r="G292" s="20">
        <f t="shared" si="142"/>
        <v>231</v>
      </c>
      <c r="H292" s="27">
        <f t="shared" si="157"/>
        <v>7471</v>
      </c>
      <c r="I292" s="27">
        <f t="shared" si="158"/>
        <v>6586</v>
      </c>
      <c r="J292" s="20">
        <f t="shared" si="143"/>
        <v>885</v>
      </c>
      <c r="K292" s="27"/>
      <c r="L292" s="4"/>
      <c r="M292" s="62">
        <v>2016</v>
      </c>
      <c r="N292" s="63" t="s">
        <v>48</v>
      </c>
      <c r="O292" s="35">
        <f t="shared" si="144"/>
        <v>0.86745138178096215</v>
      </c>
      <c r="P292" s="35">
        <f t="shared" si="145"/>
        <v>0.88820960698689955</v>
      </c>
      <c r="Q292" s="35">
        <f t="shared" si="146"/>
        <v>0.97662913681337427</v>
      </c>
      <c r="R292" s="20">
        <v>5862</v>
      </c>
      <c r="S292" s="27">
        <f t="shared" si="165"/>
        <v>137</v>
      </c>
      <c r="T292" s="20">
        <v>5725</v>
      </c>
      <c r="U292" s="20">
        <v>5085</v>
      </c>
      <c r="V292" s="20">
        <f t="shared" si="166"/>
        <v>640</v>
      </c>
      <c r="W292" s="20"/>
      <c r="X292" s="5"/>
      <c r="Y292" s="62">
        <v>2016</v>
      </c>
      <c r="Z292" s="63" t="s">
        <v>48</v>
      </c>
      <c r="AA292" s="35">
        <f t="shared" si="147"/>
        <v>0.90612244897959182</v>
      </c>
      <c r="AB292" s="35">
        <f t="shared" si="148"/>
        <v>0.95792880258899671</v>
      </c>
      <c r="AC292" s="35">
        <f t="shared" si="149"/>
        <v>0.94591836734693879</v>
      </c>
      <c r="AD292" s="20">
        <v>980</v>
      </c>
      <c r="AE292" s="27">
        <f t="shared" si="167"/>
        <v>53</v>
      </c>
      <c r="AF292" s="20">
        <v>927</v>
      </c>
      <c r="AG292" s="20">
        <v>888</v>
      </c>
      <c r="AH292" s="20">
        <f t="shared" si="168"/>
        <v>39</v>
      </c>
      <c r="AI292" s="20"/>
      <c r="AJ292" s="5"/>
      <c r="AK292" s="62">
        <v>2016</v>
      </c>
      <c r="AL292" s="63" t="s">
        <v>48</v>
      </c>
      <c r="AM292" s="35">
        <f t="shared" si="150"/>
        <v>0.71279069767441861</v>
      </c>
      <c r="AN292" s="35">
        <f t="shared" si="151"/>
        <v>0.74847374847374848</v>
      </c>
      <c r="AO292" s="35">
        <f t="shared" si="152"/>
        <v>0.95232558139534884</v>
      </c>
      <c r="AP292" s="20">
        <v>860</v>
      </c>
      <c r="AQ292" s="27">
        <f t="shared" si="169"/>
        <v>41</v>
      </c>
      <c r="AR292" s="20">
        <v>819</v>
      </c>
      <c r="AS292" s="20">
        <v>613</v>
      </c>
      <c r="AT292" s="20">
        <f t="shared" si="170"/>
        <v>206</v>
      </c>
      <c r="AU292" s="29"/>
    </row>
    <row r="293" spans="1:47" s="3" customFormat="1" ht="12.75">
      <c r="A293" s="64">
        <v>2016</v>
      </c>
      <c r="B293" s="65" t="s">
        <v>49</v>
      </c>
      <c r="C293" s="35">
        <f t="shared" si="153"/>
        <v>0.86171428571428577</v>
      </c>
      <c r="D293" s="35">
        <f t="shared" si="154"/>
        <v>0.91517194875252861</v>
      </c>
      <c r="E293" s="35">
        <f t="shared" si="155"/>
        <v>0.94158730158730164</v>
      </c>
      <c r="F293" s="27">
        <f t="shared" si="156"/>
        <v>7875</v>
      </c>
      <c r="G293" s="20">
        <f t="shared" si="142"/>
        <v>460</v>
      </c>
      <c r="H293" s="27">
        <f t="shared" si="157"/>
        <v>7415</v>
      </c>
      <c r="I293" s="27">
        <f t="shared" si="158"/>
        <v>6786</v>
      </c>
      <c r="J293" s="20">
        <f t="shared" si="143"/>
        <v>629</v>
      </c>
      <c r="K293" s="27"/>
      <c r="L293" s="10"/>
      <c r="M293" s="64">
        <v>2016</v>
      </c>
      <c r="N293" s="65" t="s">
        <v>49</v>
      </c>
      <c r="O293" s="35">
        <f t="shared" si="144"/>
        <v>0.87545971247074561</v>
      </c>
      <c r="P293" s="35">
        <f t="shared" si="145"/>
        <v>0.91828862002454847</v>
      </c>
      <c r="Q293" s="35">
        <f t="shared" si="146"/>
        <v>0.95336008024072216</v>
      </c>
      <c r="R293" s="20">
        <v>5982</v>
      </c>
      <c r="S293" s="27">
        <f t="shared" si="165"/>
        <v>279</v>
      </c>
      <c r="T293" s="20">
        <v>5703</v>
      </c>
      <c r="U293" s="20">
        <v>5237</v>
      </c>
      <c r="V293" s="20">
        <f t="shared" si="166"/>
        <v>466</v>
      </c>
      <c r="W293" s="20"/>
      <c r="X293" s="5"/>
      <c r="Y293" s="64">
        <v>2016</v>
      </c>
      <c r="Z293" s="65" t="s">
        <v>49</v>
      </c>
      <c r="AA293" s="35">
        <f t="shared" si="147"/>
        <v>0.86350148367952517</v>
      </c>
      <c r="AB293" s="35">
        <f t="shared" si="148"/>
        <v>0.96251378169790514</v>
      </c>
      <c r="AC293" s="35">
        <f t="shared" si="149"/>
        <v>0.89713155291790303</v>
      </c>
      <c r="AD293" s="20">
        <v>1011</v>
      </c>
      <c r="AE293" s="27">
        <f>AD293-AF293</f>
        <v>104</v>
      </c>
      <c r="AF293" s="20">
        <v>907</v>
      </c>
      <c r="AG293" s="20">
        <v>873</v>
      </c>
      <c r="AH293" s="20">
        <f t="shared" si="168"/>
        <v>34</v>
      </c>
      <c r="AI293" s="20"/>
      <c r="AJ293" s="5"/>
      <c r="AK293" s="64">
        <v>2016</v>
      </c>
      <c r="AL293" s="65" t="s">
        <v>49</v>
      </c>
      <c r="AM293" s="35">
        <f t="shared" si="150"/>
        <v>0.76643990929705219</v>
      </c>
      <c r="AN293" s="35">
        <f t="shared" si="151"/>
        <v>0.83975155279503111</v>
      </c>
      <c r="AO293" s="35">
        <f t="shared" si="152"/>
        <v>0.91269841269841268</v>
      </c>
      <c r="AP293" s="20">
        <v>882</v>
      </c>
      <c r="AQ293" s="27">
        <f>AP293-AR293</f>
        <v>77</v>
      </c>
      <c r="AR293" s="20">
        <v>805</v>
      </c>
      <c r="AS293" s="20">
        <v>676</v>
      </c>
      <c r="AT293" s="20">
        <f t="shared" si="170"/>
        <v>129</v>
      </c>
      <c r="AU293" s="29"/>
    </row>
    <row r="294" spans="1:47" s="3" customFormat="1" ht="12.75">
      <c r="A294" s="62">
        <v>2017</v>
      </c>
      <c r="B294" s="63" t="s">
        <v>38</v>
      </c>
      <c r="C294" s="35">
        <f t="shared" si="153"/>
        <v>0.90445141065830725</v>
      </c>
      <c r="D294" s="35">
        <f t="shared" si="154"/>
        <v>0.93323845258118776</v>
      </c>
      <c r="E294" s="35">
        <f t="shared" si="155"/>
        <v>0.96915360501567394</v>
      </c>
      <c r="F294" s="27">
        <f t="shared" si="156"/>
        <v>7975</v>
      </c>
      <c r="G294" s="20">
        <f t="shared" si="142"/>
        <v>246</v>
      </c>
      <c r="H294" s="27">
        <f t="shared" si="157"/>
        <v>7729</v>
      </c>
      <c r="I294" s="27">
        <f t="shared" si="158"/>
        <v>7213</v>
      </c>
      <c r="J294" s="20">
        <f t="shared" si="143"/>
        <v>516</v>
      </c>
      <c r="K294" s="27"/>
      <c r="L294" s="4"/>
      <c r="M294" s="62">
        <v>2017</v>
      </c>
      <c r="N294" s="63" t="s">
        <v>38</v>
      </c>
      <c r="O294" s="35">
        <f t="shared" si="144"/>
        <v>0.92177206851119897</v>
      </c>
      <c r="P294" s="35">
        <f t="shared" si="145"/>
        <v>0.93893642006374767</v>
      </c>
      <c r="Q294" s="35">
        <f t="shared" si="146"/>
        <v>0.98171936758893286</v>
      </c>
      <c r="R294" s="20">
        <v>6072</v>
      </c>
      <c r="S294" s="27">
        <f t="shared" ref="S294:S305" si="171">R294-T294</f>
        <v>111</v>
      </c>
      <c r="T294" s="20">
        <v>5961</v>
      </c>
      <c r="U294" s="20">
        <v>5597</v>
      </c>
      <c r="V294" s="20">
        <f t="shared" ref="V294:V305" si="172">T294-U294</f>
        <v>364</v>
      </c>
      <c r="W294" s="20"/>
      <c r="X294" s="5"/>
      <c r="Y294" s="62">
        <v>2017</v>
      </c>
      <c r="Z294" s="63" t="s">
        <v>38</v>
      </c>
      <c r="AA294" s="35">
        <f t="shared" si="147"/>
        <v>0.87166831194471861</v>
      </c>
      <c r="AB294" s="35">
        <f t="shared" si="148"/>
        <v>0.95770065075921906</v>
      </c>
      <c r="AC294" s="35">
        <f t="shared" si="149"/>
        <v>0.910167818361303</v>
      </c>
      <c r="AD294" s="20">
        <v>1013</v>
      </c>
      <c r="AE294" s="27">
        <f t="shared" ref="AE294:AE305" si="173">AD294-AF294</f>
        <v>91</v>
      </c>
      <c r="AF294" s="20">
        <v>922</v>
      </c>
      <c r="AG294" s="20">
        <v>883</v>
      </c>
      <c r="AH294" s="20">
        <f t="shared" ref="AH294:AH305" si="174">AF294-AG294</f>
        <v>39</v>
      </c>
      <c r="AI294" s="20"/>
      <c r="AJ294" s="5"/>
      <c r="AK294" s="62">
        <v>2017</v>
      </c>
      <c r="AL294" s="63" t="s">
        <v>38</v>
      </c>
      <c r="AM294" s="35">
        <f t="shared" si="150"/>
        <v>0.82359550561797756</v>
      </c>
      <c r="AN294" s="35">
        <f t="shared" si="151"/>
        <v>0.8664302600472813</v>
      </c>
      <c r="AO294" s="35">
        <f t="shared" si="152"/>
        <v>0.95056179775280902</v>
      </c>
      <c r="AP294" s="20">
        <v>890</v>
      </c>
      <c r="AQ294" s="27">
        <f t="shared" ref="AQ294:AQ305" si="175">AP294-AR294</f>
        <v>44</v>
      </c>
      <c r="AR294" s="20">
        <v>846</v>
      </c>
      <c r="AS294" s="20">
        <v>733</v>
      </c>
      <c r="AT294" s="20">
        <f t="shared" ref="AT294:AT305" si="176">AR294-AS294</f>
        <v>113</v>
      </c>
      <c r="AU294" s="29"/>
    </row>
    <row r="295" spans="1:47" s="3" customFormat="1" ht="12.75">
      <c r="A295" s="64">
        <v>2017</v>
      </c>
      <c r="B295" s="65" t="s">
        <v>39</v>
      </c>
      <c r="C295" s="35">
        <f t="shared" si="153"/>
        <v>0.86700622524052062</v>
      </c>
      <c r="D295" s="35">
        <f t="shared" si="154"/>
        <v>0.91421751454572575</v>
      </c>
      <c r="E295" s="35">
        <f t="shared" si="155"/>
        <v>0.94835880022637242</v>
      </c>
      <c r="F295" s="27">
        <f t="shared" si="156"/>
        <v>7068</v>
      </c>
      <c r="G295" s="20">
        <f t="shared" si="142"/>
        <v>365</v>
      </c>
      <c r="H295" s="27">
        <f t="shared" si="157"/>
        <v>6703</v>
      </c>
      <c r="I295" s="27">
        <f t="shared" si="158"/>
        <v>6128</v>
      </c>
      <c r="J295" s="20">
        <f t="shared" si="143"/>
        <v>575</v>
      </c>
      <c r="K295" s="27"/>
      <c r="L295" s="4"/>
      <c r="M295" s="64">
        <v>2017</v>
      </c>
      <c r="N295" s="65" t="s">
        <v>39</v>
      </c>
      <c r="O295" s="35">
        <f t="shared" si="144"/>
        <v>0.913124533929903</v>
      </c>
      <c r="P295" s="35">
        <f t="shared" si="145"/>
        <v>0.94083749519784865</v>
      </c>
      <c r="Q295" s="35">
        <f t="shared" si="146"/>
        <v>0.9705443698732289</v>
      </c>
      <c r="R295" s="20">
        <v>5364</v>
      </c>
      <c r="S295" s="27">
        <f t="shared" si="171"/>
        <v>158</v>
      </c>
      <c r="T295" s="20">
        <v>5206</v>
      </c>
      <c r="U295" s="20">
        <v>4898</v>
      </c>
      <c r="V295" s="20">
        <f t="shared" si="172"/>
        <v>308</v>
      </c>
      <c r="W295" s="20"/>
      <c r="X295" s="5"/>
      <c r="Y295" s="64">
        <v>2017</v>
      </c>
      <c r="Z295" s="65" t="s">
        <v>39</v>
      </c>
      <c r="AA295" s="35">
        <f t="shared" si="147"/>
        <v>0.76315789473684215</v>
      </c>
      <c r="AB295" s="35">
        <f t="shared" si="148"/>
        <v>0.86674968866749691</v>
      </c>
      <c r="AC295" s="35">
        <f t="shared" si="149"/>
        <v>0.88048245614035092</v>
      </c>
      <c r="AD295" s="20">
        <v>912</v>
      </c>
      <c r="AE295" s="27">
        <f t="shared" si="173"/>
        <v>109</v>
      </c>
      <c r="AF295" s="20">
        <v>803</v>
      </c>
      <c r="AG295" s="20">
        <v>696</v>
      </c>
      <c r="AH295" s="20">
        <f t="shared" si="174"/>
        <v>107</v>
      </c>
      <c r="AI295" s="20"/>
      <c r="AJ295" s="5"/>
      <c r="AK295" s="64">
        <v>2017</v>
      </c>
      <c r="AL295" s="65" t="s">
        <v>39</v>
      </c>
      <c r="AM295" s="35">
        <f t="shared" si="150"/>
        <v>0.6742424242424242</v>
      </c>
      <c r="AN295" s="35">
        <f t="shared" si="151"/>
        <v>0.7694524495677233</v>
      </c>
      <c r="AO295" s="35">
        <f t="shared" si="152"/>
        <v>0.8762626262626263</v>
      </c>
      <c r="AP295" s="20">
        <v>792</v>
      </c>
      <c r="AQ295" s="27">
        <f t="shared" si="175"/>
        <v>98</v>
      </c>
      <c r="AR295" s="20">
        <v>694</v>
      </c>
      <c r="AS295" s="20">
        <v>534</v>
      </c>
      <c r="AT295" s="20">
        <f t="shared" si="176"/>
        <v>160</v>
      </c>
      <c r="AU295" s="29"/>
    </row>
    <row r="296" spans="1:47" s="3" customFormat="1" ht="12.75">
      <c r="A296" s="62">
        <v>2017</v>
      </c>
      <c r="B296" s="63" t="s">
        <v>40</v>
      </c>
      <c r="C296" s="35">
        <f t="shared" si="153"/>
        <v>0.84827586206896555</v>
      </c>
      <c r="D296" s="35">
        <f t="shared" si="154"/>
        <v>0.88154808444096955</v>
      </c>
      <c r="E296" s="35">
        <f t="shared" si="155"/>
        <v>0.9622570532915361</v>
      </c>
      <c r="F296" s="27">
        <f t="shared" si="156"/>
        <v>7975</v>
      </c>
      <c r="G296" s="20">
        <f t="shared" si="142"/>
        <v>301</v>
      </c>
      <c r="H296" s="27">
        <f t="shared" si="157"/>
        <v>7674</v>
      </c>
      <c r="I296" s="27">
        <f t="shared" si="158"/>
        <v>6765</v>
      </c>
      <c r="J296" s="20">
        <f t="shared" si="143"/>
        <v>909</v>
      </c>
      <c r="K296" s="27"/>
      <c r="L296" s="4"/>
      <c r="M296" s="62">
        <v>2017</v>
      </c>
      <c r="N296" s="63" t="s">
        <v>40</v>
      </c>
      <c r="O296" s="35">
        <f t="shared" si="144"/>
        <v>0.87994071146245056</v>
      </c>
      <c r="P296" s="35">
        <f t="shared" si="145"/>
        <v>0.9077471967380224</v>
      </c>
      <c r="Q296" s="35">
        <f t="shared" si="146"/>
        <v>0.96936758893280628</v>
      </c>
      <c r="R296" s="20">
        <v>6072</v>
      </c>
      <c r="S296" s="27">
        <f t="shared" si="171"/>
        <v>186</v>
      </c>
      <c r="T296" s="20">
        <v>5886</v>
      </c>
      <c r="U296" s="20">
        <v>5343</v>
      </c>
      <c r="V296" s="20">
        <f t="shared" si="172"/>
        <v>543</v>
      </c>
      <c r="W296" s="20"/>
      <c r="X296" s="5"/>
      <c r="Y296" s="62">
        <v>2017</v>
      </c>
      <c r="Z296" s="63" t="s">
        <v>40</v>
      </c>
      <c r="AA296" s="35">
        <f t="shared" si="147"/>
        <v>0.79368213228035533</v>
      </c>
      <c r="AB296" s="35">
        <f t="shared" si="148"/>
        <v>0.8454258675078864</v>
      </c>
      <c r="AC296" s="35">
        <f t="shared" si="149"/>
        <v>0.93879565646594276</v>
      </c>
      <c r="AD296" s="20">
        <v>1013</v>
      </c>
      <c r="AE296" s="27">
        <f t="shared" si="173"/>
        <v>62</v>
      </c>
      <c r="AF296" s="20">
        <v>951</v>
      </c>
      <c r="AG296" s="20">
        <v>804</v>
      </c>
      <c r="AH296" s="20">
        <f t="shared" si="174"/>
        <v>147</v>
      </c>
      <c r="AI296" s="20"/>
      <c r="AJ296" s="5"/>
      <c r="AK296" s="62">
        <v>2017</v>
      </c>
      <c r="AL296" s="63" t="s">
        <v>40</v>
      </c>
      <c r="AM296" s="35">
        <f t="shared" si="150"/>
        <v>0.69438202247191017</v>
      </c>
      <c r="AN296" s="35">
        <f t="shared" si="151"/>
        <v>0.73835125448028671</v>
      </c>
      <c r="AO296" s="35">
        <f t="shared" si="152"/>
        <v>0.94044943820224725</v>
      </c>
      <c r="AP296" s="20">
        <v>890</v>
      </c>
      <c r="AQ296" s="27">
        <f t="shared" si="175"/>
        <v>53</v>
      </c>
      <c r="AR296" s="20">
        <v>837</v>
      </c>
      <c r="AS296" s="20">
        <v>618</v>
      </c>
      <c r="AT296" s="20">
        <f t="shared" si="176"/>
        <v>219</v>
      </c>
      <c r="AU296" s="29"/>
    </row>
    <row r="297" spans="1:47" s="3" customFormat="1" ht="12.75">
      <c r="A297" s="64">
        <v>2017</v>
      </c>
      <c r="B297" s="65" t="s">
        <v>41</v>
      </c>
      <c r="C297" s="35">
        <f t="shared" si="153"/>
        <v>0.80329380764163372</v>
      </c>
      <c r="D297" s="35">
        <f t="shared" si="154"/>
        <v>0.87827715355805247</v>
      </c>
      <c r="E297" s="35">
        <f t="shared" si="155"/>
        <v>0.9146245059288538</v>
      </c>
      <c r="F297" s="27">
        <f t="shared" si="156"/>
        <v>7590</v>
      </c>
      <c r="G297" s="20">
        <f t="shared" si="142"/>
        <v>648</v>
      </c>
      <c r="H297" s="27">
        <f t="shared" si="157"/>
        <v>6942</v>
      </c>
      <c r="I297" s="27">
        <f t="shared" si="158"/>
        <v>6097</v>
      </c>
      <c r="J297" s="20">
        <f t="shared" si="143"/>
        <v>845</v>
      </c>
      <c r="K297" s="27"/>
      <c r="L297" s="4"/>
      <c r="M297" s="64">
        <v>2017</v>
      </c>
      <c r="N297" s="65" t="s">
        <v>41</v>
      </c>
      <c r="O297" s="35">
        <f t="shared" si="144"/>
        <v>0.83159722222222221</v>
      </c>
      <c r="P297" s="35">
        <f t="shared" si="145"/>
        <v>0.90326230435602484</v>
      </c>
      <c r="Q297" s="35">
        <f t="shared" si="146"/>
        <v>0.92065972222222225</v>
      </c>
      <c r="R297" s="20">
        <v>5760</v>
      </c>
      <c r="S297" s="27">
        <f t="shared" si="171"/>
        <v>457</v>
      </c>
      <c r="T297" s="20">
        <v>5303</v>
      </c>
      <c r="U297" s="20">
        <v>4790</v>
      </c>
      <c r="V297" s="20">
        <f t="shared" si="172"/>
        <v>513</v>
      </c>
      <c r="W297" s="20"/>
      <c r="X297" s="5"/>
      <c r="Y297" s="64">
        <v>2017</v>
      </c>
      <c r="Z297" s="65" t="s">
        <v>41</v>
      </c>
      <c r="AA297" s="35">
        <f t="shared" si="147"/>
        <v>0.745398773006135</v>
      </c>
      <c r="AB297" s="35">
        <f t="shared" si="148"/>
        <v>0.83505154639175261</v>
      </c>
      <c r="AC297" s="35">
        <f t="shared" si="149"/>
        <v>0.8926380368098159</v>
      </c>
      <c r="AD297" s="20">
        <v>978</v>
      </c>
      <c r="AE297" s="27">
        <f t="shared" si="173"/>
        <v>105</v>
      </c>
      <c r="AF297" s="20">
        <v>873</v>
      </c>
      <c r="AG297" s="20">
        <v>729</v>
      </c>
      <c r="AH297" s="20">
        <f t="shared" si="174"/>
        <v>144</v>
      </c>
      <c r="AI297" s="20"/>
      <c r="AJ297" s="5"/>
      <c r="AK297" s="64">
        <v>2017</v>
      </c>
      <c r="AL297" s="65" t="s">
        <v>41</v>
      </c>
      <c r="AM297" s="35">
        <f t="shared" si="150"/>
        <v>0.67840375586854462</v>
      </c>
      <c r="AN297" s="35">
        <f t="shared" si="151"/>
        <v>0.75456919060052219</v>
      </c>
      <c r="AO297" s="35">
        <f t="shared" si="152"/>
        <v>0.89906103286384975</v>
      </c>
      <c r="AP297" s="20">
        <v>852</v>
      </c>
      <c r="AQ297" s="27">
        <f t="shared" si="175"/>
        <v>86</v>
      </c>
      <c r="AR297" s="20">
        <v>766</v>
      </c>
      <c r="AS297" s="20">
        <v>578</v>
      </c>
      <c r="AT297" s="20">
        <f t="shared" si="176"/>
        <v>188</v>
      </c>
      <c r="AU297" s="29"/>
    </row>
    <row r="298" spans="1:47" s="3" customFormat="1" ht="12.75">
      <c r="A298" s="62">
        <v>2017</v>
      </c>
      <c r="B298" s="63" t="s">
        <v>42</v>
      </c>
      <c r="C298" s="35">
        <f t="shared" si="153"/>
        <v>0.63623684544186632</v>
      </c>
      <c r="D298" s="35">
        <f t="shared" si="154"/>
        <v>0.68834019204389574</v>
      </c>
      <c r="E298" s="35">
        <f t="shared" si="155"/>
        <v>0.92430581970330927</v>
      </c>
      <c r="F298" s="27">
        <f t="shared" ref="F298:F334" si="177">+R298+AD298+AP298</f>
        <v>7887</v>
      </c>
      <c r="G298" s="20">
        <f t="shared" si="142"/>
        <v>597</v>
      </c>
      <c r="H298" s="27">
        <f t="shared" ref="H298:H334" si="178">+T298+AF298+AR298</f>
        <v>7290</v>
      </c>
      <c r="I298" s="27">
        <f t="shared" ref="I298:I334" si="179">+U298+AG298+AS298</f>
        <v>5018</v>
      </c>
      <c r="J298" s="20">
        <f t="shared" si="143"/>
        <v>2272</v>
      </c>
      <c r="K298" s="27"/>
      <c r="L298" s="4"/>
      <c r="M298" s="62">
        <v>2017</v>
      </c>
      <c r="N298" s="63" t="s">
        <v>42</v>
      </c>
      <c r="O298" s="35">
        <f t="shared" si="144"/>
        <v>0.62362362362362367</v>
      </c>
      <c r="P298" s="35">
        <f t="shared" si="145"/>
        <v>0.67460747157552792</v>
      </c>
      <c r="Q298" s="35">
        <f t="shared" si="146"/>
        <v>0.92442442442442441</v>
      </c>
      <c r="R298" s="20">
        <v>5994</v>
      </c>
      <c r="S298" s="27">
        <f t="shared" si="171"/>
        <v>453</v>
      </c>
      <c r="T298" s="20">
        <v>5541</v>
      </c>
      <c r="U298" s="20">
        <v>3738</v>
      </c>
      <c r="V298" s="20">
        <f t="shared" si="172"/>
        <v>1803</v>
      </c>
      <c r="W298" s="20"/>
      <c r="X298" s="5"/>
      <c r="Y298" s="62">
        <v>2017</v>
      </c>
      <c r="Z298" s="63" t="s">
        <v>42</v>
      </c>
      <c r="AA298" s="35">
        <f t="shared" si="147"/>
        <v>0.7675568743818002</v>
      </c>
      <c r="AB298" s="35">
        <f t="shared" si="148"/>
        <v>0.83620689655172409</v>
      </c>
      <c r="AC298" s="35">
        <f t="shared" si="149"/>
        <v>0.91790306627101881</v>
      </c>
      <c r="AD298" s="20">
        <v>1011</v>
      </c>
      <c r="AE298" s="27">
        <f t="shared" si="173"/>
        <v>83</v>
      </c>
      <c r="AF298" s="20">
        <v>928</v>
      </c>
      <c r="AG298" s="20">
        <v>776</v>
      </c>
      <c r="AH298" s="20">
        <f t="shared" si="174"/>
        <v>152</v>
      </c>
      <c r="AI298" s="20"/>
      <c r="AJ298" s="5"/>
      <c r="AK298" s="62">
        <v>2017</v>
      </c>
      <c r="AL298" s="63" t="s">
        <v>42</v>
      </c>
      <c r="AM298" s="35">
        <f t="shared" si="150"/>
        <v>0.5714285714285714</v>
      </c>
      <c r="AN298" s="35">
        <f t="shared" si="151"/>
        <v>0.61388550548112053</v>
      </c>
      <c r="AO298" s="35">
        <f t="shared" si="152"/>
        <v>0.93083900226757366</v>
      </c>
      <c r="AP298" s="20">
        <v>882</v>
      </c>
      <c r="AQ298" s="27">
        <f t="shared" si="175"/>
        <v>61</v>
      </c>
      <c r="AR298" s="20">
        <v>821</v>
      </c>
      <c r="AS298" s="20">
        <v>504</v>
      </c>
      <c r="AT298" s="20">
        <f t="shared" si="176"/>
        <v>317</v>
      </c>
      <c r="AU298" s="29"/>
    </row>
    <row r="299" spans="1:47" s="3" customFormat="1" ht="12.75">
      <c r="A299" s="64">
        <v>2017</v>
      </c>
      <c r="B299" s="65" t="s">
        <v>43</v>
      </c>
      <c r="C299" s="35">
        <f t="shared" si="153"/>
        <v>0.58549698400209804</v>
      </c>
      <c r="D299" s="35">
        <f t="shared" si="154"/>
        <v>0.61765112740351358</v>
      </c>
      <c r="E299" s="35">
        <f t="shared" si="155"/>
        <v>0.9479412536060845</v>
      </c>
      <c r="F299" s="27">
        <f t="shared" si="177"/>
        <v>7626</v>
      </c>
      <c r="G299" s="20">
        <f t="shared" si="142"/>
        <v>397</v>
      </c>
      <c r="H299" s="27">
        <f t="shared" si="178"/>
        <v>7229</v>
      </c>
      <c r="I299" s="27">
        <f t="shared" si="179"/>
        <v>4465</v>
      </c>
      <c r="J299" s="20">
        <f t="shared" si="143"/>
        <v>2764</v>
      </c>
      <c r="K299" s="27"/>
      <c r="L299" s="4"/>
      <c r="M299" s="64">
        <v>2017</v>
      </c>
      <c r="N299" s="65" t="s">
        <v>43</v>
      </c>
      <c r="O299" s="35">
        <f t="shared" si="144"/>
        <v>0.58109040717736371</v>
      </c>
      <c r="P299" s="35">
        <f t="shared" si="145"/>
        <v>0.61403828623518686</v>
      </c>
      <c r="Q299" s="35">
        <f t="shared" si="146"/>
        <v>0.94634230503795724</v>
      </c>
      <c r="R299" s="20">
        <v>5796</v>
      </c>
      <c r="S299" s="27">
        <f t="shared" si="171"/>
        <v>311</v>
      </c>
      <c r="T299" s="20">
        <v>5485</v>
      </c>
      <c r="U299" s="20">
        <v>3368</v>
      </c>
      <c r="V299" s="20">
        <f t="shared" si="172"/>
        <v>2117</v>
      </c>
      <c r="W299" s="20"/>
      <c r="X299" s="5"/>
      <c r="Y299" s="64">
        <v>2017</v>
      </c>
      <c r="Z299" s="65" t="s">
        <v>43</v>
      </c>
      <c r="AA299" s="35">
        <f t="shared" si="147"/>
        <v>0.74744376278118607</v>
      </c>
      <c r="AB299" s="35">
        <f t="shared" si="148"/>
        <v>0.77600849256900217</v>
      </c>
      <c r="AC299" s="35">
        <f t="shared" si="149"/>
        <v>0.96319018404907975</v>
      </c>
      <c r="AD299" s="20">
        <v>978</v>
      </c>
      <c r="AE299" s="27">
        <f t="shared" si="173"/>
        <v>36</v>
      </c>
      <c r="AF299" s="20">
        <v>942</v>
      </c>
      <c r="AG299" s="20">
        <v>731</v>
      </c>
      <c r="AH299" s="20">
        <f t="shared" si="174"/>
        <v>211</v>
      </c>
      <c r="AI299" s="20"/>
      <c r="AJ299" s="5"/>
      <c r="AK299" s="64">
        <v>2017</v>
      </c>
      <c r="AL299" s="65" t="s">
        <v>43</v>
      </c>
      <c r="AM299" s="35">
        <f t="shared" si="150"/>
        <v>0.42957746478873238</v>
      </c>
      <c r="AN299" s="35">
        <f t="shared" si="151"/>
        <v>0.45635910224438903</v>
      </c>
      <c r="AO299" s="35">
        <f t="shared" si="152"/>
        <v>0.94131455399061037</v>
      </c>
      <c r="AP299" s="20">
        <v>852</v>
      </c>
      <c r="AQ299" s="27">
        <f t="shared" si="175"/>
        <v>50</v>
      </c>
      <c r="AR299" s="20">
        <v>802</v>
      </c>
      <c r="AS299" s="20">
        <v>366</v>
      </c>
      <c r="AT299" s="20">
        <f t="shared" si="176"/>
        <v>436</v>
      </c>
      <c r="AU299" s="29"/>
    </row>
    <row r="300" spans="1:47" s="3" customFormat="1" ht="12.75">
      <c r="A300" s="62">
        <v>2017</v>
      </c>
      <c r="B300" s="63" t="s">
        <v>44</v>
      </c>
      <c r="C300" s="35">
        <f t="shared" si="153"/>
        <v>0.74607559964837378</v>
      </c>
      <c r="D300" s="35">
        <f t="shared" si="154"/>
        <v>0.77005832793259887</v>
      </c>
      <c r="E300" s="35">
        <f t="shared" si="155"/>
        <v>0.96885595880949393</v>
      </c>
      <c r="F300" s="27">
        <f t="shared" si="177"/>
        <v>7963</v>
      </c>
      <c r="G300" s="20">
        <f t="shared" si="142"/>
        <v>248</v>
      </c>
      <c r="H300" s="27">
        <f t="shared" si="178"/>
        <v>7715</v>
      </c>
      <c r="I300" s="27">
        <f t="shared" si="179"/>
        <v>5941</v>
      </c>
      <c r="J300" s="20">
        <f t="shared" si="143"/>
        <v>1774</v>
      </c>
      <c r="K300" s="27"/>
      <c r="L300" s="4"/>
      <c r="M300" s="62">
        <v>2017</v>
      </c>
      <c r="N300" s="63" t="s">
        <v>44</v>
      </c>
      <c r="O300" s="35">
        <f t="shared" si="144"/>
        <v>0.80462046204620463</v>
      </c>
      <c r="P300" s="35">
        <f t="shared" si="145"/>
        <v>0.82560108364375207</v>
      </c>
      <c r="Q300" s="35">
        <f t="shared" si="146"/>
        <v>0.9745874587458746</v>
      </c>
      <c r="R300" s="20">
        <v>6060</v>
      </c>
      <c r="S300" s="27">
        <f t="shared" si="171"/>
        <v>154</v>
      </c>
      <c r="T300" s="20">
        <v>5906</v>
      </c>
      <c r="U300" s="20">
        <v>4876</v>
      </c>
      <c r="V300" s="20">
        <f t="shared" si="172"/>
        <v>1030</v>
      </c>
      <c r="W300" s="20"/>
      <c r="X300" s="5"/>
      <c r="Y300" s="62">
        <v>2017</v>
      </c>
      <c r="Z300" s="63" t="s">
        <v>44</v>
      </c>
      <c r="AA300" s="35">
        <f t="shared" si="147"/>
        <v>0.72161895360315897</v>
      </c>
      <c r="AB300" s="35">
        <f t="shared" si="148"/>
        <v>0.75283213182286302</v>
      </c>
      <c r="AC300" s="35">
        <f t="shared" si="149"/>
        <v>0.95853899308983215</v>
      </c>
      <c r="AD300" s="20">
        <v>1013</v>
      </c>
      <c r="AE300" s="27">
        <f t="shared" si="173"/>
        <v>42</v>
      </c>
      <c r="AF300" s="20">
        <v>971</v>
      </c>
      <c r="AG300" s="20">
        <v>731</v>
      </c>
      <c r="AH300" s="20">
        <f t="shared" si="174"/>
        <v>240</v>
      </c>
      <c r="AI300" s="20"/>
      <c r="AJ300" s="5"/>
      <c r="AK300" s="62">
        <v>2017</v>
      </c>
      <c r="AL300" s="63" t="s">
        <v>44</v>
      </c>
      <c r="AM300" s="35">
        <f t="shared" si="150"/>
        <v>0.37528089887640448</v>
      </c>
      <c r="AN300" s="35">
        <f t="shared" si="151"/>
        <v>0.39856801909307876</v>
      </c>
      <c r="AO300" s="35">
        <f t="shared" si="152"/>
        <v>0.94157303370786516</v>
      </c>
      <c r="AP300" s="20">
        <v>890</v>
      </c>
      <c r="AQ300" s="27">
        <f t="shared" si="175"/>
        <v>52</v>
      </c>
      <c r="AR300" s="20">
        <v>838</v>
      </c>
      <c r="AS300" s="20">
        <v>334</v>
      </c>
      <c r="AT300" s="20">
        <f t="shared" si="176"/>
        <v>504</v>
      </c>
      <c r="AU300" s="29"/>
    </row>
    <row r="301" spans="1:47" s="3" customFormat="1" ht="12.75">
      <c r="A301" s="64">
        <v>2017</v>
      </c>
      <c r="B301" s="65" t="s">
        <v>45</v>
      </c>
      <c r="C301" s="35">
        <f t="shared" si="153"/>
        <v>0.84501567398119126</v>
      </c>
      <c r="D301" s="35">
        <f t="shared" si="154"/>
        <v>0.86077404521650269</v>
      </c>
      <c r="E301" s="35">
        <f t="shared" si="155"/>
        <v>0.98169278996865206</v>
      </c>
      <c r="F301" s="27">
        <f t="shared" si="177"/>
        <v>7975</v>
      </c>
      <c r="G301" s="20">
        <f t="shared" si="142"/>
        <v>146</v>
      </c>
      <c r="H301" s="27">
        <f t="shared" si="178"/>
        <v>7829</v>
      </c>
      <c r="I301" s="27">
        <f t="shared" si="179"/>
        <v>6739</v>
      </c>
      <c r="J301" s="20">
        <f t="shared" si="143"/>
        <v>1090</v>
      </c>
      <c r="K301" s="27"/>
      <c r="L301" s="4"/>
      <c r="M301" s="64">
        <v>2017</v>
      </c>
      <c r="N301" s="65" t="s">
        <v>45</v>
      </c>
      <c r="O301" s="35">
        <f t="shared" si="144"/>
        <v>0.90151515151515149</v>
      </c>
      <c r="P301" s="35">
        <f t="shared" si="145"/>
        <v>0.91202932355881372</v>
      </c>
      <c r="Q301" s="35">
        <f t="shared" si="146"/>
        <v>0.98847167325428198</v>
      </c>
      <c r="R301" s="20">
        <v>6072</v>
      </c>
      <c r="S301" s="27">
        <f t="shared" si="171"/>
        <v>70</v>
      </c>
      <c r="T301" s="20">
        <v>6002</v>
      </c>
      <c r="U301" s="20">
        <v>5474</v>
      </c>
      <c r="V301" s="20">
        <f t="shared" si="172"/>
        <v>528</v>
      </c>
      <c r="W301" s="20"/>
      <c r="X301" s="5"/>
      <c r="Y301" s="64">
        <v>2017</v>
      </c>
      <c r="Z301" s="65" t="s">
        <v>45</v>
      </c>
      <c r="AA301" s="35">
        <f t="shared" si="147"/>
        <v>0.7838104639684107</v>
      </c>
      <c r="AB301" s="35">
        <f t="shared" si="148"/>
        <v>0.81186094069529657</v>
      </c>
      <c r="AC301" s="35">
        <f t="shared" si="149"/>
        <v>0.96544916090819344</v>
      </c>
      <c r="AD301" s="20">
        <v>1013</v>
      </c>
      <c r="AE301" s="27">
        <f t="shared" si="173"/>
        <v>35</v>
      </c>
      <c r="AF301" s="20">
        <v>978</v>
      </c>
      <c r="AG301" s="20">
        <v>794</v>
      </c>
      <c r="AH301" s="20">
        <f t="shared" si="174"/>
        <v>184</v>
      </c>
      <c r="AI301" s="20"/>
      <c r="AJ301" s="5"/>
      <c r="AK301" s="64">
        <v>2017</v>
      </c>
      <c r="AL301" s="65" t="s">
        <v>45</v>
      </c>
      <c r="AM301" s="35">
        <f t="shared" si="150"/>
        <v>0.52921348314606742</v>
      </c>
      <c r="AN301" s="35">
        <f t="shared" si="151"/>
        <v>0.55477031802120136</v>
      </c>
      <c r="AO301" s="35">
        <f t="shared" si="152"/>
        <v>0.95393258426966288</v>
      </c>
      <c r="AP301" s="20">
        <v>890</v>
      </c>
      <c r="AQ301" s="27">
        <f t="shared" si="175"/>
        <v>41</v>
      </c>
      <c r="AR301" s="20">
        <v>849</v>
      </c>
      <c r="AS301" s="20">
        <v>471</v>
      </c>
      <c r="AT301" s="20">
        <f t="shared" si="176"/>
        <v>378</v>
      </c>
      <c r="AU301" s="29"/>
    </row>
    <row r="302" spans="1:47" s="3" customFormat="1" ht="12.75">
      <c r="A302" s="62">
        <v>2017</v>
      </c>
      <c r="B302" s="63" t="s">
        <v>46</v>
      </c>
      <c r="C302" s="35">
        <f t="shared" si="153"/>
        <v>0.79724865003857037</v>
      </c>
      <c r="D302" s="35">
        <f t="shared" si="154"/>
        <v>0.82165098714721085</v>
      </c>
      <c r="E302" s="35">
        <f t="shared" si="155"/>
        <v>0.97030084854718435</v>
      </c>
      <c r="F302" s="27">
        <f t="shared" si="177"/>
        <v>7778</v>
      </c>
      <c r="G302" s="20">
        <f t="shared" si="142"/>
        <v>231</v>
      </c>
      <c r="H302" s="27">
        <f t="shared" si="178"/>
        <v>7547</v>
      </c>
      <c r="I302" s="27">
        <f t="shared" si="179"/>
        <v>6201</v>
      </c>
      <c r="J302" s="20">
        <f t="shared" si="143"/>
        <v>1346</v>
      </c>
      <c r="K302" s="27"/>
      <c r="L302" s="4"/>
      <c r="M302" s="62">
        <v>2017</v>
      </c>
      <c r="N302" s="63" t="s">
        <v>46</v>
      </c>
      <c r="O302" s="35">
        <f t="shared" si="144"/>
        <v>0.83451417004048578</v>
      </c>
      <c r="P302" s="35">
        <f t="shared" si="145"/>
        <v>0.85736568457538997</v>
      </c>
      <c r="Q302" s="35">
        <f t="shared" si="146"/>
        <v>0.97334682860998656</v>
      </c>
      <c r="R302" s="20">
        <v>5928</v>
      </c>
      <c r="S302" s="27">
        <f t="shared" si="171"/>
        <v>158</v>
      </c>
      <c r="T302" s="20">
        <v>5770</v>
      </c>
      <c r="U302" s="20">
        <v>4947</v>
      </c>
      <c r="V302" s="20">
        <f t="shared" si="172"/>
        <v>823</v>
      </c>
      <c r="W302" s="20"/>
      <c r="X302" s="5"/>
      <c r="Y302" s="62">
        <v>2017</v>
      </c>
      <c r="Z302" s="63" t="s">
        <v>46</v>
      </c>
      <c r="AA302" s="35">
        <f t="shared" si="147"/>
        <v>0.77189409368635442</v>
      </c>
      <c r="AB302" s="35">
        <f t="shared" si="148"/>
        <v>0.80638297872340425</v>
      </c>
      <c r="AC302" s="35">
        <f t="shared" si="149"/>
        <v>0.95723014256619143</v>
      </c>
      <c r="AD302" s="20">
        <v>982</v>
      </c>
      <c r="AE302" s="27">
        <f t="shared" si="173"/>
        <v>42</v>
      </c>
      <c r="AF302" s="20">
        <v>940</v>
      </c>
      <c r="AG302" s="20">
        <v>758</v>
      </c>
      <c r="AH302" s="20">
        <f t="shared" si="174"/>
        <v>182</v>
      </c>
      <c r="AI302" s="20"/>
      <c r="AJ302" s="5"/>
      <c r="AK302" s="62">
        <v>2017</v>
      </c>
      <c r="AL302" s="63" t="s">
        <v>46</v>
      </c>
      <c r="AM302" s="35">
        <f t="shared" si="150"/>
        <v>0.5714285714285714</v>
      </c>
      <c r="AN302" s="35">
        <f t="shared" si="151"/>
        <v>0.59259259259259256</v>
      </c>
      <c r="AO302" s="35">
        <f t="shared" si="152"/>
        <v>0.9642857142857143</v>
      </c>
      <c r="AP302" s="20">
        <v>868</v>
      </c>
      <c r="AQ302" s="27">
        <f t="shared" si="175"/>
        <v>31</v>
      </c>
      <c r="AR302" s="20">
        <v>837</v>
      </c>
      <c r="AS302" s="20">
        <v>496</v>
      </c>
      <c r="AT302" s="20">
        <f t="shared" si="176"/>
        <v>341</v>
      </c>
      <c r="AU302" s="29"/>
    </row>
    <row r="303" spans="1:47" s="3" customFormat="1" ht="12.75">
      <c r="A303" s="64">
        <v>2017</v>
      </c>
      <c r="B303" s="65" t="s">
        <v>47</v>
      </c>
      <c r="C303" s="35">
        <f t="shared" si="153"/>
        <v>0.78889311525294792</v>
      </c>
      <c r="D303" s="35">
        <f t="shared" si="154"/>
        <v>0.8153584064998034</v>
      </c>
      <c r="E303" s="35">
        <f t="shared" si="155"/>
        <v>0.96754152402687965</v>
      </c>
      <c r="F303" s="27">
        <f t="shared" si="177"/>
        <v>7887</v>
      </c>
      <c r="G303" s="20">
        <f t="shared" si="142"/>
        <v>256</v>
      </c>
      <c r="H303" s="27">
        <f t="shared" si="178"/>
        <v>7631</v>
      </c>
      <c r="I303" s="27">
        <f t="shared" si="179"/>
        <v>6222</v>
      </c>
      <c r="J303" s="20">
        <f t="shared" si="143"/>
        <v>1409</v>
      </c>
      <c r="K303" s="27"/>
      <c r="L303" s="4"/>
      <c r="M303" s="64">
        <v>2017</v>
      </c>
      <c r="N303" s="65" t="s">
        <v>47</v>
      </c>
      <c r="O303" s="35">
        <f t="shared" si="144"/>
        <v>0.85168501835168497</v>
      </c>
      <c r="P303" s="35">
        <f t="shared" si="145"/>
        <v>0.87145783543871624</v>
      </c>
      <c r="Q303" s="35">
        <f t="shared" si="146"/>
        <v>0.9773106439773106</v>
      </c>
      <c r="R303" s="20">
        <v>5994</v>
      </c>
      <c r="S303" s="27">
        <f t="shared" si="171"/>
        <v>136</v>
      </c>
      <c r="T303" s="20">
        <v>5858</v>
      </c>
      <c r="U303" s="20">
        <v>5105</v>
      </c>
      <c r="V303" s="20">
        <f t="shared" si="172"/>
        <v>753</v>
      </c>
      <c r="W303" s="20"/>
      <c r="X303" s="5"/>
      <c r="Y303" s="64">
        <v>2017</v>
      </c>
      <c r="Z303" s="65" t="s">
        <v>47</v>
      </c>
      <c r="AA303" s="35">
        <f t="shared" si="147"/>
        <v>0.71810089020771517</v>
      </c>
      <c r="AB303" s="35">
        <f t="shared" si="148"/>
        <v>0.77481323372465316</v>
      </c>
      <c r="AC303" s="35">
        <f t="shared" si="149"/>
        <v>0.92680514342235409</v>
      </c>
      <c r="AD303" s="20">
        <v>1011</v>
      </c>
      <c r="AE303" s="27">
        <f t="shared" si="173"/>
        <v>74</v>
      </c>
      <c r="AF303" s="20">
        <v>937</v>
      </c>
      <c r="AG303" s="20">
        <v>726</v>
      </c>
      <c r="AH303" s="20">
        <f t="shared" si="174"/>
        <v>211</v>
      </c>
      <c r="AI303" s="20"/>
      <c r="AJ303" s="5"/>
      <c r="AK303" s="64">
        <v>2017</v>
      </c>
      <c r="AL303" s="65" t="s">
        <v>47</v>
      </c>
      <c r="AM303" s="35">
        <f t="shared" si="150"/>
        <v>0.44331065759637189</v>
      </c>
      <c r="AN303" s="35">
        <f t="shared" si="151"/>
        <v>0.46770334928229668</v>
      </c>
      <c r="AO303" s="35">
        <f t="shared" si="152"/>
        <v>0.94784580498866211</v>
      </c>
      <c r="AP303" s="20">
        <v>882</v>
      </c>
      <c r="AQ303" s="27">
        <f t="shared" si="175"/>
        <v>46</v>
      </c>
      <c r="AR303" s="20">
        <v>836</v>
      </c>
      <c r="AS303" s="20">
        <v>391</v>
      </c>
      <c r="AT303" s="20">
        <f t="shared" si="176"/>
        <v>445</v>
      </c>
      <c r="AU303" s="29"/>
    </row>
    <row r="304" spans="1:47" s="3" customFormat="1" ht="12.75">
      <c r="A304" s="62">
        <v>2017</v>
      </c>
      <c r="B304" s="63" t="s">
        <v>48</v>
      </c>
      <c r="C304" s="35">
        <f t="shared" si="153"/>
        <v>0.75932977913175936</v>
      </c>
      <c r="D304" s="35">
        <f t="shared" si="154"/>
        <v>0.78257456828885397</v>
      </c>
      <c r="E304" s="35">
        <f t="shared" si="155"/>
        <v>0.97029702970297027</v>
      </c>
      <c r="F304" s="27">
        <f t="shared" si="177"/>
        <v>7878</v>
      </c>
      <c r="G304" s="20">
        <f t="shared" si="142"/>
        <v>234</v>
      </c>
      <c r="H304" s="27">
        <f t="shared" si="178"/>
        <v>7644</v>
      </c>
      <c r="I304" s="27">
        <f t="shared" si="179"/>
        <v>5982</v>
      </c>
      <c r="J304" s="20">
        <f t="shared" si="143"/>
        <v>1662</v>
      </c>
      <c r="K304" s="27"/>
      <c r="L304" s="4"/>
      <c r="M304" s="62">
        <v>2017</v>
      </c>
      <c r="N304" s="63" t="s">
        <v>48</v>
      </c>
      <c r="O304" s="35">
        <f t="shared" si="144"/>
        <v>0.79205049471170252</v>
      </c>
      <c r="P304" s="35">
        <f t="shared" si="145"/>
        <v>0.81327728148537393</v>
      </c>
      <c r="Q304" s="35">
        <f t="shared" si="146"/>
        <v>0.97389969293756395</v>
      </c>
      <c r="R304" s="20">
        <v>5862</v>
      </c>
      <c r="S304" s="27">
        <f t="shared" si="171"/>
        <v>153</v>
      </c>
      <c r="T304" s="20">
        <v>5709</v>
      </c>
      <c r="U304" s="20">
        <v>4643</v>
      </c>
      <c r="V304" s="20">
        <f t="shared" si="172"/>
        <v>1066</v>
      </c>
      <c r="W304" s="20"/>
      <c r="X304" s="5"/>
      <c r="Y304" s="62">
        <v>2017</v>
      </c>
      <c r="Z304" s="63" t="s">
        <v>48</v>
      </c>
      <c r="AA304" s="35">
        <f t="shared" si="147"/>
        <v>0.80363321799307963</v>
      </c>
      <c r="AB304" s="35">
        <f t="shared" si="148"/>
        <v>0.83468104222821204</v>
      </c>
      <c r="AC304" s="35">
        <f t="shared" si="149"/>
        <v>0.96280276816609001</v>
      </c>
      <c r="AD304" s="20">
        <v>1156</v>
      </c>
      <c r="AE304" s="27">
        <f t="shared" si="173"/>
        <v>43</v>
      </c>
      <c r="AF304" s="20">
        <v>1113</v>
      </c>
      <c r="AG304" s="20">
        <v>929</v>
      </c>
      <c r="AH304" s="20">
        <f t="shared" si="174"/>
        <v>184</v>
      </c>
      <c r="AI304" s="20"/>
      <c r="AJ304" s="5"/>
      <c r="AK304" s="62">
        <v>2017</v>
      </c>
      <c r="AL304" s="63" t="s">
        <v>48</v>
      </c>
      <c r="AM304" s="35">
        <f t="shared" si="150"/>
        <v>0.47674418604651164</v>
      </c>
      <c r="AN304" s="35">
        <f t="shared" si="151"/>
        <v>0.49878345498783455</v>
      </c>
      <c r="AO304" s="35">
        <f t="shared" si="152"/>
        <v>0.95581395348837206</v>
      </c>
      <c r="AP304" s="20">
        <v>860</v>
      </c>
      <c r="AQ304" s="27">
        <f t="shared" si="175"/>
        <v>38</v>
      </c>
      <c r="AR304" s="20">
        <v>822</v>
      </c>
      <c r="AS304" s="20">
        <v>410</v>
      </c>
      <c r="AT304" s="20">
        <f t="shared" si="176"/>
        <v>412</v>
      </c>
      <c r="AU304" s="29"/>
    </row>
    <row r="305" spans="1:47" s="3" customFormat="1" ht="12.75">
      <c r="A305" s="64">
        <v>2017</v>
      </c>
      <c r="B305" s="65" t="s">
        <v>49</v>
      </c>
      <c r="C305" s="35">
        <f t="shared" si="153"/>
        <v>0.70653907496012758</v>
      </c>
      <c r="D305" s="35">
        <f t="shared" si="154"/>
        <v>0.78169901688933707</v>
      </c>
      <c r="E305" s="35">
        <f t="shared" si="155"/>
        <v>0.90385053542948279</v>
      </c>
      <c r="F305" s="27">
        <f t="shared" si="177"/>
        <v>8778</v>
      </c>
      <c r="G305" s="20">
        <f t="shared" si="142"/>
        <v>844</v>
      </c>
      <c r="H305" s="27">
        <f t="shared" si="178"/>
        <v>7934</v>
      </c>
      <c r="I305" s="27">
        <f t="shared" si="179"/>
        <v>6202</v>
      </c>
      <c r="J305" s="20">
        <f t="shared" si="143"/>
        <v>1732</v>
      </c>
      <c r="K305" s="27"/>
      <c r="L305" s="10"/>
      <c r="M305" s="64">
        <v>2017</v>
      </c>
      <c r="N305" s="65" t="s">
        <v>49</v>
      </c>
      <c r="O305" s="35">
        <f t="shared" si="144"/>
        <v>0.73828125</v>
      </c>
      <c r="P305" s="35">
        <f t="shared" si="145"/>
        <v>0.80623461853978673</v>
      </c>
      <c r="Q305" s="35">
        <f t="shared" si="146"/>
        <v>0.91571514423076927</v>
      </c>
      <c r="R305" s="20">
        <v>6656</v>
      </c>
      <c r="S305" s="27">
        <f t="shared" si="171"/>
        <v>561</v>
      </c>
      <c r="T305" s="20">
        <v>6095</v>
      </c>
      <c r="U305" s="20">
        <v>4914</v>
      </c>
      <c r="V305" s="20">
        <f t="shared" si="172"/>
        <v>1181</v>
      </c>
      <c r="W305" s="20"/>
      <c r="X305" s="5"/>
      <c r="Y305" s="64">
        <v>2017</v>
      </c>
      <c r="Z305" s="65" t="s">
        <v>49</v>
      </c>
      <c r="AA305" s="35">
        <f t="shared" si="147"/>
        <v>0.58556891766882513</v>
      </c>
      <c r="AB305" s="35">
        <f t="shared" si="148"/>
        <v>0.67845659163987138</v>
      </c>
      <c r="AC305" s="35">
        <f t="shared" si="149"/>
        <v>0.86308973172987979</v>
      </c>
      <c r="AD305" s="20">
        <v>1081</v>
      </c>
      <c r="AE305" s="27">
        <f t="shared" si="173"/>
        <v>148</v>
      </c>
      <c r="AF305" s="20">
        <v>933</v>
      </c>
      <c r="AG305" s="20">
        <v>633</v>
      </c>
      <c r="AH305" s="20">
        <f t="shared" si="174"/>
        <v>300</v>
      </c>
      <c r="AI305" s="20"/>
      <c r="AJ305" s="5"/>
      <c r="AK305" s="64">
        <v>2017</v>
      </c>
      <c r="AL305" s="65" t="s">
        <v>49</v>
      </c>
      <c r="AM305" s="35">
        <f t="shared" si="150"/>
        <v>0.62920268972142168</v>
      </c>
      <c r="AN305" s="35">
        <f t="shared" si="151"/>
        <v>0.72295805739514352</v>
      </c>
      <c r="AO305" s="35">
        <f t="shared" si="152"/>
        <v>0.87031700288184433</v>
      </c>
      <c r="AP305" s="20">
        <v>1041</v>
      </c>
      <c r="AQ305" s="27">
        <f t="shared" si="175"/>
        <v>135</v>
      </c>
      <c r="AR305" s="20">
        <v>906</v>
      </c>
      <c r="AS305" s="20">
        <v>655</v>
      </c>
      <c r="AT305" s="20">
        <f t="shared" si="176"/>
        <v>251</v>
      </c>
      <c r="AU305" s="29"/>
    </row>
    <row r="306" spans="1:47" s="3" customFormat="1" ht="12.75">
      <c r="A306" s="62">
        <v>2018</v>
      </c>
      <c r="B306" s="63" t="s">
        <v>38</v>
      </c>
      <c r="C306" s="35">
        <f t="shared" si="153"/>
        <v>0.83204275275384443</v>
      </c>
      <c r="D306" s="35">
        <f t="shared" si="154"/>
        <v>0.8824754193175246</v>
      </c>
      <c r="E306" s="35">
        <f t="shared" si="155"/>
        <v>0.94285091067728211</v>
      </c>
      <c r="F306" s="27">
        <f t="shared" si="177"/>
        <v>9169</v>
      </c>
      <c r="G306" s="20">
        <f t="shared" si="142"/>
        <v>524</v>
      </c>
      <c r="H306" s="27">
        <f t="shared" si="178"/>
        <v>8645</v>
      </c>
      <c r="I306" s="27">
        <f t="shared" si="179"/>
        <v>7629</v>
      </c>
      <c r="J306" s="20">
        <f t="shared" si="143"/>
        <v>1016</v>
      </c>
      <c r="K306" s="27"/>
      <c r="L306" s="4"/>
      <c r="M306" s="62">
        <v>2018</v>
      </c>
      <c r="N306" s="63" t="s">
        <v>38</v>
      </c>
      <c r="O306" s="35">
        <f t="shared" si="144"/>
        <v>0.86965842503930257</v>
      </c>
      <c r="P306" s="35">
        <f t="shared" si="145"/>
        <v>0.91229385307346322</v>
      </c>
      <c r="Q306" s="35">
        <f t="shared" si="146"/>
        <v>0.95326568529369726</v>
      </c>
      <c r="R306" s="20">
        <v>6997</v>
      </c>
      <c r="S306" s="27">
        <f t="shared" ref="S306:S317" si="180">R306-T306</f>
        <v>327</v>
      </c>
      <c r="T306" s="20">
        <v>6670</v>
      </c>
      <c r="U306" s="20">
        <v>6085</v>
      </c>
      <c r="V306" s="20">
        <f t="shared" ref="V306:V317" si="181">T306-U306</f>
        <v>585</v>
      </c>
      <c r="W306" s="20"/>
      <c r="X306" s="5"/>
      <c r="Y306" s="62">
        <v>2018</v>
      </c>
      <c r="Z306" s="63" t="s">
        <v>38</v>
      </c>
      <c r="AA306" s="35">
        <f t="shared" si="147"/>
        <v>0.67609489051094895</v>
      </c>
      <c r="AB306" s="35">
        <f t="shared" si="148"/>
        <v>0.74174174174174179</v>
      </c>
      <c r="AC306" s="35">
        <f t="shared" si="149"/>
        <v>0.91149635036496346</v>
      </c>
      <c r="AD306" s="20">
        <v>1096</v>
      </c>
      <c r="AE306" s="27">
        <f t="shared" ref="AE306:AE317" si="182">AD306-AF306</f>
        <v>97</v>
      </c>
      <c r="AF306" s="20">
        <v>999</v>
      </c>
      <c r="AG306" s="20">
        <v>741</v>
      </c>
      <c r="AH306" s="20">
        <f t="shared" ref="AH306:AH317" si="183">AF306-AG306</f>
        <v>258</v>
      </c>
      <c r="AI306" s="20"/>
      <c r="AJ306" s="5"/>
      <c r="AK306" s="62">
        <v>2018</v>
      </c>
      <c r="AL306" s="63" t="s">
        <v>38</v>
      </c>
      <c r="AM306" s="35">
        <f t="shared" si="150"/>
        <v>0.74628252788104088</v>
      </c>
      <c r="AN306" s="35">
        <f t="shared" si="151"/>
        <v>0.82274590163934425</v>
      </c>
      <c r="AO306" s="35">
        <f t="shared" si="152"/>
        <v>0.90706319702602234</v>
      </c>
      <c r="AP306" s="20">
        <v>1076</v>
      </c>
      <c r="AQ306" s="27">
        <f t="shared" ref="AQ306:AQ317" si="184">AP306-AR306</f>
        <v>100</v>
      </c>
      <c r="AR306" s="20">
        <v>976</v>
      </c>
      <c r="AS306" s="20">
        <v>803</v>
      </c>
      <c r="AT306" s="20">
        <f t="shared" ref="AT306:AT317" si="185">AR306-AS306</f>
        <v>173</v>
      </c>
      <c r="AU306" s="29"/>
    </row>
    <row r="307" spans="1:47" s="3" customFormat="1" ht="12.75">
      <c r="A307" s="64">
        <v>2018</v>
      </c>
      <c r="B307" s="65" t="s">
        <v>39</v>
      </c>
      <c r="C307" s="35">
        <f t="shared" si="153"/>
        <v>0.80918114143920594</v>
      </c>
      <c r="D307" s="35">
        <f t="shared" si="154"/>
        <v>0.86948406879082785</v>
      </c>
      <c r="E307" s="35">
        <f t="shared" si="155"/>
        <v>0.9306451612903226</v>
      </c>
      <c r="F307" s="27">
        <f t="shared" si="177"/>
        <v>8060</v>
      </c>
      <c r="G307" s="20">
        <f t="shared" si="142"/>
        <v>559</v>
      </c>
      <c r="H307" s="27">
        <f t="shared" si="178"/>
        <v>7501</v>
      </c>
      <c r="I307" s="27">
        <f t="shared" si="179"/>
        <v>6522</v>
      </c>
      <c r="J307" s="20">
        <f t="shared" si="143"/>
        <v>979</v>
      </c>
      <c r="K307" s="27"/>
      <c r="L307" s="4"/>
      <c r="M307" s="64">
        <v>2018</v>
      </c>
      <c r="N307" s="65" t="s">
        <v>39</v>
      </c>
      <c r="O307" s="35">
        <f t="shared" si="144"/>
        <v>0.8485938521909745</v>
      </c>
      <c r="P307" s="35">
        <f t="shared" si="145"/>
        <v>0.90292275574112735</v>
      </c>
      <c r="Q307" s="35">
        <f t="shared" si="146"/>
        <v>0.9398299542184434</v>
      </c>
      <c r="R307" s="20">
        <v>6116</v>
      </c>
      <c r="S307" s="27">
        <f t="shared" si="180"/>
        <v>368</v>
      </c>
      <c r="T307" s="20">
        <v>5748</v>
      </c>
      <c r="U307" s="20">
        <v>5190</v>
      </c>
      <c r="V307" s="20">
        <f t="shared" si="181"/>
        <v>558</v>
      </c>
      <c r="W307" s="20"/>
      <c r="X307" s="5"/>
      <c r="Y307" s="64">
        <v>2018</v>
      </c>
      <c r="Z307" s="65" t="s">
        <v>39</v>
      </c>
      <c r="AA307" s="35">
        <f t="shared" si="147"/>
        <v>0.64939024390243905</v>
      </c>
      <c r="AB307" s="35">
        <f t="shared" si="148"/>
        <v>0.73448275862068968</v>
      </c>
      <c r="AC307" s="35">
        <f t="shared" si="149"/>
        <v>0.88414634146341464</v>
      </c>
      <c r="AD307" s="20">
        <v>984</v>
      </c>
      <c r="AE307" s="27">
        <f t="shared" si="182"/>
        <v>114</v>
      </c>
      <c r="AF307" s="20">
        <v>870</v>
      </c>
      <c r="AG307" s="20">
        <v>639</v>
      </c>
      <c r="AH307" s="20">
        <f t="shared" si="183"/>
        <v>231</v>
      </c>
      <c r="AI307" s="20"/>
      <c r="AJ307" s="5"/>
      <c r="AK307" s="64">
        <v>2018</v>
      </c>
      <c r="AL307" s="65" t="s">
        <v>39</v>
      </c>
      <c r="AM307" s="35">
        <f t="shared" si="150"/>
        <v>0.72187500000000004</v>
      </c>
      <c r="AN307" s="35">
        <f t="shared" si="151"/>
        <v>0.78482446206115519</v>
      </c>
      <c r="AO307" s="35">
        <f t="shared" si="152"/>
        <v>0.91979166666666667</v>
      </c>
      <c r="AP307" s="20">
        <v>960</v>
      </c>
      <c r="AQ307" s="27">
        <f t="shared" si="184"/>
        <v>77</v>
      </c>
      <c r="AR307" s="20">
        <v>883</v>
      </c>
      <c r="AS307" s="20">
        <v>693</v>
      </c>
      <c r="AT307" s="20">
        <f t="shared" si="185"/>
        <v>190</v>
      </c>
      <c r="AU307" s="29"/>
    </row>
    <row r="308" spans="1:47" s="3" customFormat="1" ht="12.75">
      <c r="A308" s="62">
        <v>2018</v>
      </c>
      <c r="B308" s="63" t="s">
        <v>40</v>
      </c>
      <c r="C308" s="35">
        <f t="shared" si="153"/>
        <v>0.85766707439119316</v>
      </c>
      <c r="D308" s="35">
        <f t="shared" si="154"/>
        <v>0.88502581755593801</v>
      </c>
      <c r="E308" s="35">
        <f t="shared" si="155"/>
        <v>0.96908706771933728</v>
      </c>
      <c r="F308" s="27">
        <f t="shared" si="177"/>
        <v>8993</v>
      </c>
      <c r="G308" s="20">
        <f t="shared" si="142"/>
        <v>278</v>
      </c>
      <c r="H308" s="27">
        <f t="shared" si="178"/>
        <v>8715</v>
      </c>
      <c r="I308" s="27">
        <f t="shared" si="179"/>
        <v>7713</v>
      </c>
      <c r="J308" s="20">
        <f t="shared" si="143"/>
        <v>1002</v>
      </c>
      <c r="K308" s="27"/>
      <c r="L308" s="4"/>
      <c r="M308" s="62">
        <v>2018</v>
      </c>
      <c r="N308" s="63" t="s">
        <v>40</v>
      </c>
      <c r="O308" s="35">
        <f t="shared" si="144"/>
        <v>0.89477535489536075</v>
      </c>
      <c r="P308" s="35">
        <f t="shared" si="145"/>
        <v>0.92022877784467183</v>
      </c>
      <c r="Q308" s="35">
        <f t="shared" si="146"/>
        <v>0.9723401141519098</v>
      </c>
      <c r="R308" s="20">
        <v>6833</v>
      </c>
      <c r="S308" s="27">
        <f t="shared" si="180"/>
        <v>189</v>
      </c>
      <c r="T308" s="20">
        <v>6644</v>
      </c>
      <c r="U308" s="20">
        <v>6114</v>
      </c>
      <c r="V308" s="20">
        <f t="shared" si="181"/>
        <v>530</v>
      </c>
      <c r="W308" s="20"/>
      <c r="X308" s="5"/>
      <c r="Y308" s="62">
        <v>2018</v>
      </c>
      <c r="Z308" s="63" t="s">
        <v>40</v>
      </c>
      <c r="AA308" s="35">
        <f t="shared" si="147"/>
        <v>0.73076923076923073</v>
      </c>
      <c r="AB308" s="35">
        <f t="shared" si="148"/>
        <v>0.77853658536585368</v>
      </c>
      <c r="AC308" s="35">
        <f t="shared" si="149"/>
        <v>0.93864468864468864</v>
      </c>
      <c r="AD308" s="20">
        <v>1092</v>
      </c>
      <c r="AE308" s="27">
        <f t="shared" si="182"/>
        <v>67</v>
      </c>
      <c r="AF308" s="20">
        <v>1025</v>
      </c>
      <c r="AG308" s="20">
        <v>798</v>
      </c>
      <c r="AH308" s="20">
        <f t="shared" si="183"/>
        <v>227</v>
      </c>
      <c r="AI308" s="20"/>
      <c r="AJ308" s="5"/>
      <c r="AK308" s="62">
        <v>2018</v>
      </c>
      <c r="AL308" s="63" t="s">
        <v>40</v>
      </c>
      <c r="AM308" s="35">
        <f t="shared" si="150"/>
        <v>0.75</v>
      </c>
      <c r="AN308" s="35">
        <f t="shared" si="151"/>
        <v>0.76577437858508601</v>
      </c>
      <c r="AO308" s="35">
        <f t="shared" si="152"/>
        <v>0.97940074906367036</v>
      </c>
      <c r="AP308" s="20">
        <v>1068</v>
      </c>
      <c r="AQ308" s="27">
        <f t="shared" si="184"/>
        <v>22</v>
      </c>
      <c r="AR308" s="20">
        <v>1046</v>
      </c>
      <c r="AS308" s="20">
        <v>801</v>
      </c>
      <c r="AT308" s="20">
        <f t="shared" si="185"/>
        <v>245</v>
      </c>
      <c r="AU308" s="29"/>
    </row>
    <row r="309" spans="1:47" s="3" customFormat="1" ht="12.75">
      <c r="A309" s="64">
        <v>2018</v>
      </c>
      <c r="B309" s="65" t="s">
        <v>41</v>
      </c>
      <c r="C309" s="35">
        <f t="shared" si="153"/>
        <v>0.86189586738267565</v>
      </c>
      <c r="D309" s="35">
        <f t="shared" si="154"/>
        <v>0.89948830409356728</v>
      </c>
      <c r="E309" s="35">
        <f t="shared" si="155"/>
        <v>0.95820686434742008</v>
      </c>
      <c r="F309" s="27">
        <f t="shared" si="177"/>
        <v>8566</v>
      </c>
      <c r="G309" s="20">
        <f t="shared" si="142"/>
        <v>358</v>
      </c>
      <c r="H309" s="27">
        <f t="shared" si="178"/>
        <v>8208</v>
      </c>
      <c r="I309" s="27">
        <f t="shared" si="179"/>
        <v>7383</v>
      </c>
      <c r="J309" s="20">
        <f t="shared" si="143"/>
        <v>825</v>
      </c>
      <c r="K309" s="27"/>
      <c r="L309" s="4"/>
      <c r="M309" s="64">
        <v>2018</v>
      </c>
      <c r="N309" s="65" t="s">
        <v>41</v>
      </c>
      <c r="O309" s="35">
        <f t="shared" si="144"/>
        <v>0.89568567026194146</v>
      </c>
      <c r="P309" s="35">
        <f t="shared" si="145"/>
        <v>0.93216805644644007</v>
      </c>
      <c r="Q309" s="35">
        <f t="shared" si="146"/>
        <v>0.96086286594761172</v>
      </c>
      <c r="R309" s="20">
        <v>6490</v>
      </c>
      <c r="S309" s="27">
        <f t="shared" si="180"/>
        <v>254</v>
      </c>
      <c r="T309" s="20">
        <v>6236</v>
      </c>
      <c r="U309" s="20">
        <v>5813</v>
      </c>
      <c r="V309" s="20">
        <f t="shared" si="181"/>
        <v>423</v>
      </c>
      <c r="W309" s="20"/>
      <c r="X309" s="5"/>
      <c r="Y309" s="64">
        <v>2018</v>
      </c>
      <c r="Z309" s="65" t="s">
        <v>41</v>
      </c>
      <c r="AA309" s="35">
        <f t="shared" si="147"/>
        <v>0.74049429657794674</v>
      </c>
      <c r="AB309" s="35">
        <f t="shared" si="148"/>
        <v>0.79489795918367345</v>
      </c>
      <c r="AC309" s="35">
        <f t="shared" si="149"/>
        <v>0.9315589353612167</v>
      </c>
      <c r="AD309" s="20">
        <v>1052</v>
      </c>
      <c r="AE309" s="27">
        <f t="shared" si="182"/>
        <v>72</v>
      </c>
      <c r="AF309" s="20">
        <v>980</v>
      </c>
      <c r="AG309" s="20">
        <v>779</v>
      </c>
      <c r="AH309" s="20">
        <f t="shared" si="183"/>
        <v>201</v>
      </c>
      <c r="AI309" s="20"/>
      <c r="AJ309" s="5"/>
      <c r="AK309" s="64">
        <v>2018</v>
      </c>
      <c r="AL309" s="65" t="s">
        <v>41</v>
      </c>
      <c r="AM309" s="35">
        <f t="shared" si="150"/>
        <v>0.7724609375</v>
      </c>
      <c r="AN309" s="35">
        <f t="shared" si="151"/>
        <v>0.7973790322580645</v>
      </c>
      <c r="AO309" s="35">
        <f t="shared" si="152"/>
        <v>0.96875</v>
      </c>
      <c r="AP309" s="20">
        <v>1024</v>
      </c>
      <c r="AQ309" s="27">
        <f t="shared" si="184"/>
        <v>32</v>
      </c>
      <c r="AR309" s="20">
        <v>992</v>
      </c>
      <c r="AS309" s="20">
        <v>791</v>
      </c>
      <c r="AT309" s="20">
        <f t="shared" si="185"/>
        <v>201</v>
      </c>
      <c r="AU309" s="29"/>
    </row>
    <row r="310" spans="1:47" s="3" customFormat="1" ht="12.75">
      <c r="A310" s="62">
        <v>2018</v>
      </c>
      <c r="B310" s="63" t="s">
        <v>42</v>
      </c>
      <c r="C310" s="35">
        <f t="shared" si="153"/>
        <v>0.86576586554435708</v>
      </c>
      <c r="D310" s="35">
        <f t="shared" si="154"/>
        <v>0.88688450192874968</v>
      </c>
      <c r="E310" s="35">
        <f t="shared" si="155"/>
        <v>0.97618783918484886</v>
      </c>
      <c r="F310" s="27">
        <f t="shared" si="177"/>
        <v>9029</v>
      </c>
      <c r="G310" s="20">
        <f t="shared" si="142"/>
        <v>215</v>
      </c>
      <c r="H310" s="27">
        <f t="shared" si="178"/>
        <v>8814</v>
      </c>
      <c r="I310" s="27">
        <f t="shared" si="179"/>
        <v>7817</v>
      </c>
      <c r="J310" s="20">
        <f t="shared" si="143"/>
        <v>997</v>
      </c>
      <c r="K310" s="27"/>
      <c r="L310" s="4"/>
      <c r="M310" s="62">
        <v>2018</v>
      </c>
      <c r="N310" s="63" t="s">
        <v>42</v>
      </c>
      <c r="O310" s="35">
        <f t="shared" si="144"/>
        <v>0.91847430484786718</v>
      </c>
      <c r="P310" s="35">
        <f t="shared" si="145"/>
        <v>0.93328402366863905</v>
      </c>
      <c r="Q310" s="35">
        <f t="shared" si="146"/>
        <v>0.98413160576503134</v>
      </c>
      <c r="R310" s="20">
        <v>6869</v>
      </c>
      <c r="S310" s="27">
        <f t="shared" si="180"/>
        <v>109</v>
      </c>
      <c r="T310" s="20">
        <v>6760</v>
      </c>
      <c r="U310" s="20">
        <v>6309</v>
      </c>
      <c r="V310" s="20">
        <f t="shared" si="181"/>
        <v>451</v>
      </c>
      <c r="W310" s="20"/>
      <c r="X310" s="5"/>
      <c r="Y310" s="62">
        <v>2018</v>
      </c>
      <c r="Z310" s="63" t="s">
        <v>42</v>
      </c>
      <c r="AA310" s="35">
        <f t="shared" si="147"/>
        <v>0.77289377289377292</v>
      </c>
      <c r="AB310" s="35">
        <f t="shared" si="148"/>
        <v>0.80611270296084048</v>
      </c>
      <c r="AC310" s="35">
        <f t="shared" si="149"/>
        <v>0.95879120879120883</v>
      </c>
      <c r="AD310" s="20">
        <v>1092</v>
      </c>
      <c r="AE310" s="27">
        <f t="shared" si="182"/>
        <v>45</v>
      </c>
      <c r="AF310" s="20">
        <v>1047</v>
      </c>
      <c r="AG310" s="20">
        <v>844</v>
      </c>
      <c r="AH310" s="20">
        <f t="shared" si="183"/>
        <v>203</v>
      </c>
      <c r="AI310" s="20"/>
      <c r="AJ310" s="5"/>
      <c r="AK310" s="62">
        <v>2018</v>
      </c>
      <c r="AL310" s="63" t="s">
        <v>42</v>
      </c>
      <c r="AM310" s="35">
        <f t="shared" si="150"/>
        <v>0.62172284644194753</v>
      </c>
      <c r="AN310" s="35">
        <f t="shared" si="151"/>
        <v>0.65938430983118168</v>
      </c>
      <c r="AO310" s="35">
        <f t="shared" si="152"/>
        <v>0.94288389513108617</v>
      </c>
      <c r="AP310" s="20">
        <v>1068</v>
      </c>
      <c r="AQ310" s="27">
        <f t="shared" si="184"/>
        <v>61</v>
      </c>
      <c r="AR310" s="20">
        <v>1007</v>
      </c>
      <c r="AS310" s="20">
        <v>664</v>
      </c>
      <c r="AT310" s="20">
        <f t="shared" si="185"/>
        <v>343</v>
      </c>
      <c r="AU310" s="29"/>
    </row>
    <row r="311" spans="1:47" s="3" customFormat="1" ht="12.75">
      <c r="A311" s="64">
        <v>2018</v>
      </c>
      <c r="B311" s="65" t="s">
        <v>43</v>
      </c>
      <c r="C311" s="35">
        <f t="shared" si="153"/>
        <v>0.81691259931895577</v>
      </c>
      <c r="D311" s="35">
        <f t="shared" si="154"/>
        <v>0.87109658678286128</v>
      </c>
      <c r="E311" s="35">
        <f t="shared" si="155"/>
        <v>0.93779795686719636</v>
      </c>
      <c r="F311" s="27">
        <f t="shared" si="177"/>
        <v>8810</v>
      </c>
      <c r="G311" s="20">
        <f t="shared" si="142"/>
        <v>548</v>
      </c>
      <c r="H311" s="27">
        <f t="shared" si="178"/>
        <v>8262</v>
      </c>
      <c r="I311" s="27">
        <f t="shared" si="179"/>
        <v>7197</v>
      </c>
      <c r="J311" s="20">
        <f t="shared" si="143"/>
        <v>1065</v>
      </c>
      <c r="K311" s="27"/>
      <c r="L311" s="4"/>
      <c r="M311" s="64">
        <v>2018</v>
      </c>
      <c r="N311" s="65" t="s">
        <v>43</v>
      </c>
      <c r="O311" s="35">
        <f t="shared" si="144"/>
        <v>0.85737704918032787</v>
      </c>
      <c r="P311" s="35">
        <f t="shared" si="145"/>
        <v>0.91071711255342724</v>
      </c>
      <c r="Q311" s="35">
        <f t="shared" si="146"/>
        <v>0.94143070044709387</v>
      </c>
      <c r="R311" s="20">
        <v>6710</v>
      </c>
      <c r="S311" s="27">
        <f t="shared" si="180"/>
        <v>393</v>
      </c>
      <c r="T311" s="20">
        <v>6317</v>
      </c>
      <c r="U311" s="20">
        <v>5753</v>
      </c>
      <c r="V311" s="20">
        <f t="shared" si="181"/>
        <v>564</v>
      </c>
      <c r="W311" s="20"/>
      <c r="X311" s="5"/>
      <c r="Y311" s="64">
        <v>2018</v>
      </c>
      <c r="Z311" s="65" t="s">
        <v>43</v>
      </c>
      <c r="AA311" s="35">
        <f t="shared" si="147"/>
        <v>0.7584905660377359</v>
      </c>
      <c r="AB311" s="35">
        <f t="shared" si="148"/>
        <v>0.81458966565349544</v>
      </c>
      <c r="AC311" s="35">
        <f t="shared" si="149"/>
        <v>0.93113207547169807</v>
      </c>
      <c r="AD311" s="20">
        <v>1060</v>
      </c>
      <c r="AE311" s="27">
        <f t="shared" si="182"/>
        <v>73</v>
      </c>
      <c r="AF311" s="20">
        <v>987</v>
      </c>
      <c r="AG311" s="20">
        <v>804</v>
      </c>
      <c r="AH311" s="20">
        <f t="shared" si="183"/>
        <v>183</v>
      </c>
      <c r="AI311" s="20"/>
      <c r="AJ311" s="5"/>
      <c r="AK311" s="64">
        <v>2018</v>
      </c>
      <c r="AL311" s="65" t="s">
        <v>43</v>
      </c>
      <c r="AM311" s="35">
        <f t="shared" si="150"/>
        <v>0.61538461538461542</v>
      </c>
      <c r="AN311" s="35">
        <f t="shared" si="151"/>
        <v>0.66805845511482254</v>
      </c>
      <c r="AO311" s="35">
        <f t="shared" si="152"/>
        <v>0.9211538461538461</v>
      </c>
      <c r="AP311" s="20">
        <v>1040</v>
      </c>
      <c r="AQ311" s="27">
        <f t="shared" si="184"/>
        <v>82</v>
      </c>
      <c r="AR311" s="20">
        <v>958</v>
      </c>
      <c r="AS311" s="20">
        <v>640</v>
      </c>
      <c r="AT311" s="20">
        <f t="shared" si="185"/>
        <v>318</v>
      </c>
      <c r="AU311" s="29"/>
    </row>
    <row r="312" spans="1:47" s="3" customFormat="1" ht="12.75">
      <c r="A312" s="62">
        <v>2018</v>
      </c>
      <c r="B312" s="63" t="s">
        <v>44</v>
      </c>
      <c r="C312" s="35">
        <f t="shared" si="153"/>
        <v>0.87086056041643589</v>
      </c>
      <c r="D312" s="35">
        <f t="shared" si="154"/>
        <v>0.89504837791690384</v>
      </c>
      <c r="E312" s="35">
        <f t="shared" si="155"/>
        <v>0.97297596633071215</v>
      </c>
      <c r="F312" s="27">
        <f t="shared" si="177"/>
        <v>9029</v>
      </c>
      <c r="G312" s="20">
        <f t="shared" si="142"/>
        <v>244</v>
      </c>
      <c r="H312" s="27">
        <f t="shared" si="178"/>
        <v>8785</v>
      </c>
      <c r="I312" s="27">
        <f t="shared" si="179"/>
        <v>7863</v>
      </c>
      <c r="J312" s="20">
        <f t="shared" si="143"/>
        <v>922</v>
      </c>
      <c r="K312" s="27"/>
      <c r="L312" s="4"/>
      <c r="M312" s="62">
        <v>2018</v>
      </c>
      <c r="N312" s="63" t="s">
        <v>44</v>
      </c>
      <c r="O312" s="35">
        <f t="shared" si="144"/>
        <v>0.92269617120395986</v>
      </c>
      <c r="P312" s="35">
        <f t="shared" si="145"/>
        <v>0.9361890694239291</v>
      </c>
      <c r="Q312" s="35">
        <f t="shared" si="146"/>
        <v>0.98558742174989078</v>
      </c>
      <c r="R312" s="20">
        <v>6869</v>
      </c>
      <c r="S312" s="27">
        <f t="shared" si="180"/>
        <v>99</v>
      </c>
      <c r="T312" s="20">
        <v>6770</v>
      </c>
      <c r="U312" s="20">
        <v>6338</v>
      </c>
      <c r="V312" s="20">
        <f t="shared" si="181"/>
        <v>432</v>
      </c>
      <c r="W312" s="20"/>
      <c r="X312" s="5"/>
      <c r="Y312" s="62">
        <v>2018</v>
      </c>
      <c r="Z312" s="63" t="s">
        <v>44</v>
      </c>
      <c r="AA312" s="35">
        <f t="shared" si="147"/>
        <v>0.7216117216117216</v>
      </c>
      <c r="AB312" s="35">
        <f t="shared" si="148"/>
        <v>0.77406679764243613</v>
      </c>
      <c r="AC312" s="35">
        <f t="shared" si="149"/>
        <v>0.93223443223443225</v>
      </c>
      <c r="AD312" s="20">
        <v>1092</v>
      </c>
      <c r="AE312" s="27">
        <f t="shared" si="182"/>
        <v>74</v>
      </c>
      <c r="AF312" s="20">
        <v>1018</v>
      </c>
      <c r="AG312" s="20">
        <v>788</v>
      </c>
      <c r="AH312" s="20">
        <f t="shared" si="183"/>
        <v>230</v>
      </c>
      <c r="AI312" s="20"/>
      <c r="AJ312" s="5"/>
      <c r="AK312" s="62">
        <v>2018</v>
      </c>
      <c r="AL312" s="63" t="s">
        <v>44</v>
      </c>
      <c r="AM312" s="35">
        <f t="shared" si="150"/>
        <v>0.69007490636704116</v>
      </c>
      <c r="AN312" s="35">
        <f t="shared" si="151"/>
        <v>0.73921765295887665</v>
      </c>
      <c r="AO312" s="35">
        <f t="shared" si="152"/>
        <v>0.93352059925093633</v>
      </c>
      <c r="AP312" s="20">
        <v>1068</v>
      </c>
      <c r="AQ312" s="27">
        <f t="shared" si="184"/>
        <v>71</v>
      </c>
      <c r="AR312" s="20">
        <v>997</v>
      </c>
      <c r="AS312" s="20">
        <v>737</v>
      </c>
      <c r="AT312" s="20">
        <f t="shared" si="185"/>
        <v>260</v>
      </c>
      <c r="AU312" s="29"/>
    </row>
    <row r="313" spans="1:47" s="3" customFormat="1" ht="12.75">
      <c r="A313" s="64">
        <v>2018</v>
      </c>
      <c r="B313" s="65" t="s">
        <v>45</v>
      </c>
      <c r="C313" s="35">
        <f t="shared" si="153"/>
        <v>0.8597447922347039</v>
      </c>
      <c r="D313" s="35">
        <f t="shared" si="154"/>
        <v>0.87960276723945552</v>
      </c>
      <c r="E313" s="35">
        <f t="shared" si="155"/>
        <v>0.97742392845457515</v>
      </c>
      <c r="F313" s="27">
        <f t="shared" si="177"/>
        <v>9169</v>
      </c>
      <c r="G313" s="20">
        <f t="shared" si="142"/>
        <v>207</v>
      </c>
      <c r="H313" s="27">
        <f t="shared" si="178"/>
        <v>8962</v>
      </c>
      <c r="I313" s="27">
        <f t="shared" si="179"/>
        <v>7883</v>
      </c>
      <c r="J313" s="20">
        <f t="shared" si="143"/>
        <v>1079</v>
      </c>
      <c r="K313" s="27"/>
      <c r="L313" s="4"/>
      <c r="M313" s="64">
        <v>2018</v>
      </c>
      <c r="N313" s="65" t="s">
        <v>45</v>
      </c>
      <c r="O313" s="35">
        <f t="shared" si="144"/>
        <v>0.88952408174932118</v>
      </c>
      <c r="P313" s="35">
        <f t="shared" si="145"/>
        <v>0.90874580230690616</v>
      </c>
      <c r="Q313" s="35">
        <f t="shared" si="146"/>
        <v>0.97884807774760607</v>
      </c>
      <c r="R313" s="20">
        <v>6997</v>
      </c>
      <c r="S313" s="27">
        <f t="shared" si="180"/>
        <v>148</v>
      </c>
      <c r="T313" s="20">
        <v>6849</v>
      </c>
      <c r="U313" s="20">
        <v>6224</v>
      </c>
      <c r="V313" s="20">
        <f t="shared" si="181"/>
        <v>625</v>
      </c>
      <c r="W313" s="20"/>
      <c r="X313" s="5"/>
      <c r="Y313" s="64">
        <v>2018</v>
      </c>
      <c r="Z313" s="65" t="s">
        <v>45</v>
      </c>
      <c r="AA313" s="35">
        <f t="shared" si="147"/>
        <v>0.8029197080291971</v>
      </c>
      <c r="AB313" s="35">
        <f t="shared" si="148"/>
        <v>0.82706766917293228</v>
      </c>
      <c r="AC313" s="35">
        <f t="shared" si="149"/>
        <v>0.97080291970802923</v>
      </c>
      <c r="AD313" s="20">
        <v>1096</v>
      </c>
      <c r="AE313" s="27">
        <f t="shared" si="182"/>
        <v>32</v>
      </c>
      <c r="AF313" s="20">
        <v>1064</v>
      </c>
      <c r="AG313" s="20">
        <v>880</v>
      </c>
      <c r="AH313" s="20">
        <f t="shared" si="183"/>
        <v>184</v>
      </c>
      <c r="AI313" s="20"/>
      <c r="AJ313" s="5"/>
      <c r="AK313" s="64">
        <v>2018</v>
      </c>
      <c r="AL313" s="65" t="s">
        <v>45</v>
      </c>
      <c r="AM313" s="35">
        <f t="shared" si="150"/>
        <v>0.72397769516728627</v>
      </c>
      <c r="AN313" s="35">
        <f t="shared" si="151"/>
        <v>0.7426120114394662</v>
      </c>
      <c r="AO313" s="35">
        <f t="shared" si="152"/>
        <v>0.97490706319702602</v>
      </c>
      <c r="AP313" s="20">
        <v>1076</v>
      </c>
      <c r="AQ313" s="27">
        <f t="shared" si="184"/>
        <v>27</v>
      </c>
      <c r="AR313" s="20">
        <v>1049</v>
      </c>
      <c r="AS313" s="20">
        <v>779</v>
      </c>
      <c r="AT313" s="20">
        <f t="shared" si="185"/>
        <v>270</v>
      </c>
      <c r="AU313" s="29"/>
    </row>
    <row r="314" spans="1:47" s="3" customFormat="1" ht="12.75">
      <c r="A314" s="62">
        <v>2018</v>
      </c>
      <c r="B314" s="63" t="s">
        <v>46</v>
      </c>
      <c r="C314" s="35">
        <f t="shared" si="153"/>
        <v>0.83530751708428241</v>
      </c>
      <c r="D314" s="35">
        <f t="shared" si="154"/>
        <v>0.88628398791540786</v>
      </c>
      <c r="E314" s="35">
        <f t="shared" si="155"/>
        <v>0.94248291571753984</v>
      </c>
      <c r="F314" s="27">
        <f t="shared" si="177"/>
        <v>8780</v>
      </c>
      <c r="G314" s="20">
        <f t="shared" si="142"/>
        <v>505</v>
      </c>
      <c r="H314" s="27">
        <f t="shared" si="178"/>
        <v>8275</v>
      </c>
      <c r="I314" s="27">
        <f t="shared" si="179"/>
        <v>7334</v>
      </c>
      <c r="J314" s="20">
        <f t="shared" si="143"/>
        <v>941</v>
      </c>
      <c r="K314" s="27"/>
      <c r="L314" s="4"/>
      <c r="M314" s="62">
        <v>2018</v>
      </c>
      <c r="N314" s="63" t="s">
        <v>46</v>
      </c>
      <c r="O314" s="35">
        <f t="shared" si="144"/>
        <v>0.86721556886227547</v>
      </c>
      <c r="P314" s="35">
        <f t="shared" si="145"/>
        <v>0.91285849353923731</v>
      </c>
      <c r="Q314" s="35">
        <f t="shared" si="146"/>
        <v>0.95</v>
      </c>
      <c r="R314" s="20">
        <v>6680</v>
      </c>
      <c r="S314" s="27">
        <f t="shared" si="180"/>
        <v>334</v>
      </c>
      <c r="T314" s="20">
        <v>6346</v>
      </c>
      <c r="U314" s="20">
        <v>5793</v>
      </c>
      <c r="V314" s="20">
        <f t="shared" si="181"/>
        <v>553</v>
      </c>
      <c r="W314" s="20"/>
      <c r="X314" s="5"/>
      <c r="Y314" s="62">
        <v>2018</v>
      </c>
      <c r="Z314" s="63" t="s">
        <v>46</v>
      </c>
      <c r="AA314" s="35">
        <f t="shared" si="147"/>
        <v>0.78113207547169816</v>
      </c>
      <c r="AB314" s="35">
        <f t="shared" si="148"/>
        <v>0.83132530120481929</v>
      </c>
      <c r="AC314" s="35">
        <f t="shared" si="149"/>
        <v>0.93962264150943398</v>
      </c>
      <c r="AD314" s="20">
        <v>1060</v>
      </c>
      <c r="AE314" s="27">
        <f t="shared" si="182"/>
        <v>64</v>
      </c>
      <c r="AF314" s="20">
        <v>996</v>
      </c>
      <c r="AG314" s="20">
        <v>828</v>
      </c>
      <c r="AH314" s="20">
        <f t="shared" si="183"/>
        <v>168</v>
      </c>
      <c r="AI314" s="20"/>
      <c r="AJ314" s="5"/>
      <c r="AK314" s="62">
        <v>2018</v>
      </c>
      <c r="AL314" s="63" t="s">
        <v>46</v>
      </c>
      <c r="AM314" s="35">
        <f t="shared" si="150"/>
        <v>0.68557692307692308</v>
      </c>
      <c r="AN314" s="35">
        <f t="shared" si="151"/>
        <v>0.76420150053590563</v>
      </c>
      <c r="AO314" s="35">
        <f t="shared" si="152"/>
        <v>0.89711538461538465</v>
      </c>
      <c r="AP314" s="20">
        <v>1040</v>
      </c>
      <c r="AQ314" s="27">
        <f t="shared" si="184"/>
        <v>107</v>
      </c>
      <c r="AR314" s="20">
        <v>933</v>
      </c>
      <c r="AS314" s="20">
        <v>713</v>
      </c>
      <c r="AT314" s="20">
        <f t="shared" si="185"/>
        <v>220</v>
      </c>
      <c r="AU314" s="29"/>
    </row>
    <row r="315" spans="1:47" s="3" customFormat="1" ht="12.75">
      <c r="A315" s="64">
        <v>2018</v>
      </c>
      <c r="B315" s="65" t="s">
        <v>47</v>
      </c>
      <c r="C315" s="35">
        <f t="shared" si="153"/>
        <v>0.85570945577489366</v>
      </c>
      <c r="D315" s="35">
        <f t="shared" si="154"/>
        <v>0.87772681507998662</v>
      </c>
      <c r="E315" s="35">
        <f t="shared" si="155"/>
        <v>0.97491547606063911</v>
      </c>
      <c r="F315" s="27">
        <f t="shared" si="177"/>
        <v>9169</v>
      </c>
      <c r="G315" s="20">
        <f t="shared" si="142"/>
        <v>230</v>
      </c>
      <c r="H315" s="27">
        <f t="shared" si="178"/>
        <v>8939</v>
      </c>
      <c r="I315" s="27">
        <f t="shared" si="179"/>
        <v>7846</v>
      </c>
      <c r="J315" s="20">
        <f t="shared" si="143"/>
        <v>1093</v>
      </c>
      <c r="K315" s="27"/>
      <c r="L315" s="4"/>
      <c r="M315" s="64">
        <v>2018</v>
      </c>
      <c r="N315" s="65" t="s">
        <v>47</v>
      </c>
      <c r="O315" s="35">
        <f t="shared" si="144"/>
        <v>0.86122623981706448</v>
      </c>
      <c r="P315" s="35">
        <f t="shared" si="145"/>
        <v>0.8807366267173341</v>
      </c>
      <c r="Q315" s="35">
        <f t="shared" si="146"/>
        <v>0.97784764899242538</v>
      </c>
      <c r="R315" s="20">
        <v>6997</v>
      </c>
      <c r="S315" s="27">
        <f t="shared" si="180"/>
        <v>155</v>
      </c>
      <c r="T315" s="20">
        <v>6842</v>
      </c>
      <c r="U315" s="20">
        <v>6026</v>
      </c>
      <c r="V315" s="20">
        <f t="shared" si="181"/>
        <v>816</v>
      </c>
      <c r="W315" s="20"/>
      <c r="X315" s="5"/>
      <c r="Y315" s="64">
        <v>2018</v>
      </c>
      <c r="Z315" s="65" t="s">
        <v>47</v>
      </c>
      <c r="AA315" s="35">
        <f t="shared" si="147"/>
        <v>0.8521897810218978</v>
      </c>
      <c r="AB315" s="35">
        <f t="shared" si="148"/>
        <v>0.87535145267104031</v>
      </c>
      <c r="AC315" s="35">
        <f t="shared" si="149"/>
        <v>0.97354014598540151</v>
      </c>
      <c r="AD315" s="20">
        <v>1096</v>
      </c>
      <c r="AE315" s="27">
        <f t="shared" si="182"/>
        <v>29</v>
      </c>
      <c r="AF315" s="20">
        <v>1067</v>
      </c>
      <c r="AG315" s="20">
        <v>934</v>
      </c>
      <c r="AH315" s="20">
        <f t="shared" si="183"/>
        <v>133</v>
      </c>
      <c r="AI315" s="20"/>
      <c r="AJ315" s="5"/>
      <c r="AK315" s="64">
        <v>2018</v>
      </c>
      <c r="AL315" s="65" t="s">
        <v>47</v>
      </c>
      <c r="AM315" s="35">
        <f t="shared" si="150"/>
        <v>0.82342007434944242</v>
      </c>
      <c r="AN315" s="35">
        <f t="shared" si="151"/>
        <v>0.86019417475728155</v>
      </c>
      <c r="AO315" s="35">
        <f t="shared" si="152"/>
        <v>0.95724907063197029</v>
      </c>
      <c r="AP315" s="20">
        <v>1076</v>
      </c>
      <c r="AQ315" s="27">
        <f t="shared" si="184"/>
        <v>46</v>
      </c>
      <c r="AR315" s="20">
        <v>1030</v>
      </c>
      <c r="AS315" s="20">
        <v>886</v>
      </c>
      <c r="AT315" s="20">
        <f t="shared" si="185"/>
        <v>144</v>
      </c>
      <c r="AU315" s="29"/>
    </row>
    <row r="316" spans="1:47" s="3" customFormat="1" ht="12.75">
      <c r="A316" s="62">
        <v>2018</v>
      </c>
      <c r="B316" s="63" t="s">
        <v>48</v>
      </c>
      <c r="C316" s="35">
        <f t="shared" si="153"/>
        <v>0.79821388198055621</v>
      </c>
      <c r="D316" s="35">
        <f t="shared" si="154"/>
        <v>0.87194368979995063</v>
      </c>
      <c r="E316" s="35">
        <f t="shared" si="155"/>
        <v>0.91544200768709016</v>
      </c>
      <c r="F316" s="27">
        <f t="shared" si="177"/>
        <v>8846</v>
      </c>
      <c r="G316" s="20">
        <f t="shared" si="142"/>
        <v>748</v>
      </c>
      <c r="H316" s="27">
        <f t="shared" si="178"/>
        <v>8098</v>
      </c>
      <c r="I316" s="27">
        <f t="shared" si="179"/>
        <v>7061</v>
      </c>
      <c r="J316" s="20">
        <f t="shared" si="143"/>
        <v>1037</v>
      </c>
      <c r="K316" s="27"/>
      <c r="L316" s="4"/>
      <c r="M316" s="62">
        <v>2018</v>
      </c>
      <c r="N316" s="63" t="s">
        <v>48</v>
      </c>
      <c r="O316" s="35">
        <f t="shared" si="144"/>
        <v>0.82908390157130152</v>
      </c>
      <c r="P316" s="35">
        <f t="shared" si="145"/>
        <v>0.88834180432020327</v>
      </c>
      <c r="Q316" s="35">
        <f t="shared" si="146"/>
        <v>0.93329380373554705</v>
      </c>
      <c r="R316" s="20">
        <v>6746</v>
      </c>
      <c r="S316" s="27">
        <f t="shared" si="180"/>
        <v>450</v>
      </c>
      <c r="T316" s="20">
        <v>6296</v>
      </c>
      <c r="U316" s="20">
        <v>5593</v>
      </c>
      <c r="V316" s="20">
        <f t="shared" si="181"/>
        <v>703</v>
      </c>
      <c r="W316" s="20"/>
      <c r="X316" s="5"/>
      <c r="Y316" s="62">
        <v>2018</v>
      </c>
      <c r="Z316" s="63" t="s">
        <v>48</v>
      </c>
      <c r="AA316" s="35">
        <f t="shared" si="147"/>
        <v>0.81603773584905659</v>
      </c>
      <c r="AB316" s="35">
        <f t="shared" si="148"/>
        <v>0.87550607287449389</v>
      </c>
      <c r="AC316" s="35">
        <f t="shared" si="149"/>
        <v>0.93207547169811322</v>
      </c>
      <c r="AD316" s="20">
        <v>1060</v>
      </c>
      <c r="AE316" s="27">
        <f t="shared" si="182"/>
        <v>72</v>
      </c>
      <c r="AF316" s="20">
        <v>988</v>
      </c>
      <c r="AG316" s="20">
        <v>865</v>
      </c>
      <c r="AH316" s="20">
        <f t="shared" si="183"/>
        <v>123</v>
      </c>
      <c r="AI316" s="20"/>
      <c r="AJ316" s="5"/>
      <c r="AK316" s="62">
        <v>2018</v>
      </c>
      <c r="AL316" s="63" t="s">
        <v>48</v>
      </c>
      <c r="AM316" s="35">
        <f t="shared" si="150"/>
        <v>0.57980769230769236</v>
      </c>
      <c r="AN316" s="35">
        <f t="shared" si="151"/>
        <v>0.74078624078624078</v>
      </c>
      <c r="AO316" s="35">
        <f t="shared" si="152"/>
        <v>0.78269230769230769</v>
      </c>
      <c r="AP316" s="20">
        <v>1040</v>
      </c>
      <c r="AQ316" s="27">
        <f t="shared" si="184"/>
        <v>226</v>
      </c>
      <c r="AR316" s="20">
        <v>814</v>
      </c>
      <c r="AS316" s="20">
        <v>603</v>
      </c>
      <c r="AT316" s="20">
        <f t="shared" si="185"/>
        <v>211</v>
      </c>
      <c r="AU316" s="29"/>
    </row>
    <row r="317" spans="1:47" s="3" customFormat="1" ht="12.75">
      <c r="A317" s="64">
        <v>2018</v>
      </c>
      <c r="B317" s="65" t="s">
        <v>49</v>
      </c>
      <c r="C317" s="35">
        <f t="shared" si="153"/>
        <v>0.80696381989338772</v>
      </c>
      <c r="D317" s="35">
        <f t="shared" si="154"/>
        <v>0.86252879136865079</v>
      </c>
      <c r="E317" s="35">
        <f t="shared" si="155"/>
        <v>0.93557899512305776</v>
      </c>
      <c r="F317" s="27">
        <f t="shared" si="177"/>
        <v>8817</v>
      </c>
      <c r="G317" s="20">
        <f t="shared" si="142"/>
        <v>568</v>
      </c>
      <c r="H317" s="27">
        <f t="shared" si="178"/>
        <v>8249</v>
      </c>
      <c r="I317" s="27">
        <f t="shared" si="179"/>
        <v>7115</v>
      </c>
      <c r="J317" s="20">
        <f t="shared" si="143"/>
        <v>1134</v>
      </c>
      <c r="K317" s="27"/>
      <c r="L317" s="10"/>
      <c r="M317" s="64">
        <v>2018</v>
      </c>
      <c r="N317" s="65" t="s">
        <v>49</v>
      </c>
      <c r="O317" s="35">
        <f t="shared" si="144"/>
        <v>0.82231219073324335</v>
      </c>
      <c r="P317" s="35">
        <f t="shared" si="145"/>
        <v>0.8726925525143221</v>
      </c>
      <c r="Q317" s="35">
        <f t="shared" si="146"/>
        <v>0.94227020542810014</v>
      </c>
      <c r="R317" s="20">
        <v>6669</v>
      </c>
      <c r="S317" s="27">
        <f t="shared" si="180"/>
        <v>385</v>
      </c>
      <c r="T317" s="20">
        <v>6284</v>
      </c>
      <c r="U317" s="20">
        <v>5484</v>
      </c>
      <c r="V317" s="20">
        <f t="shared" si="181"/>
        <v>800</v>
      </c>
      <c r="W317" s="20"/>
      <c r="X317" s="5"/>
      <c r="Y317" s="64">
        <v>2018</v>
      </c>
      <c r="Z317" s="65" t="s">
        <v>49</v>
      </c>
      <c r="AA317" s="35">
        <f t="shared" si="147"/>
        <v>0.77641509433962264</v>
      </c>
      <c r="AB317" s="35">
        <f t="shared" si="148"/>
        <v>0.84583761562178827</v>
      </c>
      <c r="AC317" s="35">
        <f t="shared" si="149"/>
        <v>0.91792452830188676</v>
      </c>
      <c r="AD317" s="20">
        <v>1060</v>
      </c>
      <c r="AE317" s="27">
        <f t="shared" si="182"/>
        <v>87</v>
      </c>
      <c r="AF317" s="20">
        <v>973</v>
      </c>
      <c r="AG317" s="20">
        <v>823</v>
      </c>
      <c r="AH317" s="20">
        <f t="shared" si="183"/>
        <v>150</v>
      </c>
      <c r="AI317" s="20"/>
      <c r="AJ317" s="5"/>
      <c r="AK317" s="64">
        <v>2018</v>
      </c>
      <c r="AL317" s="65" t="s">
        <v>49</v>
      </c>
      <c r="AM317" s="35">
        <f t="shared" si="150"/>
        <v>0.74264705882352944</v>
      </c>
      <c r="AN317" s="35">
        <f t="shared" si="151"/>
        <v>0.81451612903225812</v>
      </c>
      <c r="AO317" s="35">
        <f t="shared" si="152"/>
        <v>0.91176470588235292</v>
      </c>
      <c r="AP317" s="20">
        <v>1088</v>
      </c>
      <c r="AQ317" s="27">
        <f t="shared" si="184"/>
        <v>96</v>
      </c>
      <c r="AR317" s="20">
        <v>992</v>
      </c>
      <c r="AS317" s="20">
        <v>808</v>
      </c>
      <c r="AT317" s="20">
        <f t="shared" si="185"/>
        <v>184</v>
      </c>
      <c r="AU317" s="29"/>
    </row>
    <row r="318" spans="1:47" s="3" customFormat="1" ht="12.75">
      <c r="A318" s="62">
        <v>2019</v>
      </c>
      <c r="B318" s="63" t="s">
        <v>38</v>
      </c>
      <c r="C318" s="35">
        <f t="shared" si="153"/>
        <v>0.8547278874468317</v>
      </c>
      <c r="D318" s="35">
        <f t="shared" si="154"/>
        <v>0.88503670242800681</v>
      </c>
      <c r="E318" s="35">
        <f t="shared" si="155"/>
        <v>0.96575417166539423</v>
      </c>
      <c r="F318" s="27">
        <f t="shared" si="177"/>
        <v>9169</v>
      </c>
      <c r="G318" s="20">
        <f t="shared" si="142"/>
        <v>314</v>
      </c>
      <c r="H318" s="27">
        <f t="shared" si="178"/>
        <v>8855</v>
      </c>
      <c r="I318" s="27">
        <f t="shared" si="179"/>
        <v>7837</v>
      </c>
      <c r="J318" s="20">
        <f t="shared" si="143"/>
        <v>1018</v>
      </c>
      <c r="K318" s="27"/>
      <c r="L318" s="4"/>
      <c r="M318" s="62">
        <v>2019</v>
      </c>
      <c r="N318" s="63" t="s">
        <v>38</v>
      </c>
      <c r="O318" s="35">
        <f t="shared" si="144"/>
        <v>0.88109189652708308</v>
      </c>
      <c r="P318" s="35">
        <f t="shared" si="145"/>
        <v>0.90795287187039764</v>
      </c>
      <c r="Q318" s="35">
        <f t="shared" si="146"/>
        <v>0.97041589252536797</v>
      </c>
      <c r="R318" s="20">
        <v>6997</v>
      </c>
      <c r="S318" s="27">
        <f t="shared" ref="S318:S334" si="186">R318-T318</f>
        <v>207</v>
      </c>
      <c r="T318" s="20">
        <v>6790</v>
      </c>
      <c r="U318" s="20">
        <v>6165</v>
      </c>
      <c r="V318" s="27">
        <f t="shared" ref="V318:V334" si="187">T318-U318</f>
        <v>625</v>
      </c>
      <c r="W318" s="27"/>
      <c r="X318" s="4"/>
      <c r="Y318" s="62">
        <v>2019</v>
      </c>
      <c r="Z318" s="63" t="s">
        <v>38</v>
      </c>
      <c r="AA318" s="35">
        <f t="shared" si="147"/>
        <v>0.73266423357664234</v>
      </c>
      <c r="AB318" s="35">
        <f t="shared" si="148"/>
        <v>0.7781007751937985</v>
      </c>
      <c r="AC318" s="35">
        <f t="shared" si="149"/>
        <v>0.94160583941605835</v>
      </c>
      <c r="AD318" s="20">
        <v>1096</v>
      </c>
      <c r="AE318" s="27">
        <f t="shared" ref="AE318:AE334" si="188">AD318-AF318</f>
        <v>64</v>
      </c>
      <c r="AF318" s="20">
        <v>1032</v>
      </c>
      <c r="AG318" s="20">
        <v>803</v>
      </c>
      <c r="AH318" s="27">
        <f t="shared" ref="AH318:AH334" si="189">AF318-AG318</f>
        <v>229</v>
      </c>
      <c r="AI318" s="27"/>
      <c r="AJ318" s="4"/>
      <c r="AK318" s="62">
        <v>2019</v>
      </c>
      <c r="AL318" s="63" t="s">
        <v>38</v>
      </c>
      <c r="AM318" s="35">
        <f t="shared" si="150"/>
        <v>0.80762081784386619</v>
      </c>
      <c r="AN318" s="35">
        <f t="shared" si="151"/>
        <v>0.84123910939012581</v>
      </c>
      <c r="AO318" s="35">
        <f t="shared" si="152"/>
        <v>0.96003717472118955</v>
      </c>
      <c r="AP318" s="20">
        <v>1076</v>
      </c>
      <c r="AQ318" s="27">
        <f t="shared" ref="AQ318:AQ334" si="190">AP318-AR318</f>
        <v>43</v>
      </c>
      <c r="AR318" s="20">
        <v>1033</v>
      </c>
      <c r="AS318" s="20">
        <v>869</v>
      </c>
      <c r="AT318" s="20">
        <f t="shared" ref="AT318:AT334" si="191">AR318-AS318</f>
        <v>164</v>
      </c>
      <c r="AU318" s="29"/>
    </row>
    <row r="319" spans="1:47" s="3" customFormat="1" ht="12.75">
      <c r="A319" s="64">
        <v>2019</v>
      </c>
      <c r="B319" s="65" t="s">
        <v>39</v>
      </c>
      <c r="C319" s="35">
        <f t="shared" si="153"/>
        <v>0.85911270983213428</v>
      </c>
      <c r="D319" s="35">
        <f t="shared" si="154"/>
        <v>0.88413129318854888</v>
      </c>
      <c r="E319" s="35">
        <f t="shared" si="155"/>
        <v>0.97170263788968825</v>
      </c>
      <c r="F319" s="27">
        <f t="shared" si="177"/>
        <v>8340</v>
      </c>
      <c r="G319" s="20">
        <f t="shared" si="142"/>
        <v>236</v>
      </c>
      <c r="H319" s="27">
        <f t="shared" si="178"/>
        <v>8104</v>
      </c>
      <c r="I319" s="27">
        <f t="shared" si="179"/>
        <v>7165</v>
      </c>
      <c r="J319" s="20">
        <f t="shared" si="143"/>
        <v>939</v>
      </c>
      <c r="K319" s="27"/>
      <c r="L319" s="4"/>
      <c r="M319" s="64">
        <v>2019</v>
      </c>
      <c r="N319" s="65" t="s">
        <v>39</v>
      </c>
      <c r="O319" s="35">
        <f t="shared" si="144"/>
        <v>0.90175768989328309</v>
      </c>
      <c r="P319" s="35">
        <f t="shared" si="145"/>
        <v>0.91715881883479644</v>
      </c>
      <c r="Q319" s="35">
        <f t="shared" si="146"/>
        <v>0.98320778405524167</v>
      </c>
      <c r="R319" s="20">
        <v>6372</v>
      </c>
      <c r="S319" s="27">
        <f t="shared" si="186"/>
        <v>107</v>
      </c>
      <c r="T319" s="20">
        <v>6265</v>
      </c>
      <c r="U319" s="20">
        <v>5746</v>
      </c>
      <c r="V319" s="27">
        <f t="shared" si="187"/>
        <v>519</v>
      </c>
      <c r="W319" s="27"/>
      <c r="X319" s="4"/>
      <c r="Y319" s="64">
        <v>2019</v>
      </c>
      <c r="Z319" s="65" t="s">
        <v>39</v>
      </c>
      <c r="AA319" s="35">
        <f t="shared" si="147"/>
        <v>0.69354838709677424</v>
      </c>
      <c r="AB319" s="35">
        <f t="shared" si="148"/>
        <v>0.74782608695652175</v>
      </c>
      <c r="AC319" s="35">
        <f t="shared" si="149"/>
        <v>0.92741935483870963</v>
      </c>
      <c r="AD319" s="20">
        <v>992</v>
      </c>
      <c r="AE319" s="27">
        <f t="shared" si="188"/>
        <v>72</v>
      </c>
      <c r="AF319" s="20">
        <v>920</v>
      </c>
      <c r="AG319" s="20">
        <v>688</v>
      </c>
      <c r="AH319" s="27">
        <f t="shared" si="189"/>
        <v>232</v>
      </c>
      <c r="AI319" s="27"/>
      <c r="AJ319" s="4"/>
      <c r="AK319" s="64">
        <v>2019</v>
      </c>
      <c r="AL319" s="65" t="s">
        <v>39</v>
      </c>
      <c r="AM319" s="35">
        <f t="shared" si="150"/>
        <v>0.74897540983606559</v>
      </c>
      <c r="AN319" s="35">
        <f t="shared" si="151"/>
        <v>0.79542981501632204</v>
      </c>
      <c r="AO319" s="35">
        <f t="shared" si="152"/>
        <v>0.94159836065573765</v>
      </c>
      <c r="AP319" s="20">
        <v>976</v>
      </c>
      <c r="AQ319" s="27">
        <f t="shared" si="190"/>
        <v>57</v>
      </c>
      <c r="AR319" s="20">
        <v>919</v>
      </c>
      <c r="AS319" s="20">
        <v>731</v>
      </c>
      <c r="AT319" s="20">
        <f t="shared" si="191"/>
        <v>188</v>
      </c>
      <c r="AU319" s="29"/>
    </row>
    <row r="320" spans="1:47" s="3" customFormat="1" ht="12.75">
      <c r="A320" s="62">
        <v>2019</v>
      </c>
      <c r="B320" s="63" t="s">
        <v>40</v>
      </c>
      <c r="C320" s="35">
        <f t="shared" si="153"/>
        <v>0.63365487674169341</v>
      </c>
      <c r="D320" s="35">
        <f t="shared" si="154"/>
        <v>0.67868212604752609</v>
      </c>
      <c r="E320" s="35">
        <f t="shared" si="155"/>
        <v>0.93365487674169345</v>
      </c>
      <c r="F320" s="27">
        <f t="shared" si="177"/>
        <v>9330</v>
      </c>
      <c r="G320" s="20">
        <f t="shared" si="142"/>
        <v>619</v>
      </c>
      <c r="H320" s="27">
        <f t="shared" si="178"/>
        <v>8711</v>
      </c>
      <c r="I320" s="27">
        <f t="shared" si="179"/>
        <v>5912</v>
      </c>
      <c r="J320" s="20">
        <f t="shared" si="143"/>
        <v>2799</v>
      </c>
      <c r="K320" s="27"/>
      <c r="L320" s="4"/>
      <c r="M320" s="62">
        <v>2019</v>
      </c>
      <c r="N320" s="63" t="s">
        <v>40</v>
      </c>
      <c r="O320" s="35">
        <f t="shared" si="144"/>
        <v>0.62057922584238379</v>
      </c>
      <c r="P320" s="35">
        <f t="shared" si="145"/>
        <v>0.66294808865089994</v>
      </c>
      <c r="Q320" s="35">
        <f t="shared" si="146"/>
        <v>0.93609022556390975</v>
      </c>
      <c r="R320" s="20">
        <v>7182</v>
      </c>
      <c r="S320" s="27">
        <f t="shared" si="186"/>
        <v>459</v>
      </c>
      <c r="T320" s="20">
        <v>6723</v>
      </c>
      <c r="U320" s="20">
        <v>4457</v>
      </c>
      <c r="V320" s="27">
        <f t="shared" si="187"/>
        <v>2266</v>
      </c>
      <c r="W320" s="27"/>
      <c r="X320" s="4"/>
      <c r="Y320" s="62">
        <v>2019</v>
      </c>
      <c r="Z320" s="63" t="s">
        <v>40</v>
      </c>
      <c r="AA320" s="35">
        <f t="shared" si="147"/>
        <v>0.6654411764705882</v>
      </c>
      <c r="AB320" s="35">
        <f t="shared" si="148"/>
        <v>0.72255489021956087</v>
      </c>
      <c r="AC320" s="35">
        <f t="shared" si="149"/>
        <v>0.92095588235294112</v>
      </c>
      <c r="AD320" s="20">
        <v>1088</v>
      </c>
      <c r="AE320" s="27">
        <f t="shared" si="188"/>
        <v>86</v>
      </c>
      <c r="AF320" s="20">
        <v>1002</v>
      </c>
      <c r="AG320" s="20">
        <v>724</v>
      </c>
      <c r="AH320" s="27">
        <f t="shared" si="189"/>
        <v>278</v>
      </c>
      <c r="AI320" s="27"/>
      <c r="AJ320" s="4"/>
      <c r="AK320" s="62">
        <v>2019</v>
      </c>
      <c r="AL320" s="63" t="s">
        <v>40</v>
      </c>
      <c r="AM320" s="35">
        <f t="shared" si="150"/>
        <v>0.68962264150943398</v>
      </c>
      <c r="AN320" s="35">
        <f t="shared" si="151"/>
        <v>0.74137931034482762</v>
      </c>
      <c r="AO320" s="35">
        <f t="shared" si="152"/>
        <v>0.93018867924528303</v>
      </c>
      <c r="AP320" s="20">
        <v>1060</v>
      </c>
      <c r="AQ320" s="27">
        <f t="shared" si="190"/>
        <v>74</v>
      </c>
      <c r="AR320" s="20">
        <v>986</v>
      </c>
      <c r="AS320" s="20">
        <v>731</v>
      </c>
      <c r="AT320" s="27">
        <f t="shared" si="191"/>
        <v>255</v>
      </c>
      <c r="AU320" s="29"/>
    </row>
    <row r="321" spans="1:47" s="3" customFormat="1" ht="12.75">
      <c r="A321" s="64">
        <v>2019</v>
      </c>
      <c r="B321" s="65" t="s">
        <v>41</v>
      </c>
      <c r="C321" s="35">
        <f t="shared" si="153"/>
        <v>0.67919389978213507</v>
      </c>
      <c r="D321" s="35">
        <f t="shared" si="154"/>
        <v>0.72847295244771582</v>
      </c>
      <c r="E321" s="35">
        <f t="shared" si="155"/>
        <v>0.93235294117647061</v>
      </c>
      <c r="F321" s="27">
        <f t="shared" si="177"/>
        <v>9180</v>
      </c>
      <c r="G321" s="20">
        <f t="shared" si="142"/>
        <v>621</v>
      </c>
      <c r="H321" s="27">
        <f t="shared" si="178"/>
        <v>8559</v>
      </c>
      <c r="I321" s="27">
        <f t="shared" si="179"/>
        <v>6235</v>
      </c>
      <c r="J321" s="20">
        <f t="shared" si="143"/>
        <v>2324</v>
      </c>
      <c r="K321" s="27"/>
      <c r="L321" s="4"/>
      <c r="M321" s="64">
        <v>2019</v>
      </c>
      <c r="N321" s="65" t="s">
        <v>41</v>
      </c>
      <c r="O321" s="35">
        <f t="shared" si="144"/>
        <v>0.69106034968979135</v>
      </c>
      <c r="P321" s="35">
        <f t="shared" si="145"/>
        <v>0.74134019059143852</v>
      </c>
      <c r="Q321" s="35">
        <f t="shared" si="146"/>
        <v>0.93217710095882689</v>
      </c>
      <c r="R321" s="20">
        <v>7092</v>
      </c>
      <c r="S321" s="27">
        <f t="shared" si="186"/>
        <v>481</v>
      </c>
      <c r="T321" s="20">
        <v>6611</v>
      </c>
      <c r="U321" s="20">
        <v>4901</v>
      </c>
      <c r="V321" s="27">
        <f t="shared" si="187"/>
        <v>1710</v>
      </c>
      <c r="W321" s="27"/>
      <c r="X321" s="4"/>
      <c r="Y321" s="64">
        <v>2019</v>
      </c>
      <c r="Z321" s="65" t="s">
        <v>41</v>
      </c>
      <c r="AA321" s="35">
        <f t="shared" si="147"/>
        <v>0.56060606060606055</v>
      </c>
      <c r="AB321" s="35">
        <f t="shared" si="148"/>
        <v>0.60223804679552395</v>
      </c>
      <c r="AC321" s="35">
        <f t="shared" si="149"/>
        <v>0.93087121212121215</v>
      </c>
      <c r="AD321" s="20">
        <v>1056</v>
      </c>
      <c r="AE321" s="27">
        <f t="shared" si="188"/>
        <v>73</v>
      </c>
      <c r="AF321" s="20">
        <v>983</v>
      </c>
      <c r="AG321" s="20">
        <v>592</v>
      </c>
      <c r="AH321" s="27">
        <f t="shared" si="189"/>
        <v>391</v>
      </c>
      <c r="AI321" s="27"/>
      <c r="AJ321" s="4"/>
      <c r="AK321" s="64">
        <v>2019</v>
      </c>
      <c r="AL321" s="65" t="s">
        <v>41</v>
      </c>
      <c r="AM321" s="35">
        <f t="shared" si="150"/>
        <v>0.71899224806201545</v>
      </c>
      <c r="AN321" s="35">
        <f t="shared" si="151"/>
        <v>0.76891191709844564</v>
      </c>
      <c r="AO321" s="35">
        <f t="shared" si="152"/>
        <v>0.93507751937984496</v>
      </c>
      <c r="AP321" s="20">
        <v>1032</v>
      </c>
      <c r="AQ321" s="27">
        <f t="shared" si="190"/>
        <v>67</v>
      </c>
      <c r="AR321" s="20">
        <v>965</v>
      </c>
      <c r="AS321" s="20">
        <v>742</v>
      </c>
      <c r="AT321" s="27">
        <f t="shared" si="191"/>
        <v>223</v>
      </c>
      <c r="AU321" s="29"/>
    </row>
    <row r="322" spans="1:47" s="3" customFormat="1" ht="12.75">
      <c r="A322" s="62">
        <v>2019</v>
      </c>
      <c r="B322" s="63" t="s">
        <v>42</v>
      </c>
      <c r="C322" s="35">
        <f t="shared" si="153"/>
        <v>0.62550628310312595</v>
      </c>
      <c r="D322" s="35">
        <f t="shared" si="154"/>
        <v>0.69662271570668521</v>
      </c>
      <c r="E322" s="35">
        <f t="shared" si="155"/>
        <v>0.89791255582095753</v>
      </c>
      <c r="F322" s="27">
        <f t="shared" si="177"/>
        <v>9629</v>
      </c>
      <c r="G322" s="20">
        <f t="shared" si="142"/>
        <v>983</v>
      </c>
      <c r="H322" s="27">
        <f t="shared" si="178"/>
        <v>8646</v>
      </c>
      <c r="I322" s="27">
        <f t="shared" si="179"/>
        <v>6023</v>
      </c>
      <c r="J322" s="20">
        <f t="shared" si="143"/>
        <v>2623</v>
      </c>
      <c r="K322" s="27"/>
      <c r="L322" s="4"/>
      <c r="M322" s="62">
        <v>2019</v>
      </c>
      <c r="N322" s="63" t="s">
        <v>42</v>
      </c>
      <c r="O322" s="35">
        <f t="shared" si="144"/>
        <v>0.62672379167224523</v>
      </c>
      <c r="P322" s="35">
        <f t="shared" si="145"/>
        <v>0.69823985680190925</v>
      </c>
      <c r="Q322" s="35">
        <f t="shared" si="146"/>
        <v>0.8975766501539697</v>
      </c>
      <c r="R322" s="20">
        <v>7469</v>
      </c>
      <c r="S322" s="27">
        <f t="shared" si="186"/>
        <v>765</v>
      </c>
      <c r="T322" s="20">
        <v>6704</v>
      </c>
      <c r="U322" s="20">
        <v>4681</v>
      </c>
      <c r="V322" s="27">
        <f t="shared" si="187"/>
        <v>2023</v>
      </c>
      <c r="W322" s="27"/>
      <c r="X322" s="4"/>
      <c r="Y322" s="62">
        <v>2019</v>
      </c>
      <c r="Z322" s="63" t="s">
        <v>42</v>
      </c>
      <c r="AA322" s="35">
        <f t="shared" si="147"/>
        <v>0.58150183150183155</v>
      </c>
      <c r="AB322" s="35">
        <f t="shared" si="148"/>
        <v>0.6401209677419355</v>
      </c>
      <c r="AC322" s="35">
        <f t="shared" si="149"/>
        <v>0.90842490842490842</v>
      </c>
      <c r="AD322" s="20">
        <v>1092</v>
      </c>
      <c r="AE322" s="27">
        <f t="shared" si="188"/>
        <v>100</v>
      </c>
      <c r="AF322" s="20">
        <v>992</v>
      </c>
      <c r="AG322" s="20">
        <v>635</v>
      </c>
      <c r="AH322" s="27">
        <f t="shared" si="189"/>
        <v>357</v>
      </c>
      <c r="AI322" s="27"/>
      <c r="AJ322" s="4"/>
      <c r="AK322" s="62">
        <v>2019</v>
      </c>
      <c r="AL322" s="63" t="s">
        <v>42</v>
      </c>
      <c r="AM322" s="35">
        <f t="shared" si="150"/>
        <v>0.66198501872659177</v>
      </c>
      <c r="AN322" s="35">
        <f t="shared" si="151"/>
        <v>0.74421052631578943</v>
      </c>
      <c r="AO322" s="35">
        <f t="shared" si="152"/>
        <v>0.88951310861423216</v>
      </c>
      <c r="AP322" s="20">
        <v>1068</v>
      </c>
      <c r="AQ322" s="27">
        <f t="shared" si="190"/>
        <v>118</v>
      </c>
      <c r="AR322" s="20">
        <v>950</v>
      </c>
      <c r="AS322" s="20">
        <v>707</v>
      </c>
      <c r="AT322" s="27">
        <f t="shared" si="191"/>
        <v>243</v>
      </c>
      <c r="AU322" s="29"/>
    </row>
    <row r="323" spans="1:47" s="3" customFormat="1" ht="12.75">
      <c r="A323" s="64">
        <v>2019</v>
      </c>
      <c r="B323" s="65" t="s">
        <v>43</v>
      </c>
      <c r="C323" s="35">
        <f t="shared" si="153"/>
        <v>0.71026379960097541</v>
      </c>
      <c r="D323" s="35">
        <f t="shared" si="154"/>
        <v>0.74209612044006945</v>
      </c>
      <c r="E323" s="35">
        <f t="shared" si="155"/>
        <v>0.95710485479937935</v>
      </c>
      <c r="F323" s="27">
        <f t="shared" si="177"/>
        <v>9022</v>
      </c>
      <c r="G323" s="20">
        <f t="shared" si="142"/>
        <v>387</v>
      </c>
      <c r="H323" s="27">
        <f t="shared" si="178"/>
        <v>8635</v>
      </c>
      <c r="I323" s="27">
        <f t="shared" si="179"/>
        <v>6408</v>
      </c>
      <c r="J323" s="20">
        <f t="shared" si="143"/>
        <v>2227</v>
      </c>
      <c r="K323" s="27"/>
      <c r="L323" s="4"/>
      <c r="M323" s="64">
        <v>2019</v>
      </c>
      <c r="N323" s="65" t="s">
        <v>43</v>
      </c>
      <c r="O323" s="35">
        <f t="shared" si="144"/>
        <v>0.72876475669450047</v>
      </c>
      <c r="P323" s="35">
        <f t="shared" si="145"/>
        <v>0.75204278710444217</v>
      </c>
      <c r="Q323" s="35">
        <f t="shared" si="146"/>
        <v>0.96904693348689896</v>
      </c>
      <c r="R323" s="20">
        <v>6946</v>
      </c>
      <c r="S323" s="27">
        <f t="shared" si="186"/>
        <v>215</v>
      </c>
      <c r="T323" s="20">
        <v>6731</v>
      </c>
      <c r="U323" s="20">
        <v>5062</v>
      </c>
      <c r="V323" s="27">
        <f t="shared" si="187"/>
        <v>1669</v>
      </c>
      <c r="W323" s="27"/>
      <c r="X323" s="4"/>
      <c r="Y323" s="64">
        <v>2019</v>
      </c>
      <c r="Z323" s="65" t="s">
        <v>43</v>
      </c>
      <c r="AA323" s="35">
        <f t="shared" si="147"/>
        <v>0.61692015209125473</v>
      </c>
      <c r="AB323" s="35">
        <f t="shared" si="148"/>
        <v>0.66700924974306264</v>
      </c>
      <c r="AC323" s="35">
        <f t="shared" si="149"/>
        <v>0.92490494296577952</v>
      </c>
      <c r="AD323" s="20">
        <v>1052</v>
      </c>
      <c r="AE323" s="27">
        <f t="shared" si="188"/>
        <v>79</v>
      </c>
      <c r="AF323" s="20">
        <v>973</v>
      </c>
      <c r="AG323" s="20">
        <v>649</v>
      </c>
      <c r="AH323" s="27">
        <f t="shared" si="189"/>
        <v>324</v>
      </c>
      <c r="AI323" s="27"/>
      <c r="AJ323" s="4"/>
      <c r="AK323" s="64">
        <v>2019</v>
      </c>
      <c r="AL323" s="65" t="s">
        <v>43</v>
      </c>
      <c r="AM323" s="35">
        <f t="shared" si="150"/>
        <v>0.6806640625</v>
      </c>
      <c r="AN323" s="35">
        <f t="shared" si="151"/>
        <v>0.74865735767991404</v>
      </c>
      <c r="AO323" s="35">
        <f t="shared" si="152"/>
        <v>0.9091796875</v>
      </c>
      <c r="AP323" s="20">
        <v>1024</v>
      </c>
      <c r="AQ323" s="27">
        <f t="shared" si="190"/>
        <v>93</v>
      </c>
      <c r="AR323" s="20">
        <v>931</v>
      </c>
      <c r="AS323" s="20">
        <v>697</v>
      </c>
      <c r="AT323" s="27">
        <f t="shared" si="191"/>
        <v>234</v>
      </c>
      <c r="AU323" s="29"/>
    </row>
    <row r="324" spans="1:47" s="3" customFormat="1" ht="12.75">
      <c r="A324" s="62">
        <v>2019</v>
      </c>
      <c r="B324" s="63" t="s">
        <v>44</v>
      </c>
      <c r="C324" s="35">
        <f t="shared" si="153"/>
        <v>0.7801381870681654</v>
      </c>
      <c r="D324" s="35">
        <f t="shared" si="154"/>
        <v>0.80667519727020687</v>
      </c>
      <c r="E324" s="35">
        <f t="shared" si="155"/>
        <v>0.96710322780241309</v>
      </c>
      <c r="F324" s="27">
        <f t="shared" si="177"/>
        <v>9697</v>
      </c>
      <c r="G324" s="20">
        <f t="shared" si="142"/>
        <v>319</v>
      </c>
      <c r="H324" s="27">
        <f t="shared" si="178"/>
        <v>9378</v>
      </c>
      <c r="I324" s="27">
        <f t="shared" si="179"/>
        <v>7565</v>
      </c>
      <c r="J324" s="20">
        <f t="shared" si="143"/>
        <v>1813</v>
      </c>
      <c r="K324" s="27"/>
      <c r="L324" s="4"/>
      <c r="M324" s="81">
        <v>2019</v>
      </c>
      <c r="N324" s="82" t="s">
        <v>44</v>
      </c>
      <c r="O324" s="35">
        <f t="shared" si="144"/>
        <v>0.79627906976744189</v>
      </c>
      <c r="P324" s="35">
        <f t="shared" si="145"/>
        <v>0.82251201098146876</v>
      </c>
      <c r="Q324" s="35">
        <f t="shared" si="146"/>
        <v>0.96810631229235877</v>
      </c>
      <c r="R324" s="20">
        <v>7525</v>
      </c>
      <c r="S324" s="27">
        <f t="shared" si="186"/>
        <v>240</v>
      </c>
      <c r="T324" s="20">
        <v>7285</v>
      </c>
      <c r="U324" s="20">
        <v>5992</v>
      </c>
      <c r="V324" s="27">
        <f t="shared" si="187"/>
        <v>1293</v>
      </c>
      <c r="W324" s="27"/>
      <c r="X324" s="4"/>
      <c r="Y324" s="62">
        <v>2019</v>
      </c>
      <c r="Z324" s="63" t="s">
        <v>44</v>
      </c>
      <c r="AA324" s="35">
        <f t="shared" si="147"/>
        <v>0.73175182481751821</v>
      </c>
      <c r="AB324" s="35">
        <f t="shared" si="148"/>
        <v>0.75093632958801493</v>
      </c>
      <c r="AC324" s="35">
        <f t="shared" si="149"/>
        <v>0.97445255474452552</v>
      </c>
      <c r="AD324" s="20">
        <v>1096</v>
      </c>
      <c r="AE324" s="27">
        <f t="shared" si="188"/>
        <v>28</v>
      </c>
      <c r="AF324" s="20">
        <v>1068</v>
      </c>
      <c r="AG324" s="20">
        <v>802</v>
      </c>
      <c r="AH324" s="27">
        <f t="shared" si="189"/>
        <v>266</v>
      </c>
      <c r="AI324" s="27"/>
      <c r="AJ324" s="4"/>
      <c r="AK324" s="62">
        <v>2019</v>
      </c>
      <c r="AL324" s="63" t="s">
        <v>44</v>
      </c>
      <c r="AM324" s="35">
        <f t="shared" si="150"/>
        <v>0.71654275092936803</v>
      </c>
      <c r="AN324" s="35">
        <f t="shared" si="151"/>
        <v>0.75219512195121951</v>
      </c>
      <c r="AO324" s="35">
        <f t="shared" si="152"/>
        <v>0.95260223048327142</v>
      </c>
      <c r="AP324" s="20">
        <v>1076</v>
      </c>
      <c r="AQ324" s="27">
        <f t="shared" si="190"/>
        <v>51</v>
      </c>
      <c r="AR324" s="20">
        <v>1025</v>
      </c>
      <c r="AS324" s="20">
        <v>771</v>
      </c>
      <c r="AT324" s="27">
        <f t="shared" si="191"/>
        <v>254</v>
      </c>
      <c r="AU324" s="29"/>
    </row>
    <row r="325" spans="1:47" s="3" customFormat="1" ht="12.75">
      <c r="A325" s="64">
        <v>2019</v>
      </c>
      <c r="B325" s="65" t="s">
        <v>45</v>
      </c>
      <c r="C325" s="35">
        <f t="shared" si="153"/>
        <v>0.79251314839641129</v>
      </c>
      <c r="D325" s="35">
        <f t="shared" si="154"/>
        <v>0.82306950840741133</v>
      </c>
      <c r="E325" s="35">
        <f t="shared" si="155"/>
        <v>0.96287511601526243</v>
      </c>
      <c r="F325" s="27">
        <f t="shared" si="177"/>
        <v>9697</v>
      </c>
      <c r="G325" s="20">
        <f t="shared" si="142"/>
        <v>360</v>
      </c>
      <c r="H325" s="27">
        <f t="shared" si="178"/>
        <v>9337</v>
      </c>
      <c r="I325" s="27">
        <f t="shared" si="179"/>
        <v>7685</v>
      </c>
      <c r="J325" s="20">
        <f t="shared" si="143"/>
        <v>1652</v>
      </c>
      <c r="K325" s="27"/>
      <c r="L325" s="4"/>
      <c r="M325" s="81">
        <v>2019</v>
      </c>
      <c r="N325" s="82" t="s">
        <v>45</v>
      </c>
      <c r="O325" s="35">
        <f t="shared" si="144"/>
        <v>0.81129568106312289</v>
      </c>
      <c r="P325" s="35">
        <f t="shared" si="145"/>
        <v>0.84662321453335188</v>
      </c>
      <c r="Q325" s="35">
        <f t="shared" si="146"/>
        <v>0.95827242524916945</v>
      </c>
      <c r="R325" s="20">
        <v>7525</v>
      </c>
      <c r="S325" s="27">
        <f t="shared" si="186"/>
        <v>314</v>
      </c>
      <c r="T325" s="20">
        <v>7211</v>
      </c>
      <c r="U325" s="20">
        <v>6105</v>
      </c>
      <c r="V325" s="27">
        <f t="shared" si="187"/>
        <v>1106</v>
      </c>
      <c r="W325" s="27"/>
      <c r="X325" s="4"/>
      <c r="Y325" s="64">
        <v>2019</v>
      </c>
      <c r="Z325" s="65" t="s">
        <v>45</v>
      </c>
      <c r="AA325" s="35">
        <f t="shared" si="147"/>
        <v>0.59306569343065696</v>
      </c>
      <c r="AB325" s="35">
        <f t="shared" si="148"/>
        <v>0.61090225563909772</v>
      </c>
      <c r="AC325" s="35">
        <f t="shared" si="149"/>
        <v>0.97080291970802923</v>
      </c>
      <c r="AD325" s="20">
        <v>1096</v>
      </c>
      <c r="AE325" s="27">
        <f t="shared" si="188"/>
        <v>32</v>
      </c>
      <c r="AF325" s="20">
        <v>1064</v>
      </c>
      <c r="AG325" s="20">
        <v>650</v>
      </c>
      <c r="AH325" s="27">
        <f t="shared" si="189"/>
        <v>414</v>
      </c>
      <c r="AI325" s="27"/>
      <c r="AJ325" s="4"/>
      <c r="AK325" s="64">
        <v>2019</v>
      </c>
      <c r="AL325" s="65" t="s">
        <v>45</v>
      </c>
      <c r="AM325" s="35">
        <f t="shared" si="150"/>
        <v>0.86431226765799252</v>
      </c>
      <c r="AN325" s="35">
        <f t="shared" si="151"/>
        <v>0.87570621468926557</v>
      </c>
      <c r="AO325" s="35">
        <f t="shared" si="152"/>
        <v>0.98698884758364314</v>
      </c>
      <c r="AP325" s="20">
        <v>1076</v>
      </c>
      <c r="AQ325" s="27">
        <f t="shared" si="190"/>
        <v>14</v>
      </c>
      <c r="AR325" s="20">
        <v>1062</v>
      </c>
      <c r="AS325" s="20">
        <v>930</v>
      </c>
      <c r="AT325" s="27">
        <f t="shared" si="191"/>
        <v>132</v>
      </c>
      <c r="AU325" s="29"/>
    </row>
    <row r="326" spans="1:47" s="3" customFormat="1" ht="12.75">
      <c r="A326" s="62">
        <v>2019</v>
      </c>
      <c r="B326" s="63" t="s">
        <v>46</v>
      </c>
      <c r="C326" s="35">
        <f t="shared" si="153"/>
        <v>0.79101936582251542</v>
      </c>
      <c r="D326" s="35">
        <f t="shared" si="154"/>
        <v>0.82362065145136276</v>
      </c>
      <c r="E326" s="35">
        <f t="shared" si="155"/>
        <v>0.96041711002340924</v>
      </c>
      <c r="F326" s="27">
        <f t="shared" si="177"/>
        <v>9398</v>
      </c>
      <c r="G326" s="20">
        <f t="shared" ref="G326:G334" si="192">F326-H326</f>
        <v>372</v>
      </c>
      <c r="H326" s="27">
        <f t="shared" si="178"/>
        <v>9026</v>
      </c>
      <c r="I326" s="27">
        <f t="shared" si="179"/>
        <v>7434</v>
      </c>
      <c r="J326" s="20">
        <f t="shared" ref="J326:J334" si="193">H326-I326</f>
        <v>1592</v>
      </c>
      <c r="K326" s="27"/>
      <c r="L326" s="4"/>
      <c r="M326" s="81">
        <v>2019</v>
      </c>
      <c r="N326" s="82" t="s">
        <v>46</v>
      </c>
      <c r="O326" s="35">
        <f t="shared" ref="O326:O334" si="194">U326/R326</f>
        <v>0.84173746231844337</v>
      </c>
      <c r="P326" s="35">
        <f t="shared" ref="P326:P334" si="195">U326/T326</f>
        <v>0.86521126760563383</v>
      </c>
      <c r="Q326" s="35">
        <f t="shared" ref="Q326:Q334" si="196">T326/R326</f>
        <v>0.97286927925459032</v>
      </c>
      <c r="R326" s="20">
        <v>7298</v>
      </c>
      <c r="S326" s="27">
        <f t="shared" si="186"/>
        <v>198</v>
      </c>
      <c r="T326" s="20">
        <v>7100</v>
      </c>
      <c r="U326" s="20">
        <v>6143</v>
      </c>
      <c r="V326" s="27">
        <f t="shared" si="187"/>
        <v>957</v>
      </c>
      <c r="W326" s="27"/>
      <c r="X326" s="4"/>
      <c r="Y326" s="62">
        <v>2019</v>
      </c>
      <c r="Z326" s="63" t="s">
        <v>46</v>
      </c>
      <c r="AA326" s="35">
        <f t="shared" ref="AA326:AA334" si="197">AG326/AD326</f>
        <v>0.41037735849056606</v>
      </c>
      <c r="AB326" s="35">
        <f t="shared" ref="AB326:AB334" si="198">AG326/AF326</f>
        <v>0.4662379421221865</v>
      </c>
      <c r="AC326" s="35">
        <f t="shared" ref="AC326:AC334" si="199">AF326/AD326</f>
        <v>0.88018867924528299</v>
      </c>
      <c r="AD326" s="20">
        <v>1060</v>
      </c>
      <c r="AE326" s="27">
        <f t="shared" si="188"/>
        <v>127</v>
      </c>
      <c r="AF326" s="20">
        <v>933</v>
      </c>
      <c r="AG326" s="20">
        <v>435</v>
      </c>
      <c r="AH326" s="27">
        <f t="shared" si="189"/>
        <v>498</v>
      </c>
      <c r="AI326" s="27"/>
      <c r="AJ326" s="4"/>
      <c r="AK326" s="62">
        <v>2019</v>
      </c>
      <c r="AL326" s="63" t="s">
        <v>46</v>
      </c>
      <c r="AM326" s="35">
        <f t="shared" ref="AM326:AM334" si="200">AS326/AP326</f>
        <v>0.82307692307692304</v>
      </c>
      <c r="AN326" s="35">
        <f t="shared" ref="AN326:AN334" si="201">AS326/AR326</f>
        <v>0.86203423967774417</v>
      </c>
      <c r="AO326" s="35">
        <f t="shared" ref="AO326:AO334" si="202">AR326/AP326</f>
        <v>0.95480769230769236</v>
      </c>
      <c r="AP326" s="20">
        <v>1040</v>
      </c>
      <c r="AQ326" s="27">
        <f t="shared" si="190"/>
        <v>47</v>
      </c>
      <c r="AR326" s="20">
        <v>993</v>
      </c>
      <c r="AS326" s="20">
        <v>856</v>
      </c>
      <c r="AT326" s="27">
        <f t="shared" si="191"/>
        <v>137</v>
      </c>
      <c r="AU326" s="29"/>
    </row>
    <row r="327" spans="1:47" s="3" customFormat="1" ht="12.75">
      <c r="A327" s="64">
        <v>2019</v>
      </c>
      <c r="B327" s="65" t="s">
        <v>47</v>
      </c>
      <c r="C327" s="35">
        <f t="shared" si="153"/>
        <v>0.78337609030271937</v>
      </c>
      <c r="D327" s="35">
        <f t="shared" si="154"/>
        <v>0.82699599176687244</v>
      </c>
      <c r="E327" s="35">
        <f t="shared" si="155"/>
        <v>0.94725500256541817</v>
      </c>
      <c r="F327" s="27">
        <f t="shared" si="177"/>
        <v>9745</v>
      </c>
      <c r="G327" s="20">
        <f t="shared" si="192"/>
        <v>514</v>
      </c>
      <c r="H327" s="27">
        <f t="shared" si="178"/>
        <v>9231</v>
      </c>
      <c r="I327" s="27">
        <f t="shared" si="179"/>
        <v>7634</v>
      </c>
      <c r="J327" s="20">
        <f t="shared" si="193"/>
        <v>1597</v>
      </c>
      <c r="K327" s="27"/>
      <c r="L327" s="4"/>
      <c r="M327" s="81">
        <v>2019</v>
      </c>
      <c r="N327" s="82" t="s">
        <v>47</v>
      </c>
      <c r="O327" s="35">
        <f t="shared" si="194"/>
        <v>0.83163871649280341</v>
      </c>
      <c r="P327" s="35">
        <f t="shared" si="195"/>
        <v>0.84901590725262877</v>
      </c>
      <c r="Q327" s="35">
        <f t="shared" si="196"/>
        <v>0.97953254984814475</v>
      </c>
      <c r="R327" s="20">
        <v>7573</v>
      </c>
      <c r="S327" s="27">
        <f t="shared" si="186"/>
        <v>155</v>
      </c>
      <c r="T327" s="20">
        <v>7418</v>
      </c>
      <c r="U327" s="20">
        <v>6298</v>
      </c>
      <c r="V327" s="27">
        <f t="shared" si="187"/>
        <v>1120</v>
      </c>
      <c r="W327" s="27"/>
      <c r="X327" s="4"/>
      <c r="Y327" s="64">
        <v>2019</v>
      </c>
      <c r="Z327" s="65" t="s">
        <v>47</v>
      </c>
      <c r="AA327" s="35">
        <f t="shared" si="197"/>
        <v>0.76733576642335766</v>
      </c>
      <c r="AB327" s="35">
        <f t="shared" si="198"/>
        <v>0.83432539682539686</v>
      </c>
      <c r="AC327" s="35">
        <f t="shared" si="199"/>
        <v>0.91970802919708028</v>
      </c>
      <c r="AD327" s="20">
        <v>1096</v>
      </c>
      <c r="AE327" s="27">
        <f t="shared" si="188"/>
        <v>88</v>
      </c>
      <c r="AF327" s="20">
        <v>1008</v>
      </c>
      <c r="AG327" s="20">
        <v>841</v>
      </c>
      <c r="AH327" s="27">
        <f t="shared" si="189"/>
        <v>167</v>
      </c>
      <c r="AI327" s="27"/>
      <c r="AJ327" s="4"/>
      <c r="AK327" s="64">
        <v>2019</v>
      </c>
      <c r="AL327" s="65" t="s">
        <v>47</v>
      </c>
      <c r="AM327" s="35">
        <f t="shared" si="200"/>
        <v>0.4600371747211896</v>
      </c>
      <c r="AN327" s="35">
        <f t="shared" si="201"/>
        <v>0.6149068322981367</v>
      </c>
      <c r="AO327" s="35">
        <f t="shared" si="202"/>
        <v>0.7481412639405205</v>
      </c>
      <c r="AP327" s="20">
        <v>1076</v>
      </c>
      <c r="AQ327" s="27">
        <f t="shared" si="190"/>
        <v>271</v>
      </c>
      <c r="AR327" s="20">
        <v>805</v>
      </c>
      <c r="AS327" s="20">
        <v>495</v>
      </c>
      <c r="AT327" s="27">
        <f t="shared" si="191"/>
        <v>310</v>
      </c>
      <c r="AU327" s="29"/>
    </row>
    <row r="328" spans="1:47" s="3" customFormat="1" ht="12.75">
      <c r="A328" s="62">
        <v>2019</v>
      </c>
      <c r="B328" s="63" t="s">
        <v>48</v>
      </c>
      <c r="C328" s="35">
        <f t="shared" si="153"/>
        <v>0.7751259032187432</v>
      </c>
      <c r="D328" s="35">
        <f t="shared" si="154"/>
        <v>0.84125475285171103</v>
      </c>
      <c r="E328" s="35">
        <f t="shared" si="155"/>
        <v>0.92139259908035909</v>
      </c>
      <c r="F328" s="27">
        <f t="shared" si="177"/>
        <v>9134</v>
      </c>
      <c r="G328" s="20">
        <f t="shared" si="192"/>
        <v>718</v>
      </c>
      <c r="H328" s="27">
        <f t="shared" si="178"/>
        <v>8416</v>
      </c>
      <c r="I328" s="27">
        <f t="shared" si="179"/>
        <v>7080</v>
      </c>
      <c r="J328" s="20">
        <f t="shared" si="193"/>
        <v>1336</v>
      </c>
      <c r="K328" s="27"/>
      <c r="L328" s="4"/>
      <c r="M328" s="81">
        <v>2019</v>
      </c>
      <c r="N328" s="82" t="s">
        <v>48</v>
      </c>
      <c r="O328" s="35">
        <f t="shared" si="194"/>
        <v>0.80206896551724138</v>
      </c>
      <c r="P328" s="35">
        <f t="shared" si="195"/>
        <v>0.84483510097341274</v>
      </c>
      <c r="Q328" s="35">
        <f t="shared" si="196"/>
        <v>0.94937931034482759</v>
      </c>
      <c r="R328" s="20">
        <v>7250</v>
      </c>
      <c r="S328" s="27">
        <f t="shared" si="186"/>
        <v>367</v>
      </c>
      <c r="T328" s="20">
        <v>6883</v>
      </c>
      <c r="U328" s="20">
        <v>5815</v>
      </c>
      <c r="V328" s="27">
        <f t="shared" si="187"/>
        <v>1068</v>
      </c>
      <c r="W328" s="27"/>
      <c r="X328" s="4"/>
      <c r="Y328" s="62">
        <v>2019</v>
      </c>
      <c r="Z328" s="63" t="s">
        <v>48</v>
      </c>
      <c r="AA328" s="35">
        <f t="shared" si="197"/>
        <v>0.70283018867924529</v>
      </c>
      <c r="AB328" s="35">
        <f t="shared" si="198"/>
        <v>0.82229580573951433</v>
      </c>
      <c r="AC328" s="35">
        <f t="shared" si="199"/>
        <v>0.8547169811320755</v>
      </c>
      <c r="AD328" s="20">
        <v>1060</v>
      </c>
      <c r="AE328" s="27">
        <f t="shared" si="188"/>
        <v>154</v>
      </c>
      <c r="AF328" s="20">
        <v>906</v>
      </c>
      <c r="AG328" s="20">
        <v>745</v>
      </c>
      <c r="AH328" s="27">
        <f t="shared" si="189"/>
        <v>161</v>
      </c>
      <c r="AI328" s="27"/>
      <c r="AJ328" s="4"/>
      <c r="AK328" s="62">
        <v>2019</v>
      </c>
      <c r="AL328" s="63" t="s">
        <v>48</v>
      </c>
      <c r="AM328" s="35">
        <f t="shared" si="200"/>
        <v>0.6310679611650486</v>
      </c>
      <c r="AN328" s="35">
        <f t="shared" si="201"/>
        <v>0.82934609250398728</v>
      </c>
      <c r="AO328" s="35">
        <f t="shared" si="202"/>
        <v>0.76092233009708743</v>
      </c>
      <c r="AP328" s="20">
        <v>824</v>
      </c>
      <c r="AQ328" s="27">
        <f t="shared" si="190"/>
        <v>197</v>
      </c>
      <c r="AR328" s="20">
        <v>627</v>
      </c>
      <c r="AS328" s="20">
        <v>520</v>
      </c>
      <c r="AT328" s="27">
        <f t="shared" si="191"/>
        <v>107</v>
      </c>
      <c r="AU328" s="29"/>
    </row>
    <row r="329" spans="1:47" s="3" customFormat="1" ht="12.75">
      <c r="A329" s="64">
        <v>2019</v>
      </c>
      <c r="B329" s="65" t="s">
        <v>49</v>
      </c>
      <c r="C329" s="35">
        <f t="shared" si="153"/>
        <v>0.73205586229295228</v>
      </c>
      <c r="D329" s="35">
        <f t="shared" si="154"/>
        <v>0.82003395585738537</v>
      </c>
      <c r="E329" s="35">
        <f t="shared" si="155"/>
        <v>0.89271408465952151</v>
      </c>
      <c r="F329" s="27">
        <f t="shared" si="177"/>
        <v>9237</v>
      </c>
      <c r="G329" s="20">
        <f t="shared" si="192"/>
        <v>991</v>
      </c>
      <c r="H329" s="27">
        <f t="shared" si="178"/>
        <v>8246</v>
      </c>
      <c r="I329" s="27">
        <f t="shared" si="179"/>
        <v>6762</v>
      </c>
      <c r="J329" s="20">
        <f t="shared" si="193"/>
        <v>1484</v>
      </c>
      <c r="K329" s="27"/>
      <c r="L329" s="10"/>
      <c r="M329" s="81">
        <v>2019</v>
      </c>
      <c r="N329" s="82" t="s">
        <v>49</v>
      </c>
      <c r="O329" s="35">
        <f t="shared" si="194"/>
        <v>0.74389078498293515</v>
      </c>
      <c r="P329" s="35">
        <f t="shared" si="195"/>
        <v>0.8132835820895522</v>
      </c>
      <c r="Q329" s="35">
        <f t="shared" si="196"/>
        <v>0.91467576791808869</v>
      </c>
      <c r="R329" s="20">
        <v>7325</v>
      </c>
      <c r="S329" s="27">
        <f t="shared" si="186"/>
        <v>625</v>
      </c>
      <c r="T329" s="20">
        <v>6700</v>
      </c>
      <c r="U329" s="20">
        <v>5449</v>
      </c>
      <c r="V329" s="27">
        <f t="shared" si="187"/>
        <v>1251</v>
      </c>
      <c r="W329" s="27"/>
      <c r="X329" s="4"/>
      <c r="Y329" s="64">
        <v>2019</v>
      </c>
      <c r="Z329" s="65" t="s">
        <v>49</v>
      </c>
      <c r="AA329" s="35">
        <f t="shared" si="197"/>
        <v>0.66575091575091572</v>
      </c>
      <c r="AB329" s="35">
        <f t="shared" si="198"/>
        <v>0.7945355191256831</v>
      </c>
      <c r="AC329" s="35">
        <f t="shared" si="199"/>
        <v>0.83791208791208793</v>
      </c>
      <c r="AD329" s="20">
        <v>1092</v>
      </c>
      <c r="AE329" s="27">
        <f t="shared" si="188"/>
        <v>177</v>
      </c>
      <c r="AF329" s="20">
        <v>915</v>
      </c>
      <c r="AG329" s="20">
        <v>727</v>
      </c>
      <c r="AH329" s="27">
        <f t="shared" si="189"/>
        <v>188</v>
      </c>
      <c r="AI329" s="27"/>
      <c r="AJ329" s="4"/>
      <c r="AK329" s="64">
        <v>2019</v>
      </c>
      <c r="AL329" s="65" t="s">
        <v>49</v>
      </c>
      <c r="AM329" s="35">
        <f t="shared" si="200"/>
        <v>0.71463414634146338</v>
      </c>
      <c r="AN329" s="35">
        <f t="shared" si="201"/>
        <v>0.92868462757527737</v>
      </c>
      <c r="AO329" s="35">
        <f t="shared" si="202"/>
        <v>0.76951219512195124</v>
      </c>
      <c r="AP329" s="20">
        <v>820</v>
      </c>
      <c r="AQ329" s="27">
        <f t="shared" si="190"/>
        <v>189</v>
      </c>
      <c r="AR329" s="20">
        <v>631</v>
      </c>
      <c r="AS329" s="20">
        <v>586</v>
      </c>
      <c r="AT329" s="27">
        <f t="shared" si="191"/>
        <v>45</v>
      </c>
      <c r="AU329" s="29"/>
    </row>
    <row r="330" spans="1:47" s="3" customFormat="1" ht="12.75">
      <c r="A330" s="66">
        <v>2020</v>
      </c>
      <c r="B330" s="67" t="s">
        <v>38</v>
      </c>
      <c r="C330" s="35">
        <f t="shared" ref="C330:C334" si="203">I330/F330</f>
        <v>0.83858060440138993</v>
      </c>
      <c r="D330" s="35">
        <f t="shared" ref="D330:D334" si="204">I330/H330</f>
        <v>0.87238470807317336</v>
      </c>
      <c r="E330" s="35">
        <f t="shared" ref="E330:E334" si="205">H330/F330</f>
        <v>0.96125092134358214</v>
      </c>
      <c r="F330" s="27">
        <f t="shared" si="177"/>
        <v>9497</v>
      </c>
      <c r="G330" s="20">
        <f t="shared" si="192"/>
        <v>368</v>
      </c>
      <c r="H330" s="27">
        <f t="shared" si="178"/>
        <v>9129</v>
      </c>
      <c r="I330" s="27">
        <f t="shared" si="179"/>
        <v>7964</v>
      </c>
      <c r="J330" s="20">
        <f t="shared" si="193"/>
        <v>1165</v>
      </c>
      <c r="K330" s="27"/>
      <c r="L330" s="4"/>
      <c r="M330" s="83">
        <v>2020</v>
      </c>
      <c r="N330" s="84" t="s">
        <v>38</v>
      </c>
      <c r="O330" s="35">
        <f t="shared" si="194"/>
        <v>0.85567146441304631</v>
      </c>
      <c r="P330" s="35">
        <f t="shared" si="195"/>
        <v>0.87804878048780488</v>
      </c>
      <c r="Q330" s="35">
        <f t="shared" si="196"/>
        <v>0.97451472335930278</v>
      </c>
      <c r="R330" s="20">
        <v>7573</v>
      </c>
      <c r="S330" s="27">
        <f t="shared" si="186"/>
        <v>193</v>
      </c>
      <c r="T330" s="20">
        <v>7380</v>
      </c>
      <c r="U330" s="20">
        <v>6480</v>
      </c>
      <c r="V330" s="27">
        <f t="shared" si="187"/>
        <v>900</v>
      </c>
      <c r="W330" s="27"/>
      <c r="X330" s="4"/>
      <c r="Y330" s="66">
        <v>2020</v>
      </c>
      <c r="Z330" s="67" t="s">
        <v>38</v>
      </c>
      <c r="AA330" s="35">
        <f t="shared" si="197"/>
        <v>0.78375912408759119</v>
      </c>
      <c r="AB330" s="35">
        <f t="shared" si="198"/>
        <v>0.82200956937799041</v>
      </c>
      <c r="AC330" s="35">
        <f t="shared" si="199"/>
        <v>0.95346715328467158</v>
      </c>
      <c r="AD330" s="20">
        <v>1096</v>
      </c>
      <c r="AE330" s="27">
        <f t="shared" si="188"/>
        <v>51</v>
      </c>
      <c r="AF330" s="20">
        <v>1045</v>
      </c>
      <c r="AG330" s="20">
        <v>859</v>
      </c>
      <c r="AH330" s="27">
        <f t="shared" si="189"/>
        <v>186</v>
      </c>
      <c r="AI330" s="27"/>
      <c r="AJ330" s="4"/>
      <c r="AK330" s="66">
        <v>2020</v>
      </c>
      <c r="AL330" s="67" t="s">
        <v>38</v>
      </c>
      <c r="AM330" s="35">
        <f t="shared" si="200"/>
        <v>0.75483091787439616</v>
      </c>
      <c r="AN330" s="35">
        <f t="shared" si="201"/>
        <v>0.88778409090909094</v>
      </c>
      <c r="AO330" s="35">
        <f t="shared" si="202"/>
        <v>0.85024154589371981</v>
      </c>
      <c r="AP330" s="20">
        <v>828</v>
      </c>
      <c r="AQ330" s="27">
        <f t="shared" si="190"/>
        <v>124</v>
      </c>
      <c r="AR330" s="20">
        <v>704</v>
      </c>
      <c r="AS330" s="20">
        <v>625</v>
      </c>
      <c r="AT330" s="27">
        <f t="shared" si="191"/>
        <v>79</v>
      </c>
      <c r="AU330" s="29"/>
    </row>
    <row r="331" spans="1:47" s="3" customFormat="1" ht="12.75">
      <c r="A331" s="68">
        <v>2020</v>
      </c>
      <c r="B331" s="69" t="s">
        <v>39</v>
      </c>
      <c r="C331" s="35">
        <f t="shared" si="203"/>
        <v>0.8450098756825839</v>
      </c>
      <c r="D331" s="35">
        <f t="shared" si="204"/>
        <v>0.8878173828125</v>
      </c>
      <c r="E331" s="35">
        <f t="shared" si="205"/>
        <v>0.95178343209015914</v>
      </c>
      <c r="F331" s="27">
        <f t="shared" si="177"/>
        <v>8607</v>
      </c>
      <c r="G331" s="20">
        <f t="shared" si="192"/>
        <v>415</v>
      </c>
      <c r="H331" s="27">
        <f t="shared" si="178"/>
        <v>8192</v>
      </c>
      <c r="I331" s="27">
        <f t="shared" si="179"/>
        <v>7273</v>
      </c>
      <c r="J331" s="20">
        <f t="shared" si="193"/>
        <v>919</v>
      </c>
      <c r="K331" s="27"/>
      <c r="L331" s="4"/>
      <c r="M331" s="83">
        <v>2020</v>
      </c>
      <c r="N331" s="84" t="s">
        <v>39</v>
      </c>
      <c r="O331" s="35">
        <f t="shared" si="194"/>
        <v>0.87879232009380037</v>
      </c>
      <c r="P331" s="35">
        <f t="shared" si="195"/>
        <v>0.89814260035949667</v>
      </c>
      <c r="Q331" s="35">
        <f t="shared" si="196"/>
        <v>0.97845522497435145</v>
      </c>
      <c r="R331" s="20">
        <v>6823</v>
      </c>
      <c r="S331" s="27">
        <f t="shared" si="186"/>
        <v>147</v>
      </c>
      <c r="T331" s="20">
        <v>6676</v>
      </c>
      <c r="U331" s="20">
        <v>5996</v>
      </c>
      <c r="V331" s="27">
        <f t="shared" si="187"/>
        <v>680</v>
      </c>
      <c r="W331" s="27"/>
      <c r="X331" s="4"/>
      <c r="Y331" s="68">
        <v>2020</v>
      </c>
      <c r="Z331" s="69" t="s">
        <v>39</v>
      </c>
      <c r="AA331" s="35">
        <f t="shared" si="197"/>
        <v>0.71470588235294119</v>
      </c>
      <c r="AB331" s="35">
        <f t="shared" si="198"/>
        <v>0.80730897009966773</v>
      </c>
      <c r="AC331" s="35">
        <f t="shared" si="199"/>
        <v>0.88529411764705879</v>
      </c>
      <c r="AD331" s="20">
        <v>1020</v>
      </c>
      <c r="AE331" s="27">
        <f t="shared" si="188"/>
        <v>117</v>
      </c>
      <c r="AF331" s="20">
        <v>903</v>
      </c>
      <c r="AG331" s="20">
        <v>729</v>
      </c>
      <c r="AH331" s="27">
        <f t="shared" si="189"/>
        <v>174</v>
      </c>
      <c r="AI331" s="27"/>
      <c r="AJ331" s="4"/>
      <c r="AK331" s="68">
        <v>2020</v>
      </c>
      <c r="AL331" s="69" t="s">
        <v>39</v>
      </c>
      <c r="AM331" s="35">
        <f t="shared" si="200"/>
        <v>0.7172774869109948</v>
      </c>
      <c r="AN331" s="35">
        <f t="shared" si="201"/>
        <v>0.89396411092985317</v>
      </c>
      <c r="AO331" s="35">
        <f t="shared" si="202"/>
        <v>0.80235602094240843</v>
      </c>
      <c r="AP331" s="20">
        <v>764</v>
      </c>
      <c r="AQ331" s="27">
        <f t="shared" si="190"/>
        <v>151</v>
      </c>
      <c r="AR331" s="20">
        <v>613</v>
      </c>
      <c r="AS331" s="20">
        <v>548</v>
      </c>
      <c r="AT331" s="27">
        <f t="shared" si="191"/>
        <v>65</v>
      </c>
      <c r="AU331" s="29"/>
    </row>
    <row r="332" spans="1:47" s="29" customFormat="1" ht="12.75">
      <c r="A332" s="83">
        <v>2020</v>
      </c>
      <c r="B332" s="84" t="s">
        <v>40</v>
      </c>
      <c r="C332" s="35">
        <f t="shared" si="203"/>
        <v>0.72811178054095627</v>
      </c>
      <c r="D332" s="35">
        <f t="shared" si="204"/>
        <v>0.87103205029903386</v>
      </c>
      <c r="E332" s="35">
        <f t="shared" si="205"/>
        <v>0.83591847199077041</v>
      </c>
      <c r="F332" s="27">
        <f t="shared" si="177"/>
        <v>7801</v>
      </c>
      <c r="G332" s="20">
        <f t="shared" si="192"/>
        <v>1280</v>
      </c>
      <c r="H332" s="27">
        <f t="shared" si="178"/>
        <v>6521</v>
      </c>
      <c r="I332" s="27">
        <f t="shared" si="179"/>
        <v>5680</v>
      </c>
      <c r="J332" s="20">
        <f t="shared" si="193"/>
        <v>841</v>
      </c>
      <c r="K332" s="27"/>
      <c r="L332" s="27"/>
      <c r="M332" s="83">
        <v>2020</v>
      </c>
      <c r="N332" s="84" t="s">
        <v>40</v>
      </c>
      <c r="O332" s="35">
        <f t="shared" si="194"/>
        <v>0.75987993996998504</v>
      </c>
      <c r="P332" s="35">
        <f t="shared" si="195"/>
        <v>0.87449625791594698</v>
      </c>
      <c r="Q332" s="35">
        <f t="shared" si="196"/>
        <v>0.86893446723361678</v>
      </c>
      <c r="R332" s="20">
        <v>5997</v>
      </c>
      <c r="S332" s="27">
        <f t="shared" si="186"/>
        <v>786</v>
      </c>
      <c r="T332" s="20">
        <v>5211</v>
      </c>
      <c r="U332" s="20">
        <v>4557</v>
      </c>
      <c r="V332" s="27">
        <f t="shared" si="187"/>
        <v>654</v>
      </c>
      <c r="W332" s="27"/>
      <c r="X332" s="27"/>
      <c r="Y332" s="83">
        <v>2020</v>
      </c>
      <c r="Z332" s="84" t="s">
        <v>40</v>
      </c>
      <c r="AA332" s="35">
        <f t="shared" si="197"/>
        <v>0.59753787878787878</v>
      </c>
      <c r="AB332" s="35">
        <f t="shared" si="198"/>
        <v>0.82699868938401044</v>
      </c>
      <c r="AC332" s="35">
        <f t="shared" si="199"/>
        <v>0.72253787878787878</v>
      </c>
      <c r="AD332" s="20">
        <v>1056</v>
      </c>
      <c r="AE332" s="27">
        <f t="shared" si="188"/>
        <v>293</v>
      </c>
      <c r="AF332" s="20">
        <v>763</v>
      </c>
      <c r="AG332" s="20">
        <v>631</v>
      </c>
      <c r="AH332" s="27">
        <f t="shared" si="189"/>
        <v>132</v>
      </c>
      <c r="AI332" s="27"/>
      <c r="AJ332" s="27"/>
      <c r="AK332" s="83">
        <v>2020</v>
      </c>
      <c r="AL332" s="84" t="s">
        <v>40</v>
      </c>
      <c r="AM332" s="35">
        <f t="shared" si="200"/>
        <v>0.65775401069518713</v>
      </c>
      <c r="AN332" s="35">
        <f t="shared" si="201"/>
        <v>0.89945155393053011</v>
      </c>
      <c r="AO332" s="35">
        <f t="shared" si="202"/>
        <v>0.73128342245989308</v>
      </c>
      <c r="AP332" s="20">
        <v>748</v>
      </c>
      <c r="AQ332" s="27">
        <f t="shared" si="190"/>
        <v>201</v>
      </c>
      <c r="AR332" s="20">
        <v>547</v>
      </c>
      <c r="AS332" s="20">
        <v>492</v>
      </c>
      <c r="AT332" s="27">
        <f t="shared" si="191"/>
        <v>55</v>
      </c>
    </row>
    <row r="333" spans="1:47" s="29" customFormat="1" ht="12.75">
      <c r="A333" s="83">
        <v>2020</v>
      </c>
      <c r="B333" s="84" t="s">
        <v>41</v>
      </c>
      <c r="C333" s="35">
        <f t="shared" si="203"/>
        <v>0.68894044856921888</v>
      </c>
      <c r="D333" s="35">
        <f t="shared" si="204"/>
        <v>0.91345365053322392</v>
      </c>
      <c r="E333" s="35">
        <f t="shared" si="205"/>
        <v>0.75421500386697604</v>
      </c>
      <c r="F333" s="27">
        <f t="shared" si="177"/>
        <v>6465</v>
      </c>
      <c r="G333" s="20">
        <f t="shared" si="192"/>
        <v>1589</v>
      </c>
      <c r="H333" s="27">
        <f t="shared" si="178"/>
        <v>4876</v>
      </c>
      <c r="I333" s="27">
        <f t="shared" si="179"/>
        <v>4454</v>
      </c>
      <c r="J333" s="20">
        <f t="shared" si="193"/>
        <v>422</v>
      </c>
      <c r="K333" s="27"/>
      <c r="L333" s="27"/>
      <c r="M333" s="83">
        <v>2020</v>
      </c>
      <c r="N333" s="84" t="s">
        <v>41</v>
      </c>
      <c r="O333" s="35">
        <f t="shared" si="194"/>
        <v>0.69729225023342667</v>
      </c>
      <c r="P333" s="35">
        <f t="shared" si="195"/>
        <v>0.92334322453016815</v>
      </c>
      <c r="Q333" s="35">
        <f t="shared" si="196"/>
        <v>0.75518207282913163</v>
      </c>
      <c r="R333" s="20">
        <v>5355</v>
      </c>
      <c r="S333" s="27">
        <f t="shared" si="186"/>
        <v>1311</v>
      </c>
      <c r="T333" s="20">
        <v>4044</v>
      </c>
      <c r="U333" s="20">
        <v>3734</v>
      </c>
      <c r="V333" s="27">
        <f t="shared" si="187"/>
        <v>310</v>
      </c>
      <c r="W333" s="27"/>
      <c r="X333" s="27"/>
      <c r="Y333" s="83">
        <v>2020</v>
      </c>
      <c r="Z333" s="84" t="s">
        <v>41</v>
      </c>
      <c r="AA333" s="35">
        <f t="shared" si="197"/>
        <v>0.7803921568627451</v>
      </c>
      <c r="AB333" s="35">
        <f t="shared" si="198"/>
        <v>0.90045248868778283</v>
      </c>
      <c r="AC333" s="35">
        <f t="shared" si="199"/>
        <v>0.8666666666666667</v>
      </c>
      <c r="AD333" s="20">
        <v>510</v>
      </c>
      <c r="AE333" s="27">
        <f t="shared" si="188"/>
        <v>68</v>
      </c>
      <c r="AF333" s="20">
        <v>442</v>
      </c>
      <c r="AG333" s="20">
        <v>398</v>
      </c>
      <c r="AH333" s="27">
        <f t="shared" si="189"/>
        <v>44</v>
      </c>
      <c r="AI333" s="27"/>
      <c r="AJ333" s="27"/>
      <c r="AK333" s="83">
        <v>2020</v>
      </c>
      <c r="AL333" s="84" t="s">
        <v>41</v>
      </c>
      <c r="AM333" s="35">
        <f t="shared" si="200"/>
        <v>0.53666666666666663</v>
      </c>
      <c r="AN333" s="35">
        <f t="shared" si="201"/>
        <v>0.82564102564102559</v>
      </c>
      <c r="AO333" s="35">
        <f t="shared" si="202"/>
        <v>0.65</v>
      </c>
      <c r="AP333" s="20">
        <v>600</v>
      </c>
      <c r="AQ333" s="27">
        <f t="shared" si="190"/>
        <v>210</v>
      </c>
      <c r="AR333" s="20">
        <v>390</v>
      </c>
      <c r="AS333" s="20">
        <v>322</v>
      </c>
      <c r="AT333" s="27">
        <f t="shared" si="191"/>
        <v>68</v>
      </c>
    </row>
    <row r="334" spans="1:47" s="29" customFormat="1" ht="12.75">
      <c r="A334" s="83">
        <v>2020</v>
      </c>
      <c r="B334" s="84" t="s">
        <v>42</v>
      </c>
      <c r="C334" s="35">
        <f t="shared" si="203"/>
        <v>0.74144960362400902</v>
      </c>
      <c r="D334" s="35">
        <f t="shared" si="204"/>
        <v>0.88700718059883488</v>
      </c>
      <c r="E334" s="35">
        <f t="shared" si="205"/>
        <v>0.83590033975084943</v>
      </c>
      <c r="F334" s="27">
        <f t="shared" si="177"/>
        <v>8830</v>
      </c>
      <c r="G334" s="20">
        <f t="shared" si="192"/>
        <v>1449</v>
      </c>
      <c r="H334" s="27">
        <f t="shared" si="178"/>
        <v>7381</v>
      </c>
      <c r="I334" s="27">
        <f t="shared" si="179"/>
        <v>6547</v>
      </c>
      <c r="J334" s="20">
        <f t="shared" si="193"/>
        <v>834</v>
      </c>
      <c r="K334" s="27"/>
      <c r="L334" s="27"/>
      <c r="M334" s="83">
        <v>2020</v>
      </c>
      <c r="N334" s="84" t="s">
        <v>42</v>
      </c>
      <c r="O334" s="35">
        <f t="shared" si="194"/>
        <v>0.81282903851482402</v>
      </c>
      <c r="P334" s="35">
        <f t="shared" si="195"/>
        <v>0.88961334344200149</v>
      </c>
      <c r="Q334" s="35">
        <f t="shared" si="196"/>
        <v>0.91368800221668056</v>
      </c>
      <c r="R334" s="20">
        <v>7218</v>
      </c>
      <c r="S334" s="27">
        <f t="shared" si="186"/>
        <v>623</v>
      </c>
      <c r="T334" s="20">
        <v>6595</v>
      </c>
      <c r="U334" s="20">
        <v>5867</v>
      </c>
      <c r="V334" s="27">
        <f t="shared" si="187"/>
        <v>728</v>
      </c>
      <c r="W334" s="27"/>
      <c r="X334" s="27"/>
      <c r="Y334" s="83">
        <v>2020</v>
      </c>
      <c r="Z334" s="84" t="s">
        <v>42</v>
      </c>
      <c r="AA334" s="35">
        <f t="shared" si="197"/>
        <v>0.35181451612903225</v>
      </c>
      <c r="AB334" s="35">
        <f t="shared" si="198"/>
        <v>0.85121951219512193</v>
      </c>
      <c r="AC334" s="35">
        <f t="shared" si="199"/>
        <v>0.41330645161290325</v>
      </c>
      <c r="AD334" s="20">
        <v>992</v>
      </c>
      <c r="AE334" s="27">
        <f t="shared" si="188"/>
        <v>582</v>
      </c>
      <c r="AF334" s="20">
        <v>410</v>
      </c>
      <c r="AG334" s="20">
        <v>349</v>
      </c>
      <c r="AH334" s="27">
        <f t="shared" si="189"/>
        <v>61</v>
      </c>
      <c r="AI334" s="27"/>
      <c r="AJ334" s="27"/>
      <c r="AK334" s="83">
        <v>2020</v>
      </c>
      <c r="AL334" s="84" t="s">
        <v>42</v>
      </c>
      <c r="AM334" s="35">
        <f t="shared" si="200"/>
        <v>0.53387096774193543</v>
      </c>
      <c r="AN334" s="35">
        <f t="shared" si="201"/>
        <v>0.88031914893617025</v>
      </c>
      <c r="AO334" s="35">
        <f t="shared" si="202"/>
        <v>0.6064516129032258</v>
      </c>
      <c r="AP334" s="20">
        <v>620</v>
      </c>
      <c r="AQ334" s="27">
        <f t="shared" si="190"/>
        <v>244</v>
      </c>
      <c r="AR334" s="20">
        <v>376</v>
      </c>
      <c r="AS334" s="20">
        <v>331</v>
      </c>
      <c r="AT334" s="27">
        <f t="shared" si="191"/>
        <v>45</v>
      </c>
    </row>
    <row r="335" spans="1:47" s="32" customFormat="1">
      <c r="A335" s="83">
        <v>2020</v>
      </c>
      <c r="B335" s="84" t="s">
        <v>43</v>
      </c>
      <c r="C335" s="35">
        <f t="shared" ref="C335:C339" si="206">I335/F335</f>
        <v>0.75148859678687785</v>
      </c>
      <c r="D335" s="35">
        <f t="shared" ref="D335:D339" si="207">I335/H335</f>
        <v>0.92735338971301817</v>
      </c>
      <c r="E335" s="35">
        <f t="shared" ref="E335:E339" si="208">H335/F335</f>
        <v>0.81035838669812377</v>
      </c>
      <c r="F335" s="27">
        <f t="shared" ref="F335" si="209">+R335+AD335+AP335</f>
        <v>8901</v>
      </c>
      <c r="G335" s="20">
        <f t="shared" ref="G335" si="210">F335-H335</f>
        <v>1688</v>
      </c>
      <c r="H335" s="27">
        <f t="shared" ref="H335" si="211">+T335+AF335+AR335</f>
        <v>7213</v>
      </c>
      <c r="I335" s="27">
        <f t="shared" ref="I335" si="212">+U335+AG335+AS335</f>
        <v>6689</v>
      </c>
      <c r="J335" s="20">
        <f t="shared" ref="J335" si="213">H335-I335</f>
        <v>524</v>
      </c>
      <c r="K335" s="27"/>
      <c r="M335" s="83">
        <v>2020</v>
      </c>
      <c r="N335" s="84" t="s">
        <v>43</v>
      </c>
      <c r="O335" s="35">
        <f t="shared" ref="O335" si="214">U335/R335</f>
        <v>0.81637379103664354</v>
      </c>
      <c r="P335" s="35">
        <f t="shared" ref="P335" si="215">U335/T335</f>
        <v>0.93567525370804061</v>
      </c>
      <c r="Q335" s="35">
        <f t="shared" ref="Q335" si="216">T335/R335</f>
        <v>0.87249693502247649</v>
      </c>
      <c r="R335" s="59">
        <f>7193+148</f>
        <v>7341</v>
      </c>
      <c r="S335" s="56">
        <f t="shared" ref="S335:S341" si="217">R335-T335</f>
        <v>936</v>
      </c>
      <c r="T335" s="59">
        <v>6405</v>
      </c>
      <c r="U335" s="59">
        <v>5993</v>
      </c>
      <c r="V335" s="56">
        <f t="shared" ref="V335:V341" si="218">T335-U335</f>
        <v>412</v>
      </c>
      <c r="W335" s="56"/>
      <c r="Y335" s="83">
        <v>2020</v>
      </c>
      <c r="Z335" s="84" t="s">
        <v>43</v>
      </c>
      <c r="AA335" s="35">
        <f t="shared" ref="AA335" si="219">AG335/AD335</f>
        <v>0.35</v>
      </c>
      <c r="AB335" s="35">
        <f t="shared" ref="AB335" si="220">AG335/AF335</f>
        <v>0.87728459530026115</v>
      </c>
      <c r="AC335" s="35">
        <f t="shared" ref="AC335" si="221">AF335/AD335</f>
        <v>0.39895833333333336</v>
      </c>
      <c r="AD335" s="59">
        <v>960</v>
      </c>
      <c r="AE335" s="56">
        <f t="shared" ref="AE335:AE341" si="222">AD335-AF335</f>
        <v>577</v>
      </c>
      <c r="AF335" s="59">
        <v>383</v>
      </c>
      <c r="AG335" s="59">
        <v>336</v>
      </c>
      <c r="AH335" s="56">
        <f t="shared" ref="AH335:AH341" si="223">AF335-AG335</f>
        <v>47</v>
      </c>
      <c r="AI335" s="56"/>
      <c r="AK335" s="83">
        <v>2020</v>
      </c>
      <c r="AL335" s="84" t="s">
        <v>43</v>
      </c>
      <c r="AM335" s="35">
        <f t="shared" ref="AM335" si="224">AS335/AP335</f>
        <v>0.6</v>
      </c>
      <c r="AN335" s="35">
        <f t="shared" ref="AN335" si="225">AS335/AR335</f>
        <v>0.84705882352941175</v>
      </c>
      <c r="AO335" s="35">
        <f t="shared" ref="AO335" si="226">AR335/AP335</f>
        <v>0.70833333333333337</v>
      </c>
      <c r="AP335" s="59">
        <v>600</v>
      </c>
      <c r="AQ335" s="56">
        <f t="shared" ref="AQ335:AQ341" si="227">AP335-AR335</f>
        <v>175</v>
      </c>
      <c r="AR335" s="59">
        <v>425</v>
      </c>
      <c r="AS335" s="59">
        <v>360</v>
      </c>
      <c r="AT335" s="56">
        <f t="shared" ref="AT335:AT341" si="228">AR335-AS335</f>
        <v>65</v>
      </c>
      <c r="AU335" s="57"/>
    </row>
    <row r="336" spans="1:47" s="32" customFormat="1">
      <c r="A336" s="83">
        <v>2020</v>
      </c>
      <c r="B336" s="84" t="s">
        <v>44</v>
      </c>
      <c r="C336" s="35">
        <f t="shared" si="206"/>
        <v>0.67791685292802861</v>
      </c>
      <c r="D336" s="35">
        <f t="shared" si="207"/>
        <v>0.91396715383456384</v>
      </c>
      <c r="E336" s="35">
        <f t="shared" si="208"/>
        <v>0.74172999552972729</v>
      </c>
      <c r="F336" s="56">
        <f>+R336+AD336+AP336</f>
        <v>8948</v>
      </c>
      <c r="G336" s="59">
        <f>F336-H336</f>
        <v>2311</v>
      </c>
      <c r="H336" s="56">
        <f t="shared" ref="H336:I339" si="229">+T336+AF336+AR336</f>
        <v>6637</v>
      </c>
      <c r="I336" s="56">
        <f t="shared" si="229"/>
        <v>6066</v>
      </c>
      <c r="J336" s="59">
        <f>H336-I336</f>
        <v>571</v>
      </c>
      <c r="K336" s="56"/>
      <c r="M336" s="83">
        <v>2020</v>
      </c>
      <c r="N336" s="84" t="s">
        <v>44</v>
      </c>
      <c r="O336" s="58">
        <f t="shared" ref="O336:O341" si="230">U336/R336</f>
        <v>0.72216216216216211</v>
      </c>
      <c r="P336" s="58">
        <f t="shared" ref="P336:P341" si="231">U336/T336</f>
        <v>0.91742489270386263</v>
      </c>
      <c r="Q336" s="58">
        <f t="shared" ref="Q336:Q341" si="232">T336/R336</f>
        <v>0.78716216216216217</v>
      </c>
      <c r="R336" s="59">
        <v>7400</v>
      </c>
      <c r="S336" s="56">
        <f t="shared" si="217"/>
        <v>1575</v>
      </c>
      <c r="T336" s="59">
        <v>5825</v>
      </c>
      <c r="U336" s="59">
        <v>5344</v>
      </c>
      <c r="V336" s="56">
        <f t="shared" si="218"/>
        <v>481</v>
      </c>
      <c r="W336" s="56"/>
      <c r="Y336" s="83">
        <v>2020</v>
      </c>
      <c r="Z336" s="84" t="s">
        <v>43</v>
      </c>
      <c r="AA336" s="58">
        <f t="shared" ref="AA336:AA341" si="233">AG336/AD336</f>
        <v>0.39415322580645162</v>
      </c>
      <c r="AB336" s="58">
        <f t="shared" ref="AB336:AB341" si="234">AG336/AF336</f>
        <v>0.89473684210526316</v>
      </c>
      <c r="AC336" s="58">
        <f t="shared" ref="AC336:AC341" si="235">AF336/AD336</f>
        <v>0.44052419354838712</v>
      </c>
      <c r="AD336" s="59">
        <v>992</v>
      </c>
      <c r="AE336" s="56">
        <f t="shared" si="222"/>
        <v>555</v>
      </c>
      <c r="AF336" s="59">
        <v>437</v>
      </c>
      <c r="AG336" s="59">
        <v>391</v>
      </c>
      <c r="AH336" s="56">
        <f t="shared" si="223"/>
        <v>46</v>
      </c>
      <c r="AI336" s="56"/>
      <c r="AK336" s="83">
        <v>2020</v>
      </c>
      <c r="AL336" s="84" t="s">
        <v>44</v>
      </c>
      <c r="AM336" s="58">
        <f t="shared" ref="AM336:AM341" si="236">AS336/AP336</f>
        <v>0.59532374100719421</v>
      </c>
      <c r="AN336" s="58">
        <f t="shared" ref="AN336:AN341" si="237">AS336/AR336</f>
        <v>0.88266666666666671</v>
      </c>
      <c r="AO336" s="58">
        <f t="shared" ref="AO336:AO341" si="238">AR336/AP336</f>
        <v>0.67446043165467628</v>
      </c>
      <c r="AP336" s="59">
        <v>556</v>
      </c>
      <c r="AQ336" s="56">
        <f t="shared" si="227"/>
        <v>181</v>
      </c>
      <c r="AR336" s="59">
        <v>375</v>
      </c>
      <c r="AS336" s="59">
        <v>331</v>
      </c>
      <c r="AT336" s="56">
        <f t="shared" si="228"/>
        <v>44</v>
      </c>
      <c r="AU336" s="57"/>
    </row>
    <row r="337" spans="1:47" s="32" customFormat="1">
      <c r="A337" s="83">
        <v>2020</v>
      </c>
      <c r="B337" s="84" t="s">
        <v>45</v>
      </c>
      <c r="C337" s="35">
        <f t="shared" si="206"/>
        <v>0.6357743097238896</v>
      </c>
      <c r="D337" s="35">
        <f t="shared" si="207"/>
        <v>0.91215983465380646</v>
      </c>
      <c r="E337" s="35">
        <f t="shared" si="208"/>
        <v>0.69699879951980792</v>
      </c>
      <c r="F337" s="56">
        <f>+R337+AD337+AP337</f>
        <v>8330</v>
      </c>
      <c r="G337" s="59">
        <f>F337-H337</f>
        <v>2524</v>
      </c>
      <c r="H337" s="56">
        <f t="shared" si="229"/>
        <v>5806</v>
      </c>
      <c r="I337" s="56">
        <f t="shared" si="229"/>
        <v>5296</v>
      </c>
      <c r="J337" s="59">
        <f>H337-I337</f>
        <v>510</v>
      </c>
      <c r="K337" s="56"/>
      <c r="M337" s="83">
        <v>2020</v>
      </c>
      <c r="N337" s="84" t="s">
        <v>45</v>
      </c>
      <c r="O337" s="58">
        <f t="shared" si="230"/>
        <v>0.69473684210526321</v>
      </c>
      <c r="P337" s="58">
        <f t="shared" si="231"/>
        <v>0.91543055287998454</v>
      </c>
      <c r="Q337" s="58">
        <f t="shared" si="232"/>
        <v>0.75891812865497077</v>
      </c>
      <c r="R337" s="59">
        <v>6840</v>
      </c>
      <c r="S337" s="56">
        <f t="shared" si="217"/>
        <v>1649</v>
      </c>
      <c r="T337" s="59">
        <v>5191</v>
      </c>
      <c r="U337" s="59">
        <v>4752</v>
      </c>
      <c r="V337" s="56">
        <f t="shared" si="218"/>
        <v>439</v>
      </c>
      <c r="W337" s="56"/>
      <c r="Y337" s="83">
        <v>2020</v>
      </c>
      <c r="Z337" s="84" t="s">
        <v>45</v>
      </c>
      <c r="AA337" s="58">
        <f t="shared" si="233"/>
        <v>0.33870967741935482</v>
      </c>
      <c r="AB337" s="58">
        <f t="shared" si="234"/>
        <v>0.88421052631578945</v>
      </c>
      <c r="AC337" s="58">
        <f t="shared" si="235"/>
        <v>0.38306451612903225</v>
      </c>
      <c r="AD337" s="59">
        <v>992</v>
      </c>
      <c r="AE337" s="56">
        <f t="shared" si="222"/>
        <v>612</v>
      </c>
      <c r="AF337" s="59">
        <v>380</v>
      </c>
      <c r="AG337" s="59">
        <v>336</v>
      </c>
      <c r="AH337" s="56">
        <f t="shared" si="223"/>
        <v>44</v>
      </c>
      <c r="AI337" s="56"/>
      <c r="AK337" s="83">
        <v>2020</v>
      </c>
      <c r="AL337" s="84" t="s">
        <v>45</v>
      </c>
      <c r="AM337" s="58">
        <f t="shared" si="236"/>
        <v>0.41767068273092367</v>
      </c>
      <c r="AN337" s="58">
        <f t="shared" si="237"/>
        <v>0.88510638297872335</v>
      </c>
      <c r="AO337" s="58">
        <f t="shared" si="238"/>
        <v>0.4718875502008032</v>
      </c>
      <c r="AP337" s="59">
        <v>498</v>
      </c>
      <c r="AQ337" s="56">
        <f t="shared" si="227"/>
        <v>263</v>
      </c>
      <c r="AR337" s="59">
        <v>235</v>
      </c>
      <c r="AS337" s="59">
        <v>208</v>
      </c>
      <c r="AT337" s="56">
        <f t="shared" si="228"/>
        <v>27</v>
      </c>
      <c r="AU337" s="57"/>
    </row>
    <row r="338" spans="1:47" s="32" customFormat="1">
      <c r="A338" s="83">
        <v>2020</v>
      </c>
      <c r="B338" s="84" t="s">
        <v>46</v>
      </c>
      <c r="C338" s="35">
        <f t="shared" si="206"/>
        <v>0.76102539181144457</v>
      </c>
      <c r="D338" s="35">
        <f t="shared" si="207"/>
        <v>0.90116529995684069</v>
      </c>
      <c r="E338" s="35">
        <f t="shared" si="208"/>
        <v>0.84449034139229739</v>
      </c>
      <c r="F338" s="56">
        <f>+R338+AD338+AP338</f>
        <v>8231</v>
      </c>
      <c r="G338" s="59">
        <f>F338-H338</f>
        <v>1280</v>
      </c>
      <c r="H338" s="56">
        <f t="shared" si="229"/>
        <v>6951</v>
      </c>
      <c r="I338" s="56">
        <f t="shared" si="229"/>
        <v>6264</v>
      </c>
      <c r="J338" s="59">
        <f>H338-I338</f>
        <v>687</v>
      </c>
      <c r="K338" s="56"/>
      <c r="M338" s="83">
        <v>2020</v>
      </c>
      <c r="N338" s="84" t="s">
        <v>46</v>
      </c>
      <c r="O338" s="58">
        <f t="shared" si="230"/>
        <v>0.80468404772425983</v>
      </c>
      <c r="P338" s="58">
        <f t="shared" si="231"/>
        <v>0.90476979132162971</v>
      </c>
      <c r="Q338" s="58">
        <f t="shared" si="232"/>
        <v>0.8893798792163794</v>
      </c>
      <c r="R338" s="59">
        <v>6789</v>
      </c>
      <c r="S338" s="56">
        <f t="shared" si="217"/>
        <v>751</v>
      </c>
      <c r="T338" s="59">
        <v>6038</v>
      </c>
      <c r="U338" s="59">
        <v>5463</v>
      </c>
      <c r="V338" s="56">
        <f t="shared" si="218"/>
        <v>575</v>
      </c>
      <c r="W338" s="56"/>
      <c r="Y338" s="83">
        <v>2020</v>
      </c>
      <c r="Z338" s="84" t="s">
        <v>46</v>
      </c>
      <c r="AA338" s="58">
        <f t="shared" si="233"/>
        <v>0.49062499999999998</v>
      </c>
      <c r="AB338" s="58">
        <f t="shared" si="234"/>
        <v>0.86422018348623852</v>
      </c>
      <c r="AC338" s="58">
        <f t="shared" si="235"/>
        <v>0.56770833333333337</v>
      </c>
      <c r="AD338" s="59">
        <v>960</v>
      </c>
      <c r="AE338" s="56">
        <f t="shared" si="222"/>
        <v>415</v>
      </c>
      <c r="AF338" s="59">
        <v>545</v>
      </c>
      <c r="AG338" s="59">
        <v>471</v>
      </c>
      <c r="AH338" s="56">
        <f t="shared" si="223"/>
        <v>74</v>
      </c>
      <c r="AI338" s="56"/>
      <c r="AK338" s="83">
        <v>2020</v>
      </c>
      <c r="AL338" s="84" t="s">
        <v>46</v>
      </c>
      <c r="AM338" s="58">
        <f t="shared" si="236"/>
        <v>0.68464730290456433</v>
      </c>
      <c r="AN338" s="58">
        <f t="shared" si="237"/>
        <v>0.89673913043478259</v>
      </c>
      <c r="AO338" s="58">
        <f t="shared" si="238"/>
        <v>0.76348547717842319</v>
      </c>
      <c r="AP338" s="59">
        <v>482</v>
      </c>
      <c r="AQ338" s="56">
        <f t="shared" si="227"/>
        <v>114</v>
      </c>
      <c r="AR338" s="59">
        <v>368</v>
      </c>
      <c r="AS338" s="59">
        <v>330</v>
      </c>
      <c r="AT338" s="56">
        <f t="shared" si="228"/>
        <v>38</v>
      </c>
      <c r="AU338" s="57"/>
    </row>
    <row r="339" spans="1:47" s="32" customFormat="1">
      <c r="A339" s="83">
        <v>2020</v>
      </c>
      <c r="B339" s="84" t="s">
        <v>47</v>
      </c>
      <c r="C339" s="35">
        <f t="shared" si="206"/>
        <v>0.73052530812492522</v>
      </c>
      <c r="D339" s="35">
        <f t="shared" si="207"/>
        <v>0.83653055631679907</v>
      </c>
      <c r="E339" s="35">
        <f t="shared" si="208"/>
        <v>0.87327988512624144</v>
      </c>
      <c r="F339" s="56">
        <f>+R339+AD339+AP339</f>
        <v>8357</v>
      </c>
      <c r="G339" s="59">
        <f>F339-H339</f>
        <v>1059</v>
      </c>
      <c r="H339" s="56">
        <f t="shared" si="229"/>
        <v>7298</v>
      </c>
      <c r="I339" s="56">
        <f t="shared" si="229"/>
        <v>6105</v>
      </c>
      <c r="J339" s="59">
        <f>H339-I339</f>
        <v>1193</v>
      </c>
      <c r="K339" s="56"/>
      <c r="M339" s="83">
        <v>2020</v>
      </c>
      <c r="N339" s="84" t="s">
        <v>47</v>
      </c>
      <c r="O339" s="58">
        <f t="shared" si="230"/>
        <v>0.75658756733148935</v>
      </c>
      <c r="P339" s="58">
        <f t="shared" si="231"/>
        <v>0.82992654104120089</v>
      </c>
      <c r="Q339" s="58">
        <f t="shared" si="232"/>
        <v>0.91163196971902749</v>
      </c>
      <c r="R339" s="59">
        <v>6869</v>
      </c>
      <c r="S339" s="56">
        <f t="shared" si="217"/>
        <v>607</v>
      </c>
      <c r="T339" s="59">
        <v>6262</v>
      </c>
      <c r="U339" s="59">
        <v>5197</v>
      </c>
      <c r="V339" s="56">
        <f t="shared" si="218"/>
        <v>1065</v>
      </c>
      <c r="W339" s="56"/>
      <c r="Y339" s="83">
        <v>2020</v>
      </c>
      <c r="Z339" s="84" t="s">
        <v>47</v>
      </c>
      <c r="AA339" s="58">
        <f t="shared" si="233"/>
        <v>0.53427419354838712</v>
      </c>
      <c r="AB339" s="58">
        <f t="shared" si="234"/>
        <v>0.87458745874587462</v>
      </c>
      <c r="AC339" s="58">
        <f t="shared" si="235"/>
        <v>0.61088709677419351</v>
      </c>
      <c r="AD339" s="59">
        <v>992</v>
      </c>
      <c r="AE339" s="56">
        <f t="shared" si="222"/>
        <v>386</v>
      </c>
      <c r="AF339" s="59">
        <v>606</v>
      </c>
      <c r="AG339" s="59">
        <v>530</v>
      </c>
      <c r="AH339" s="56">
        <f t="shared" si="223"/>
        <v>76</v>
      </c>
      <c r="AI339" s="56"/>
      <c r="AK339" s="83">
        <v>2020</v>
      </c>
      <c r="AL339" s="84" t="s">
        <v>47</v>
      </c>
      <c r="AM339" s="58">
        <f t="shared" si="236"/>
        <v>0.76209677419354838</v>
      </c>
      <c r="AN339" s="58">
        <f t="shared" si="237"/>
        <v>0.87906976744186049</v>
      </c>
      <c r="AO339" s="58">
        <f t="shared" si="238"/>
        <v>0.86693548387096775</v>
      </c>
      <c r="AP339" s="59">
        <v>496</v>
      </c>
      <c r="AQ339" s="56">
        <f t="shared" si="227"/>
        <v>66</v>
      </c>
      <c r="AR339" s="59">
        <v>430</v>
      </c>
      <c r="AS339" s="59">
        <v>378</v>
      </c>
      <c r="AT339" s="56">
        <f t="shared" si="228"/>
        <v>52</v>
      </c>
      <c r="AU339" s="57"/>
    </row>
    <row r="340" spans="1:47" s="32" customFormat="1">
      <c r="A340" s="83">
        <v>2020</v>
      </c>
      <c r="B340" s="84" t="s">
        <v>48</v>
      </c>
      <c r="C340" s="35">
        <f t="shared" ref="C340:C350" si="239">I340/F340</f>
        <v>0.75307094509902228</v>
      </c>
      <c r="D340" s="35">
        <f t="shared" ref="D340" si="240">I340/H340</f>
        <v>0.86984218908353839</v>
      </c>
      <c r="E340" s="35">
        <f t="shared" ref="E340" si="241">H340/F340</f>
        <v>0.86575582852845323</v>
      </c>
      <c r="F340" s="56">
        <f t="shared" ref="F340:F341" si="242">+R340+AD340+AP340</f>
        <v>7978</v>
      </c>
      <c r="G340" s="59">
        <f t="shared" ref="G340:G341" si="243">F340-H340</f>
        <v>1071</v>
      </c>
      <c r="H340" s="56">
        <f t="shared" ref="H340:H341" si="244">+T340+AF340+AR340</f>
        <v>6907</v>
      </c>
      <c r="I340" s="56">
        <f t="shared" ref="I340:I341" si="245">+U340+AG340+AS340</f>
        <v>6008</v>
      </c>
      <c r="J340" s="59">
        <f t="shared" ref="J340:J341" si="246">H340-I340</f>
        <v>899</v>
      </c>
      <c r="K340" s="56"/>
      <c r="M340" s="83">
        <v>2020</v>
      </c>
      <c r="N340" s="84" t="s">
        <v>48</v>
      </c>
      <c r="O340" s="58">
        <f t="shared" si="230"/>
        <v>0.77929030284490675</v>
      </c>
      <c r="P340" s="58">
        <f t="shared" si="231"/>
        <v>0.87273038711887629</v>
      </c>
      <c r="Q340" s="58">
        <f t="shared" si="232"/>
        <v>0.89293361884368305</v>
      </c>
      <c r="R340" s="59">
        <v>6538</v>
      </c>
      <c r="S340" s="56">
        <f t="shared" si="217"/>
        <v>700</v>
      </c>
      <c r="T340" s="59">
        <v>5838</v>
      </c>
      <c r="U340" s="59">
        <v>5095</v>
      </c>
      <c r="V340" s="56">
        <f t="shared" si="218"/>
        <v>743</v>
      </c>
      <c r="W340" s="56"/>
      <c r="Y340" s="83">
        <v>2020</v>
      </c>
      <c r="Z340" s="84" t="s">
        <v>48</v>
      </c>
      <c r="AA340" s="58">
        <f t="shared" si="233"/>
        <v>0.55312499999999998</v>
      </c>
      <c r="AB340" s="58">
        <f t="shared" si="234"/>
        <v>0.82071097372488411</v>
      </c>
      <c r="AC340" s="58">
        <f t="shared" si="235"/>
        <v>0.67395833333333333</v>
      </c>
      <c r="AD340" s="59">
        <v>960</v>
      </c>
      <c r="AE340" s="56">
        <f t="shared" si="222"/>
        <v>313</v>
      </c>
      <c r="AF340" s="59">
        <v>647</v>
      </c>
      <c r="AG340" s="59">
        <v>531</v>
      </c>
      <c r="AH340" s="56">
        <f t="shared" si="223"/>
        <v>116</v>
      </c>
      <c r="AI340" s="56"/>
      <c r="AK340" s="83">
        <v>2020</v>
      </c>
      <c r="AL340" s="84" t="s">
        <v>48</v>
      </c>
      <c r="AM340" s="58">
        <f t="shared" si="236"/>
        <v>0.79583333333333328</v>
      </c>
      <c r="AN340" s="58">
        <f t="shared" si="237"/>
        <v>0.90521327014218012</v>
      </c>
      <c r="AO340" s="58">
        <f t="shared" si="238"/>
        <v>0.87916666666666665</v>
      </c>
      <c r="AP340" s="59">
        <v>480</v>
      </c>
      <c r="AQ340" s="56">
        <f t="shared" si="227"/>
        <v>58</v>
      </c>
      <c r="AR340" s="59">
        <v>422</v>
      </c>
      <c r="AS340" s="59">
        <v>382</v>
      </c>
      <c r="AT340" s="56">
        <f t="shared" si="228"/>
        <v>40</v>
      </c>
      <c r="AU340" s="57"/>
    </row>
    <row r="341" spans="1:47" s="32" customFormat="1">
      <c r="A341" s="83">
        <v>2020</v>
      </c>
      <c r="B341" s="84" t="s">
        <v>49</v>
      </c>
      <c r="C341" s="35">
        <f t="shared" ref="C341:C343" si="247">I341/F341</f>
        <v>0.75248547449967718</v>
      </c>
      <c r="D341" s="35">
        <f t="shared" ref="D341:D343" si="248">I341/H341</f>
        <v>0.85567464395830273</v>
      </c>
      <c r="E341" s="35">
        <f t="shared" ref="E341:E343" si="249">H341/F341</f>
        <v>0.87940606843124591</v>
      </c>
      <c r="F341" s="56">
        <f t="shared" si="242"/>
        <v>7745</v>
      </c>
      <c r="G341" s="59">
        <f t="shared" si="243"/>
        <v>934</v>
      </c>
      <c r="H341" s="56">
        <f t="shared" si="244"/>
        <v>6811</v>
      </c>
      <c r="I341" s="56">
        <f t="shared" si="245"/>
        <v>5828</v>
      </c>
      <c r="J341" s="59">
        <f t="shared" si="246"/>
        <v>983</v>
      </c>
      <c r="K341" s="56"/>
      <c r="M341" s="83">
        <v>2020</v>
      </c>
      <c r="N341" s="84" t="s">
        <v>49</v>
      </c>
      <c r="O341" s="58">
        <f t="shared" si="230"/>
        <v>0.77846757065838912</v>
      </c>
      <c r="P341" s="58">
        <f t="shared" si="231"/>
        <v>0.85917778579156145</v>
      </c>
      <c r="Q341" s="58">
        <f t="shared" si="232"/>
        <v>0.90606110112726679</v>
      </c>
      <c r="R341" s="59">
        <v>6121</v>
      </c>
      <c r="S341" s="56">
        <f t="shared" si="217"/>
        <v>575</v>
      </c>
      <c r="T341" s="59">
        <v>5546</v>
      </c>
      <c r="U341" s="59">
        <v>4765</v>
      </c>
      <c r="V341" s="56">
        <f t="shared" si="218"/>
        <v>781</v>
      </c>
      <c r="W341" s="56"/>
      <c r="Y341" s="83">
        <v>2020</v>
      </c>
      <c r="Z341" s="84" t="s">
        <v>49</v>
      </c>
      <c r="AA341" s="58">
        <f t="shared" si="233"/>
        <v>0.61787072243346008</v>
      </c>
      <c r="AB341" s="58">
        <f t="shared" si="234"/>
        <v>0.80346106304079112</v>
      </c>
      <c r="AC341" s="58">
        <f t="shared" si="235"/>
        <v>0.76901140684410652</v>
      </c>
      <c r="AD341" s="59">
        <v>1052</v>
      </c>
      <c r="AE341" s="56">
        <f t="shared" si="222"/>
        <v>243</v>
      </c>
      <c r="AF341" s="59">
        <v>809</v>
      </c>
      <c r="AG341" s="59">
        <v>650</v>
      </c>
      <c r="AH341" s="56">
        <f t="shared" si="223"/>
        <v>159</v>
      </c>
      <c r="AI341" s="56"/>
      <c r="AK341" s="83">
        <v>2020</v>
      </c>
      <c r="AL341" s="84" t="s">
        <v>49</v>
      </c>
      <c r="AM341" s="58">
        <f t="shared" si="236"/>
        <v>0.72202797202797198</v>
      </c>
      <c r="AN341" s="58">
        <f t="shared" si="237"/>
        <v>0.9057017543859649</v>
      </c>
      <c r="AO341" s="58">
        <f t="shared" si="238"/>
        <v>0.79720279720279719</v>
      </c>
      <c r="AP341" s="59">
        <v>572</v>
      </c>
      <c r="AQ341" s="56">
        <f t="shared" si="227"/>
        <v>116</v>
      </c>
      <c r="AR341" s="59">
        <v>456</v>
      </c>
      <c r="AS341" s="59">
        <v>413</v>
      </c>
      <c r="AT341" s="56">
        <f t="shared" si="228"/>
        <v>43</v>
      </c>
      <c r="AU341" s="57"/>
    </row>
    <row r="342" spans="1:47" s="32" customFormat="1">
      <c r="A342" s="83">
        <v>2021</v>
      </c>
      <c r="B342" s="84" t="s">
        <v>38</v>
      </c>
      <c r="C342" s="35">
        <f t="shared" si="247"/>
        <v>0.81638491547464243</v>
      </c>
      <c r="D342" s="35">
        <f t="shared" si="248"/>
        <v>0.87620376831821356</v>
      </c>
      <c r="E342" s="35">
        <f t="shared" si="249"/>
        <v>0.93172951885565669</v>
      </c>
      <c r="F342" s="56">
        <f t="shared" ref="F342:F343" si="250">+R342+AD342+AP342</f>
        <v>7690</v>
      </c>
      <c r="G342" s="59">
        <f t="shared" ref="G342:G343" si="251">F342-H342</f>
        <v>525</v>
      </c>
      <c r="H342" s="56">
        <f t="shared" ref="H342:H343" si="252">+T342+AF342+AR342</f>
        <v>7165</v>
      </c>
      <c r="I342" s="56">
        <f t="shared" ref="I342:I343" si="253">+U342+AG342+AS342</f>
        <v>6278</v>
      </c>
      <c r="J342" s="59">
        <f t="shared" ref="J342:J343" si="254">H342-I342</f>
        <v>887</v>
      </c>
      <c r="K342" s="56"/>
      <c r="M342" s="83">
        <v>2021</v>
      </c>
      <c r="N342" s="84" t="s">
        <v>38</v>
      </c>
      <c r="O342" s="58">
        <f t="shared" ref="O342:O347" si="255">U342/R342</f>
        <v>0.83857477417196391</v>
      </c>
      <c r="P342" s="58">
        <f t="shared" ref="P342:P347" si="256">U342/T342</f>
        <v>0.874869109947644</v>
      </c>
      <c r="Q342" s="58">
        <f t="shared" ref="Q342:Q347" si="257">T342/R342</f>
        <v>0.95851455336232849</v>
      </c>
      <c r="R342" s="59">
        <v>5978</v>
      </c>
      <c r="S342" s="56">
        <f t="shared" ref="S342:S349" si="258">R342-T342</f>
        <v>248</v>
      </c>
      <c r="T342" s="59">
        <v>5730</v>
      </c>
      <c r="U342" s="59">
        <v>5013</v>
      </c>
      <c r="V342" s="56">
        <f t="shared" ref="V342:V347" si="259">T342-U342</f>
        <v>717</v>
      </c>
      <c r="W342" s="56"/>
      <c r="Y342" s="83">
        <v>2021</v>
      </c>
      <c r="Z342" s="84" t="s">
        <v>38</v>
      </c>
      <c r="AA342" s="58">
        <f t="shared" ref="AA342:AA347" si="260">AG342/AD342</f>
        <v>0.73443223443223449</v>
      </c>
      <c r="AB342" s="58">
        <f t="shared" ref="AB342:AB347" si="261">AG342/AF342</f>
        <v>0.87938596491228072</v>
      </c>
      <c r="AC342" s="58">
        <f t="shared" ref="AC342:AC347" si="262">AF342/AD342</f>
        <v>0.8351648351648352</v>
      </c>
      <c r="AD342" s="59">
        <v>1092</v>
      </c>
      <c r="AE342" s="56">
        <f t="shared" ref="AE342:AE349" si="263">AD342-AF342</f>
        <v>180</v>
      </c>
      <c r="AF342" s="59">
        <v>912</v>
      </c>
      <c r="AG342" s="59">
        <v>802</v>
      </c>
      <c r="AH342" s="56">
        <f t="shared" ref="AH342:AH347" si="264">AF342-AG342</f>
        <v>110</v>
      </c>
      <c r="AI342" s="56"/>
      <c r="AK342" s="83">
        <v>2021</v>
      </c>
      <c r="AL342" s="84" t="s">
        <v>38</v>
      </c>
      <c r="AM342" s="58">
        <f t="shared" ref="AM342:AM347" si="265">AS342/AP342</f>
        <v>0.74677419354838714</v>
      </c>
      <c r="AN342" s="58">
        <f t="shared" ref="AN342:AN347" si="266">AS342/AR342</f>
        <v>0.88527724665391971</v>
      </c>
      <c r="AO342" s="58">
        <f t="shared" ref="AO342:AO347" si="267">AR342/AP342</f>
        <v>0.84354838709677415</v>
      </c>
      <c r="AP342" s="59">
        <v>620</v>
      </c>
      <c r="AQ342" s="56">
        <f t="shared" ref="AQ342:AQ349" si="268">AP342-AR342</f>
        <v>97</v>
      </c>
      <c r="AR342" s="59">
        <v>523</v>
      </c>
      <c r="AS342" s="59">
        <v>463</v>
      </c>
      <c r="AT342" s="56">
        <f t="shared" ref="AT342:AT347" si="269">AR342-AS342</f>
        <v>60</v>
      </c>
      <c r="AU342" s="57"/>
    </row>
    <row r="343" spans="1:47" s="32" customFormat="1">
      <c r="A343" s="83">
        <v>2021</v>
      </c>
      <c r="B343" s="84" t="s">
        <v>39</v>
      </c>
      <c r="C343" s="35">
        <f t="shared" si="247"/>
        <v>0.75086855819339893</v>
      </c>
      <c r="D343" s="35">
        <f t="shared" si="248"/>
        <v>0.80806979280261726</v>
      </c>
      <c r="E343" s="35">
        <f t="shared" si="249"/>
        <v>0.92921250723798499</v>
      </c>
      <c r="F343" s="56">
        <f t="shared" si="250"/>
        <v>6908</v>
      </c>
      <c r="G343" s="59">
        <f t="shared" si="251"/>
        <v>489</v>
      </c>
      <c r="H343" s="56">
        <f t="shared" si="252"/>
        <v>6419</v>
      </c>
      <c r="I343" s="56">
        <f t="shared" si="253"/>
        <v>5187</v>
      </c>
      <c r="J343" s="59">
        <f t="shared" si="254"/>
        <v>1232</v>
      </c>
      <c r="K343" s="56"/>
      <c r="M343" s="83">
        <v>2021</v>
      </c>
      <c r="N343" s="84" t="s">
        <v>39</v>
      </c>
      <c r="O343" s="58">
        <f t="shared" si="255"/>
        <v>0.75335570469798663</v>
      </c>
      <c r="P343" s="58">
        <f t="shared" si="256"/>
        <v>0.79657007687758719</v>
      </c>
      <c r="Q343" s="58">
        <f t="shared" si="257"/>
        <v>0.94574944071588363</v>
      </c>
      <c r="R343" s="59">
        <v>5364</v>
      </c>
      <c r="S343" s="56">
        <f t="shared" si="258"/>
        <v>291</v>
      </c>
      <c r="T343" s="59">
        <v>5073</v>
      </c>
      <c r="U343" s="59">
        <v>4041</v>
      </c>
      <c r="V343" s="56">
        <f t="shared" si="259"/>
        <v>1032</v>
      </c>
      <c r="W343" s="56"/>
      <c r="Y343" s="83">
        <v>2021</v>
      </c>
      <c r="Z343" s="84" t="s">
        <v>39</v>
      </c>
      <c r="AA343" s="58">
        <f t="shared" si="260"/>
        <v>0.74695121951219512</v>
      </c>
      <c r="AB343" s="58">
        <f t="shared" si="261"/>
        <v>0.8428899082568807</v>
      </c>
      <c r="AC343" s="58">
        <f t="shared" si="262"/>
        <v>0.88617886178861793</v>
      </c>
      <c r="AD343" s="59">
        <v>984</v>
      </c>
      <c r="AE343" s="56">
        <f t="shared" si="263"/>
        <v>112</v>
      </c>
      <c r="AF343" s="59">
        <v>872</v>
      </c>
      <c r="AG343" s="59">
        <v>735</v>
      </c>
      <c r="AH343" s="56">
        <f t="shared" si="264"/>
        <v>137</v>
      </c>
      <c r="AI343" s="56"/>
      <c r="AK343" s="83">
        <v>2021</v>
      </c>
      <c r="AL343" s="84" t="s">
        <v>39</v>
      </c>
      <c r="AM343" s="58">
        <f t="shared" si="265"/>
        <v>0.73392857142857137</v>
      </c>
      <c r="AN343" s="58">
        <f t="shared" si="266"/>
        <v>0.86708860759493667</v>
      </c>
      <c r="AO343" s="58">
        <f t="shared" si="267"/>
        <v>0.84642857142857142</v>
      </c>
      <c r="AP343" s="59">
        <v>560</v>
      </c>
      <c r="AQ343" s="56">
        <f t="shared" si="268"/>
        <v>86</v>
      </c>
      <c r="AR343" s="59">
        <v>474</v>
      </c>
      <c r="AS343" s="59">
        <v>411</v>
      </c>
      <c r="AT343" s="56">
        <f t="shared" si="269"/>
        <v>63</v>
      </c>
      <c r="AU343" s="57"/>
    </row>
    <row r="344" spans="1:47" s="32" customFormat="1">
      <c r="A344" s="83">
        <v>2021</v>
      </c>
      <c r="B344" s="84" t="s">
        <v>40</v>
      </c>
      <c r="C344" s="35">
        <f t="shared" ref="C344:C345" si="270">I344/F344</f>
        <v>0.78525193552481276</v>
      </c>
      <c r="D344" s="35">
        <f t="shared" ref="D344:D345" si="271">I344/H344</f>
        <v>0.82570399039103159</v>
      </c>
      <c r="E344" s="35">
        <f t="shared" ref="E344:E345" si="272">H344/F344</f>
        <v>0.95100901129584969</v>
      </c>
      <c r="F344" s="56">
        <f t="shared" ref="F344:F345" si="273">+R344+AD344+AP344</f>
        <v>7879</v>
      </c>
      <c r="G344" s="59">
        <f t="shared" ref="G344:G345" si="274">F344-H344</f>
        <v>386</v>
      </c>
      <c r="H344" s="56">
        <f t="shared" ref="H344:H345" si="275">+T344+AF344+AR344</f>
        <v>7493</v>
      </c>
      <c r="I344" s="56">
        <f t="shared" ref="I344:I345" si="276">+U344+AG344+AS344</f>
        <v>6187</v>
      </c>
      <c r="J344" s="59">
        <f t="shared" ref="J344:J345" si="277">H344-I344</f>
        <v>1306</v>
      </c>
      <c r="K344" s="56"/>
      <c r="M344" s="83">
        <v>2021</v>
      </c>
      <c r="N344" s="84" t="s">
        <v>40</v>
      </c>
      <c r="O344" s="58">
        <f t="shared" si="255"/>
        <v>0.80545189031315922</v>
      </c>
      <c r="P344" s="58">
        <f t="shared" si="256"/>
        <v>0.83330535504448544</v>
      </c>
      <c r="Q344" s="58">
        <f t="shared" si="257"/>
        <v>0.96657472010384549</v>
      </c>
      <c r="R344" s="59">
        <v>6163</v>
      </c>
      <c r="S344" s="56">
        <f t="shared" si="258"/>
        <v>206</v>
      </c>
      <c r="T344" s="59">
        <v>5957</v>
      </c>
      <c r="U344" s="59">
        <v>4964</v>
      </c>
      <c r="V344" s="56">
        <f t="shared" si="259"/>
        <v>993</v>
      </c>
      <c r="W344" s="56"/>
      <c r="Y344" s="83">
        <v>2021</v>
      </c>
      <c r="Z344" s="84" t="s">
        <v>40</v>
      </c>
      <c r="AA344" s="58">
        <f t="shared" si="260"/>
        <v>0.68156934306569339</v>
      </c>
      <c r="AB344" s="58">
        <f t="shared" si="261"/>
        <v>0.76224489795918371</v>
      </c>
      <c r="AC344" s="58">
        <f t="shared" si="262"/>
        <v>0.8941605839416058</v>
      </c>
      <c r="AD344" s="59">
        <v>1096</v>
      </c>
      <c r="AE344" s="56">
        <f t="shared" si="263"/>
        <v>116</v>
      </c>
      <c r="AF344" s="59">
        <v>980</v>
      </c>
      <c r="AG344" s="59">
        <v>747</v>
      </c>
      <c r="AH344" s="56">
        <f t="shared" si="264"/>
        <v>233</v>
      </c>
      <c r="AI344" s="56"/>
      <c r="AK344" s="83">
        <v>2021</v>
      </c>
      <c r="AL344" s="84" t="s">
        <v>40</v>
      </c>
      <c r="AM344" s="58">
        <f t="shared" si="265"/>
        <v>0.76774193548387093</v>
      </c>
      <c r="AN344" s="58">
        <f t="shared" si="266"/>
        <v>0.85611510791366907</v>
      </c>
      <c r="AO344" s="58">
        <f t="shared" si="267"/>
        <v>0.89677419354838706</v>
      </c>
      <c r="AP344" s="59">
        <v>620</v>
      </c>
      <c r="AQ344" s="56">
        <f t="shared" si="268"/>
        <v>64</v>
      </c>
      <c r="AR344" s="59">
        <v>556</v>
      </c>
      <c r="AS344" s="59">
        <v>476</v>
      </c>
      <c r="AT344" s="56">
        <f t="shared" si="269"/>
        <v>80</v>
      </c>
      <c r="AU344" s="57"/>
    </row>
    <row r="345" spans="1:47" s="32" customFormat="1">
      <c r="A345" s="83">
        <v>2021</v>
      </c>
      <c r="B345" s="84" t="s">
        <v>41</v>
      </c>
      <c r="C345" s="35">
        <f t="shared" si="270"/>
        <v>0.73370577281191807</v>
      </c>
      <c r="D345" s="35">
        <f t="shared" si="271"/>
        <v>0.83533568904593636</v>
      </c>
      <c r="E345" s="35">
        <f t="shared" si="272"/>
        <v>0.87833643699565489</v>
      </c>
      <c r="F345" s="56">
        <f t="shared" si="273"/>
        <v>8055</v>
      </c>
      <c r="G345" s="59">
        <f t="shared" si="274"/>
        <v>980</v>
      </c>
      <c r="H345" s="56">
        <f t="shared" si="275"/>
        <v>7075</v>
      </c>
      <c r="I345" s="56">
        <f t="shared" si="276"/>
        <v>5910</v>
      </c>
      <c r="J345" s="59">
        <f t="shared" si="277"/>
        <v>1165</v>
      </c>
      <c r="K345" s="56"/>
      <c r="M345" s="83">
        <v>2021</v>
      </c>
      <c r="N345" s="84" t="s">
        <v>41</v>
      </c>
      <c r="O345" s="58">
        <f t="shared" si="255"/>
        <v>0.74698983580922595</v>
      </c>
      <c r="P345" s="58">
        <f t="shared" si="256"/>
        <v>0.83910064992095557</v>
      </c>
      <c r="Q345" s="58">
        <f t="shared" si="257"/>
        <v>0.89022673964034404</v>
      </c>
      <c r="R345" s="59">
        <v>6395</v>
      </c>
      <c r="S345" s="56">
        <f t="shared" si="258"/>
        <v>702</v>
      </c>
      <c r="T345" s="59">
        <v>5693</v>
      </c>
      <c r="U345" s="59">
        <v>4777</v>
      </c>
      <c r="V345" s="56">
        <f t="shared" si="259"/>
        <v>916</v>
      </c>
      <c r="W345" s="56"/>
      <c r="Y345" s="83">
        <v>2021</v>
      </c>
      <c r="Z345" s="84" t="s">
        <v>41</v>
      </c>
      <c r="AA345" s="58">
        <f t="shared" si="260"/>
        <v>0.68018867924528303</v>
      </c>
      <c r="AB345" s="58">
        <f t="shared" si="261"/>
        <v>0.80829596412556048</v>
      </c>
      <c r="AC345" s="58">
        <f t="shared" si="262"/>
        <v>0.84150943396226419</v>
      </c>
      <c r="AD345" s="59">
        <v>1060</v>
      </c>
      <c r="AE345" s="56">
        <f t="shared" si="263"/>
        <v>168</v>
      </c>
      <c r="AF345" s="59">
        <v>892</v>
      </c>
      <c r="AG345" s="59">
        <v>721</v>
      </c>
      <c r="AH345" s="56">
        <f t="shared" si="264"/>
        <v>171</v>
      </c>
      <c r="AI345" s="56"/>
      <c r="AK345" s="83">
        <v>2021</v>
      </c>
      <c r="AL345" s="84" t="s">
        <v>41</v>
      </c>
      <c r="AM345" s="58">
        <f t="shared" si="265"/>
        <v>0.68666666666666665</v>
      </c>
      <c r="AN345" s="58">
        <f t="shared" si="266"/>
        <v>0.84081632653061222</v>
      </c>
      <c r="AO345" s="58">
        <f t="shared" si="267"/>
        <v>0.81666666666666665</v>
      </c>
      <c r="AP345" s="59">
        <v>600</v>
      </c>
      <c r="AQ345" s="56">
        <f t="shared" si="268"/>
        <v>110</v>
      </c>
      <c r="AR345" s="59">
        <v>490</v>
      </c>
      <c r="AS345" s="59">
        <v>412</v>
      </c>
      <c r="AT345" s="56">
        <f t="shared" si="269"/>
        <v>78</v>
      </c>
      <c r="AU345" s="57"/>
    </row>
    <row r="346" spans="1:47">
      <c r="A346" s="83">
        <v>2021</v>
      </c>
      <c r="B346" s="84" t="s">
        <v>42</v>
      </c>
      <c r="C346" s="35">
        <f t="shared" ref="C346:C347" si="278">I346/F346</f>
        <v>0.76393890475599158</v>
      </c>
      <c r="D346" s="35">
        <f t="shared" ref="D346:D347" si="279">I346/H346</f>
        <v>0.85184159512600388</v>
      </c>
      <c r="E346" s="35">
        <f t="shared" ref="E346:E347" si="280">H346/F346</f>
        <v>0.89680864274183536</v>
      </c>
      <c r="F346" s="56">
        <f t="shared" ref="F346:F347" si="281">+R346+AD346+AP346</f>
        <v>8053</v>
      </c>
      <c r="G346" s="59">
        <f t="shared" ref="G346:G347" si="282">F346-H346</f>
        <v>831</v>
      </c>
      <c r="H346" s="56">
        <f t="shared" ref="H346:H347" si="283">+T346+AF346+AR346</f>
        <v>7222</v>
      </c>
      <c r="I346" s="56">
        <f t="shared" ref="I346:I347" si="284">+U346+AG346+AS346</f>
        <v>6152</v>
      </c>
      <c r="J346" s="59">
        <f t="shared" ref="J346:J347" si="285">H346-I346</f>
        <v>1070</v>
      </c>
      <c r="K346" s="56"/>
      <c r="M346" s="83">
        <v>2021</v>
      </c>
      <c r="N346" s="84" t="s">
        <v>42</v>
      </c>
      <c r="O346" s="58">
        <f t="shared" si="255"/>
        <v>0.74547172783115456</v>
      </c>
      <c r="P346" s="58">
        <f t="shared" si="256"/>
        <v>0.83327464788732397</v>
      </c>
      <c r="Q346" s="58">
        <f t="shared" si="257"/>
        <v>0.89462907544495196</v>
      </c>
      <c r="R346" s="59">
        <v>6349</v>
      </c>
      <c r="S346" s="56">
        <f t="shared" si="258"/>
        <v>669</v>
      </c>
      <c r="T346" s="59">
        <v>5680</v>
      </c>
      <c r="U346" s="59">
        <v>4733</v>
      </c>
      <c r="V346" s="56">
        <f t="shared" si="259"/>
        <v>947</v>
      </c>
      <c r="W346" s="56"/>
      <c r="Y346" s="83">
        <v>2021</v>
      </c>
      <c r="Z346" s="84" t="s">
        <v>42</v>
      </c>
      <c r="AA346" s="58">
        <f t="shared" si="260"/>
        <v>0.82472324723247237</v>
      </c>
      <c r="AB346" s="58">
        <f t="shared" si="261"/>
        <v>0.90030211480362543</v>
      </c>
      <c r="AC346" s="58">
        <f t="shared" si="262"/>
        <v>0.91605166051660514</v>
      </c>
      <c r="AD346" s="59">
        <v>1084</v>
      </c>
      <c r="AE346" s="56">
        <f t="shared" si="263"/>
        <v>91</v>
      </c>
      <c r="AF346" s="59">
        <v>993</v>
      </c>
      <c r="AG346" s="59">
        <v>894</v>
      </c>
      <c r="AH346" s="56">
        <f t="shared" si="264"/>
        <v>99</v>
      </c>
      <c r="AI346" s="56"/>
      <c r="AK346" s="83">
        <v>2021</v>
      </c>
      <c r="AL346" s="84" t="s">
        <v>42</v>
      </c>
      <c r="AM346" s="58">
        <f t="shared" si="265"/>
        <v>0.84677419354838712</v>
      </c>
      <c r="AN346" s="58">
        <f t="shared" si="266"/>
        <v>0.95628415300546443</v>
      </c>
      <c r="AO346" s="58">
        <f t="shared" si="267"/>
        <v>0.88548387096774195</v>
      </c>
      <c r="AP346" s="59">
        <v>620</v>
      </c>
      <c r="AQ346" s="56">
        <f t="shared" si="268"/>
        <v>71</v>
      </c>
      <c r="AR346" s="59">
        <v>549</v>
      </c>
      <c r="AS346" s="59">
        <v>525</v>
      </c>
      <c r="AT346" s="56">
        <f t="shared" si="269"/>
        <v>24</v>
      </c>
      <c r="AU346" s="57"/>
    </row>
    <row r="347" spans="1:47">
      <c r="A347" s="83">
        <v>2021</v>
      </c>
      <c r="B347" s="84" t="s">
        <v>43</v>
      </c>
      <c r="C347" s="35">
        <f t="shared" si="278"/>
        <v>0.71354679802955667</v>
      </c>
      <c r="D347" s="35">
        <f t="shared" si="279"/>
        <v>0.81410706758465645</v>
      </c>
      <c r="E347" s="35">
        <f t="shared" si="280"/>
        <v>0.87647783251231526</v>
      </c>
      <c r="F347" s="56">
        <f t="shared" si="281"/>
        <v>8120</v>
      </c>
      <c r="G347" s="59">
        <f t="shared" si="282"/>
        <v>1003</v>
      </c>
      <c r="H347" s="56">
        <f t="shared" si="283"/>
        <v>7117</v>
      </c>
      <c r="I347" s="56">
        <f t="shared" si="284"/>
        <v>5794</v>
      </c>
      <c r="J347" s="59">
        <f t="shared" si="285"/>
        <v>1323</v>
      </c>
      <c r="K347" s="56"/>
      <c r="M347" s="83">
        <v>2021</v>
      </c>
      <c r="N347" s="84" t="s">
        <v>43</v>
      </c>
      <c r="O347" s="58">
        <f t="shared" si="255"/>
        <v>0.70448916408668727</v>
      </c>
      <c r="P347" s="58">
        <f t="shared" si="256"/>
        <v>0.80179704016913322</v>
      </c>
      <c r="Q347" s="58">
        <f t="shared" si="257"/>
        <v>0.87863777089783279</v>
      </c>
      <c r="R347" s="59">
        <v>6460</v>
      </c>
      <c r="S347" s="56">
        <f t="shared" si="258"/>
        <v>784</v>
      </c>
      <c r="T347" s="59">
        <v>5676</v>
      </c>
      <c r="U347" s="59">
        <v>4551</v>
      </c>
      <c r="V347" s="56">
        <f t="shared" si="259"/>
        <v>1125</v>
      </c>
      <c r="W347" s="56"/>
      <c r="Y347" s="83">
        <v>2021</v>
      </c>
      <c r="Z347" s="84" t="s">
        <v>43</v>
      </c>
      <c r="AA347" s="58">
        <f t="shared" si="260"/>
        <v>0.73207547169811316</v>
      </c>
      <c r="AB347" s="58">
        <f t="shared" si="261"/>
        <v>0.84164859002169201</v>
      </c>
      <c r="AC347" s="58">
        <f t="shared" si="262"/>
        <v>0.86981132075471701</v>
      </c>
      <c r="AD347" s="59">
        <v>1060</v>
      </c>
      <c r="AE347" s="56">
        <f t="shared" si="263"/>
        <v>138</v>
      </c>
      <c r="AF347" s="59">
        <v>922</v>
      </c>
      <c r="AG347" s="59">
        <v>776</v>
      </c>
      <c r="AH347" s="56">
        <f t="shared" si="264"/>
        <v>146</v>
      </c>
      <c r="AI347" s="56"/>
      <c r="AK347" s="83">
        <v>2021</v>
      </c>
      <c r="AL347" s="84" t="s">
        <v>43</v>
      </c>
      <c r="AM347" s="58">
        <f t="shared" si="265"/>
        <v>0.77833333333333332</v>
      </c>
      <c r="AN347" s="58">
        <f t="shared" si="266"/>
        <v>0.89980732177263967</v>
      </c>
      <c r="AO347" s="58">
        <f t="shared" si="267"/>
        <v>0.86499999999999999</v>
      </c>
      <c r="AP347" s="59">
        <v>600</v>
      </c>
      <c r="AQ347" s="56">
        <f t="shared" si="268"/>
        <v>81</v>
      </c>
      <c r="AR347" s="59">
        <v>519</v>
      </c>
      <c r="AS347" s="59">
        <v>467</v>
      </c>
      <c r="AT347" s="56">
        <f t="shared" si="269"/>
        <v>52</v>
      </c>
      <c r="AU347" s="57"/>
    </row>
    <row r="348" spans="1:47">
      <c r="A348" s="83">
        <v>2021</v>
      </c>
      <c r="B348" s="84" t="s">
        <v>44</v>
      </c>
      <c r="C348" s="35">
        <f>I348/F348</f>
        <v>0.73934957398295931</v>
      </c>
      <c r="D348" s="35">
        <f>I348/H348</f>
        <v>0.80504377368352276</v>
      </c>
      <c r="E348" s="35">
        <f>H348/F348</f>
        <v>0.91839673586943482</v>
      </c>
      <c r="F348" s="56">
        <f>+R348+AD348+AP348</f>
        <v>8333</v>
      </c>
      <c r="G348" s="59">
        <f>F348-H348</f>
        <v>680</v>
      </c>
      <c r="H348" s="56">
        <f>+T348+AF348+AR348</f>
        <v>7653</v>
      </c>
      <c r="I348" s="56">
        <f>+U348+AG348+AS348</f>
        <v>6161</v>
      </c>
      <c r="J348" s="59">
        <f>H348-I348</f>
        <v>1492</v>
      </c>
      <c r="K348" s="56"/>
      <c r="M348" s="83">
        <v>2021</v>
      </c>
      <c r="N348" s="84" t="s">
        <v>44</v>
      </c>
      <c r="O348" s="58">
        <f>U348/R348</f>
        <v>0.72398735130251468</v>
      </c>
      <c r="P348" s="58">
        <f>U348/T348</f>
        <v>0.78652053001799449</v>
      </c>
      <c r="Q348" s="58">
        <f>T348/R348</f>
        <v>0.92049390152085531</v>
      </c>
      <c r="R348" s="59">
        <v>6641</v>
      </c>
      <c r="S348" s="56">
        <f t="shared" si="258"/>
        <v>528</v>
      </c>
      <c r="T348" s="59">
        <v>6113</v>
      </c>
      <c r="U348" s="59">
        <v>4808</v>
      </c>
      <c r="V348" s="56">
        <f>T348-U348</f>
        <v>1305</v>
      </c>
      <c r="W348" s="56"/>
      <c r="Y348" s="83">
        <v>2021</v>
      </c>
      <c r="Z348" s="84" t="s">
        <v>44</v>
      </c>
      <c r="AA348" s="58">
        <f>AG348/AD348</f>
        <v>0.75915750915750912</v>
      </c>
      <c r="AB348" s="58">
        <f>AG348/AF348</f>
        <v>0.84505606523955146</v>
      </c>
      <c r="AC348" s="58">
        <f>AF348/AD348</f>
        <v>0.89835164835164838</v>
      </c>
      <c r="AD348" s="59">
        <v>1092</v>
      </c>
      <c r="AE348" s="56">
        <f t="shared" si="263"/>
        <v>111</v>
      </c>
      <c r="AF348" s="59">
        <v>981</v>
      </c>
      <c r="AG348" s="59">
        <v>829</v>
      </c>
      <c r="AH348" s="56">
        <f>AF348-AG348</f>
        <v>152</v>
      </c>
      <c r="AI348" s="56"/>
      <c r="AK348" s="83">
        <v>2021</v>
      </c>
      <c r="AL348" s="84" t="s">
        <v>44</v>
      </c>
      <c r="AM348" s="58">
        <f>AS348/AP348</f>
        <v>0.87333333333333329</v>
      </c>
      <c r="AN348" s="58">
        <f>AS348/AR348</f>
        <v>0.93738819320214672</v>
      </c>
      <c r="AO348" s="58">
        <f>AR348/AP348</f>
        <v>0.93166666666666664</v>
      </c>
      <c r="AP348" s="59">
        <v>600</v>
      </c>
      <c r="AQ348" s="56">
        <f t="shared" si="268"/>
        <v>41</v>
      </c>
      <c r="AR348" s="59">
        <v>559</v>
      </c>
      <c r="AS348" s="59">
        <v>524</v>
      </c>
      <c r="AT348" s="56">
        <f>AR348-AS348</f>
        <v>35</v>
      </c>
      <c r="AU348" s="57"/>
    </row>
    <row r="349" spans="1:47">
      <c r="A349" s="83">
        <v>2021</v>
      </c>
      <c r="B349" s="84" t="s">
        <v>45</v>
      </c>
      <c r="C349" s="35">
        <f>I349/F349</f>
        <v>0.68274448329916793</v>
      </c>
      <c r="D349" s="35">
        <f>I349/H349</f>
        <v>0.74716283979941933</v>
      </c>
      <c r="E349" s="35">
        <f>H349/F349</f>
        <v>0.91378270830821173</v>
      </c>
      <c r="F349" s="56">
        <f>+R349+AD349+AP349</f>
        <v>8293</v>
      </c>
      <c r="G349" s="59">
        <f>F349-H349</f>
        <v>715</v>
      </c>
      <c r="H349" s="56">
        <f>+T349+AF349+AR349</f>
        <v>7578</v>
      </c>
      <c r="I349" s="56">
        <f>+U349+AG349+AS349</f>
        <v>5662</v>
      </c>
      <c r="J349" s="59">
        <f>H349-I349</f>
        <v>1916</v>
      </c>
      <c r="K349" s="56"/>
      <c r="M349" s="83">
        <v>2021</v>
      </c>
      <c r="N349" s="84" t="s">
        <v>45</v>
      </c>
      <c r="O349" s="58">
        <f>U349/R349</f>
        <v>0.64744270754287447</v>
      </c>
      <c r="P349" s="58">
        <f>U349/T349</f>
        <v>0.70793229339528707</v>
      </c>
      <c r="Q349" s="58">
        <f>T349/R349</f>
        <v>0.91455456063135532</v>
      </c>
      <c r="R349" s="59">
        <v>6589</v>
      </c>
      <c r="S349" s="56">
        <f t="shared" si="258"/>
        <v>563</v>
      </c>
      <c r="T349" s="59">
        <v>6026</v>
      </c>
      <c r="U349" s="59">
        <v>4266</v>
      </c>
      <c r="V349" s="56">
        <f>T349-U349</f>
        <v>1760</v>
      </c>
      <c r="W349" s="56"/>
      <c r="Y349" s="83">
        <v>2021</v>
      </c>
      <c r="Z349" s="84" t="s">
        <v>45</v>
      </c>
      <c r="AA349" s="58">
        <f>AG349/AD349</f>
        <v>0.75738007380073802</v>
      </c>
      <c r="AB349" s="58">
        <f>AG349/AF349</f>
        <v>0.85878661087866104</v>
      </c>
      <c r="AC349" s="58">
        <f>AF349/AD349</f>
        <v>0.88191881918819193</v>
      </c>
      <c r="AD349" s="59">
        <v>1084</v>
      </c>
      <c r="AE349" s="56">
        <f t="shared" si="263"/>
        <v>128</v>
      </c>
      <c r="AF349" s="59">
        <v>956</v>
      </c>
      <c r="AG349" s="59">
        <v>821</v>
      </c>
      <c r="AH349" s="56">
        <f>AF349-AG349</f>
        <v>135</v>
      </c>
      <c r="AI349" s="56"/>
      <c r="AK349" s="83">
        <v>2021</v>
      </c>
      <c r="AL349" s="84" t="s">
        <v>45</v>
      </c>
      <c r="AM349" s="58">
        <f>AS349/AP349</f>
        <v>0.92741935483870963</v>
      </c>
      <c r="AN349" s="58">
        <f>AS349/AR349</f>
        <v>0.96476510067114096</v>
      </c>
      <c r="AO349" s="58">
        <f>AR349/AP349</f>
        <v>0.96129032258064517</v>
      </c>
      <c r="AP349" s="59">
        <v>620</v>
      </c>
      <c r="AQ349" s="56">
        <f t="shared" si="268"/>
        <v>24</v>
      </c>
      <c r="AR349" s="59">
        <v>596</v>
      </c>
      <c r="AS349" s="59">
        <v>575</v>
      </c>
      <c r="AT349" s="56">
        <f>AR349-AS349</f>
        <v>21</v>
      </c>
      <c r="AU349" s="57"/>
    </row>
    <row r="350" spans="1:47">
      <c r="A350" s="138" t="s">
        <v>93</v>
      </c>
      <c r="B350" s="126"/>
      <c r="C350" s="58">
        <f t="shared" si="239"/>
        <v>0.77185295615448501</v>
      </c>
      <c r="D350" s="58">
        <f t="shared" ref="D350" si="286">I350/H350</f>
        <v>0.84079689401451008</v>
      </c>
      <c r="E350" s="58">
        <f t="shared" ref="E350" si="287">H350/F350</f>
        <v>0.91800167394667465</v>
      </c>
      <c r="F350" s="121">
        <f>SUBTOTAL(109,SARM[Trenes Programados])</f>
        <v>3112405</v>
      </c>
      <c r="G350" s="124">
        <f>SUBTOTAL(109,SARM[Trenes Cancelados])</f>
        <v>255212</v>
      </c>
      <c r="H350" s="121">
        <f>SUBTOTAL(109,SARM[Trenes Corridos])</f>
        <v>2857193</v>
      </c>
      <c r="I350" s="121">
        <f>SUBTOTAL(109,SARM[Trenes Puntuales])</f>
        <v>2402319</v>
      </c>
      <c r="J350" s="124">
        <f>SUBTOTAL(109,SARM[Trenes Atrasados])</f>
        <v>454874</v>
      </c>
      <c r="K350" s="120">
        <f>SUBTOTAL(103,SARM[Observaciones])</f>
        <v>0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Sarmiento</oddHeader>
  </headerFooter>
  <ignoredErrors>
    <ignoredError sqref="C6:I69 C70:I111 C112:I130 C138:E179 C180:E222 C223:E266 C267:E311 C312:E335 C336:E339 C134:E137 C340:E343 C133:E133 C132:E132 C131:E131 C344:E345 F131:J133 C346:E347 C348:E348" calculatedColumn="1"/>
  </ignoredErrors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>
    <pageSetUpPr fitToPage="1"/>
  </sheetPr>
  <dimension ref="A1:K350"/>
  <sheetViews>
    <sheetView showGridLines="0" zoomScale="80" zoomScaleNormal="80" workbookViewId="0">
      <pane ySplit="5" topLeftCell="A319" activePane="bottomLeft" state="frozen"/>
      <selection pane="bottomLeft" activeCell="G349" sqref="G349"/>
    </sheetView>
  </sheetViews>
  <sheetFormatPr baseColWidth="10" defaultColWidth="10.88671875" defaultRowHeight="12.75"/>
  <cols>
    <col min="1" max="1" width="5.77734375" style="29" customWidth="1"/>
    <col min="2" max="2" width="8.77734375" style="29" customWidth="1"/>
    <col min="3" max="5" width="8.77734375" style="73" customWidth="1"/>
    <col min="6" max="10" width="8.77734375" style="24" customWidth="1"/>
    <col min="11" max="11" width="14" style="29" customWidth="1"/>
    <col min="12" max="16384" width="10.88671875" style="29"/>
  </cols>
  <sheetData>
    <row r="1" spans="1:11" s="70" customFormat="1" ht="20.25">
      <c r="A1" s="70" t="s">
        <v>7</v>
      </c>
    </row>
    <row r="2" spans="1:11" s="70" customFormat="1" ht="20.25">
      <c r="A2" s="70" t="s">
        <v>0</v>
      </c>
    </row>
    <row r="3" spans="1:11" s="77" customFormat="1" ht="15.75">
      <c r="A3" s="79" t="s">
        <v>21</v>
      </c>
      <c r="C3" s="76"/>
      <c r="D3" s="76"/>
      <c r="E3" s="76"/>
      <c r="F3" s="76"/>
      <c r="G3" s="76"/>
      <c r="H3" s="76"/>
      <c r="I3" s="76"/>
      <c r="J3" s="76"/>
    </row>
    <row r="4" spans="1:11">
      <c r="B4" s="80"/>
    </row>
    <row r="5" spans="1:11" ht="44.25" customHeight="1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</row>
    <row r="6" spans="1:11">
      <c r="A6" s="81">
        <v>1993</v>
      </c>
      <c r="B6" s="82" t="s">
        <v>38</v>
      </c>
      <c r="C6" s="35">
        <f t="shared" ref="C6:C69" si="0">I6/F6</f>
        <v>0.88882126191925337</v>
      </c>
      <c r="D6" s="35">
        <f t="shared" ref="D6:D69" si="1">I6/H6</f>
        <v>0.95948313622426629</v>
      </c>
      <c r="E6" s="35">
        <f t="shared" ref="E6:E69" si="2">H6/F6</f>
        <v>0.92635423006695072</v>
      </c>
      <c r="F6" s="20">
        <v>4929</v>
      </c>
      <c r="G6" s="20">
        <f t="shared" ref="G6:G17" si="3">F6-H6</f>
        <v>363</v>
      </c>
      <c r="H6" s="20">
        <v>4566</v>
      </c>
      <c r="I6" s="20">
        <v>4381</v>
      </c>
      <c r="J6" s="20">
        <f t="shared" ref="J6:J17" si="4">H6-I6</f>
        <v>185</v>
      </c>
    </row>
    <row r="7" spans="1:11">
      <c r="A7" s="81">
        <v>1993</v>
      </c>
      <c r="B7" s="82" t="s">
        <v>39</v>
      </c>
      <c r="C7" s="35">
        <f t="shared" si="0"/>
        <v>0.94122731201382892</v>
      </c>
      <c r="D7" s="35">
        <f t="shared" si="1"/>
        <v>0.96972395369545861</v>
      </c>
      <c r="E7" s="35">
        <f t="shared" si="2"/>
        <v>0.9706136560069144</v>
      </c>
      <c r="F7" s="20">
        <v>4628</v>
      </c>
      <c r="G7" s="20">
        <f t="shared" si="3"/>
        <v>136</v>
      </c>
      <c r="H7" s="20">
        <v>4492</v>
      </c>
      <c r="I7" s="20">
        <v>4356</v>
      </c>
      <c r="J7" s="20">
        <f t="shared" si="4"/>
        <v>136</v>
      </c>
    </row>
    <row r="8" spans="1:11">
      <c r="A8" s="81">
        <v>1993</v>
      </c>
      <c r="B8" s="82" t="s">
        <v>40</v>
      </c>
      <c r="C8" s="35">
        <f t="shared" si="0"/>
        <v>0.88090190788205824</v>
      </c>
      <c r="D8" s="35">
        <f t="shared" si="1"/>
        <v>0.94539813857290589</v>
      </c>
      <c r="E8" s="35">
        <f t="shared" si="2"/>
        <v>0.93177876276739258</v>
      </c>
      <c r="F8" s="20">
        <v>5189</v>
      </c>
      <c r="G8" s="20">
        <f t="shared" si="3"/>
        <v>354</v>
      </c>
      <c r="H8" s="20">
        <v>4835</v>
      </c>
      <c r="I8" s="20">
        <v>4571</v>
      </c>
      <c r="J8" s="20">
        <f t="shared" si="4"/>
        <v>264</v>
      </c>
    </row>
    <row r="9" spans="1:11">
      <c r="A9" s="81">
        <v>1993</v>
      </c>
      <c r="B9" s="82" t="s">
        <v>41</v>
      </c>
      <c r="C9" s="35">
        <f t="shared" si="0"/>
        <v>0.91029832447895387</v>
      </c>
      <c r="D9" s="35">
        <f t="shared" si="1"/>
        <v>0.96220302375809941</v>
      </c>
      <c r="E9" s="35">
        <f t="shared" si="2"/>
        <v>0.9460563955864324</v>
      </c>
      <c r="F9" s="20">
        <v>4894</v>
      </c>
      <c r="G9" s="20">
        <f t="shared" si="3"/>
        <v>264</v>
      </c>
      <c r="H9" s="20">
        <v>4630</v>
      </c>
      <c r="I9" s="20">
        <v>4455</v>
      </c>
      <c r="J9" s="20">
        <f t="shared" si="4"/>
        <v>175</v>
      </c>
    </row>
    <row r="10" spans="1:11">
      <c r="A10" s="81">
        <v>1993</v>
      </c>
      <c r="B10" s="82" t="s">
        <v>42</v>
      </c>
      <c r="C10" s="35">
        <f t="shared" si="0"/>
        <v>0.94308608999383603</v>
      </c>
      <c r="D10" s="35">
        <f t="shared" si="1"/>
        <v>0.97286986011021614</v>
      </c>
      <c r="E10" s="35">
        <f t="shared" si="2"/>
        <v>0.96938565851654002</v>
      </c>
      <c r="F10" s="20">
        <v>4867</v>
      </c>
      <c r="G10" s="20">
        <f t="shared" si="3"/>
        <v>149</v>
      </c>
      <c r="H10" s="20">
        <v>4718</v>
      </c>
      <c r="I10" s="20">
        <v>4590</v>
      </c>
      <c r="J10" s="20">
        <f t="shared" si="4"/>
        <v>128</v>
      </c>
    </row>
    <row r="11" spans="1:11">
      <c r="A11" s="81">
        <v>1993</v>
      </c>
      <c r="B11" s="82" t="s">
        <v>43</v>
      </c>
      <c r="C11" s="35">
        <f t="shared" si="0"/>
        <v>0.89599509603596239</v>
      </c>
      <c r="D11" s="35">
        <f t="shared" si="1"/>
        <v>0.96056955093099672</v>
      </c>
      <c r="E11" s="35">
        <f t="shared" si="2"/>
        <v>0.93277482631794029</v>
      </c>
      <c r="F11" s="20">
        <v>4894</v>
      </c>
      <c r="G11" s="20">
        <f t="shared" si="3"/>
        <v>329</v>
      </c>
      <c r="H11" s="20">
        <v>4565</v>
      </c>
      <c r="I11" s="20">
        <v>4385</v>
      </c>
      <c r="J11" s="20">
        <f t="shared" si="4"/>
        <v>180</v>
      </c>
    </row>
    <row r="12" spans="1:11">
      <c r="A12" s="81">
        <v>1993</v>
      </c>
      <c r="B12" s="82" t="s">
        <v>44</v>
      </c>
      <c r="C12" s="35">
        <f t="shared" si="0"/>
        <v>0.90688902124280324</v>
      </c>
      <c r="D12" s="35">
        <f t="shared" si="1"/>
        <v>0.95186497186913943</v>
      </c>
      <c r="E12" s="35">
        <f t="shared" si="2"/>
        <v>0.95274965257097477</v>
      </c>
      <c r="F12" s="20">
        <v>5037</v>
      </c>
      <c r="G12" s="20">
        <f t="shared" si="3"/>
        <v>238</v>
      </c>
      <c r="H12" s="20">
        <v>4799</v>
      </c>
      <c r="I12" s="20">
        <v>4568</v>
      </c>
      <c r="J12" s="20">
        <f t="shared" si="4"/>
        <v>231</v>
      </c>
    </row>
    <row r="13" spans="1:11">
      <c r="A13" s="81">
        <v>1993</v>
      </c>
      <c r="B13" s="82" t="s">
        <v>45</v>
      </c>
      <c r="C13" s="35">
        <f t="shared" si="0"/>
        <v>0.9563643675849588</v>
      </c>
      <c r="D13" s="35">
        <f t="shared" si="1"/>
        <v>0.98366080661840749</v>
      </c>
      <c r="E13" s="35">
        <f t="shared" si="2"/>
        <v>0.9722501508143977</v>
      </c>
      <c r="F13" s="20">
        <v>4973</v>
      </c>
      <c r="G13" s="20">
        <f t="shared" si="3"/>
        <v>138</v>
      </c>
      <c r="H13" s="20">
        <v>4835</v>
      </c>
      <c r="I13" s="20">
        <v>4756</v>
      </c>
      <c r="J13" s="20">
        <f t="shared" si="4"/>
        <v>79</v>
      </c>
    </row>
    <row r="14" spans="1:11">
      <c r="A14" s="81">
        <v>1993</v>
      </c>
      <c r="B14" s="82" t="s">
        <v>46</v>
      </c>
      <c r="C14" s="35">
        <f t="shared" si="0"/>
        <v>0.9490203918432627</v>
      </c>
      <c r="D14" s="35">
        <f t="shared" si="1"/>
        <v>0.97414323825159044</v>
      </c>
      <c r="E14" s="35">
        <f t="shared" si="2"/>
        <v>0.97421031587365059</v>
      </c>
      <c r="F14" s="20">
        <v>5002</v>
      </c>
      <c r="G14" s="20">
        <f t="shared" si="3"/>
        <v>129</v>
      </c>
      <c r="H14" s="20">
        <v>4873</v>
      </c>
      <c r="I14" s="20">
        <v>4747</v>
      </c>
      <c r="J14" s="20">
        <f t="shared" si="4"/>
        <v>126</v>
      </c>
    </row>
    <row r="15" spans="1:11">
      <c r="A15" s="81">
        <v>1993</v>
      </c>
      <c r="B15" s="82" t="s">
        <v>47</v>
      </c>
      <c r="C15" s="35">
        <f t="shared" si="0"/>
        <v>0.92067356461756944</v>
      </c>
      <c r="D15" s="35">
        <f t="shared" si="1"/>
        <v>0.97340197340197343</v>
      </c>
      <c r="E15" s="35">
        <f t="shared" si="2"/>
        <v>0.94583079732197195</v>
      </c>
      <c r="F15" s="20">
        <v>4929</v>
      </c>
      <c r="G15" s="20">
        <f t="shared" si="3"/>
        <v>267</v>
      </c>
      <c r="H15" s="20">
        <v>4662</v>
      </c>
      <c r="I15" s="20">
        <v>4538</v>
      </c>
      <c r="J15" s="20">
        <f t="shared" si="4"/>
        <v>124</v>
      </c>
    </row>
    <row r="16" spans="1:11">
      <c r="A16" s="81">
        <v>1993</v>
      </c>
      <c r="B16" s="82" t="s">
        <v>48</v>
      </c>
      <c r="C16" s="35">
        <f t="shared" si="0"/>
        <v>0.92622950819672134</v>
      </c>
      <c r="D16" s="35">
        <f t="shared" si="1"/>
        <v>0.98386069229135698</v>
      </c>
      <c r="E16" s="35">
        <f t="shared" si="2"/>
        <v>0.94142343062774891</v>
      </c>
      <c r="F16" s="20">
        <v>5002</v>
      </c>
      <c r="G16" s="20">
        <f t="shared" si="3"/>
        <v>293</v>
      </c>
      <c r="H16" s="20">
        <v>4709</v>
      </c>
      <c r="I16" s="20">
        <v>4633</v>
      </c>
      <c r="J16" s="20">
        <f t="shared" si="4"/>
        <v>76</v>
      </c>
    </row>
    <row r="17" spans="1:10">
      <c r="A17" s="81">
        <v>1993</v>
      </c>
      <c r="B17" s="82" t="s">
        <v>49</v>
      </c>
      <c r="C17" s="35">
        <f t="shared" si="0"/>
        <v>0.90321951219512198</v>
      </c>
      <c r="D17" s="35">
        <f t="shared" si="1"/>
        <v>0.96983029541169075</v>
      </c>
      <c r="E17" s="35">
        <f t="shared" si="2"/>
        <v>0.93131707317073176</v>
      </c>
      <c r="F17" s="20">
        <v>5125</v>
      </c>
      <c r="G17" s="20">
        <f t="shared" si="3"/>
        <v>352</v>
      </c>
      <c r="H17" s="20">
        <v>4773</v>
      </c>
      <c r="I17" s="20">
        <v>4629</v>
      </c>
      <c r="J17" s="20">
        <f t="shared" si="4"/>
        <v>144</v>
      </c>
    </row>
    <row r="18" spans="1:10">
      <c r="A18" s="81">
        <v>1994</v>
      </c>
      <c r="B18" s="82" t="s">
        <v>38</v>
      </c>
      <c r="C18" s="35">
        <f t="shared" si="0"/>
        <v>0.96521558008748176</v>
      </c>
      <c r="D18" s="35">
        <f t="shared" si="1"/>
        <v>0.98177966101694913</v>
      </c>
      <c r="E18" s="35">
        <f t="shared" si="2"/>
        <v>0.98312851489273068</v>
      </c>
      <c r="F18" s="20">
        <v>4801</v>
      </c>
      <c r="G18" s="20">
        <f t="shared" ref="G18:G29" si="5">F18-H18</f>
        <v>81</v>
      </c>
      <c r="H18" s="20">
        <v>4720</v>
      </c>
      <c r="I18" s="20">
        <v>4634</v>
      </c>
      <c r="J18" s="20">
        <f t="shared" ref="J18:J29" si="6">H18-I18</f>
        <v>86</v>
      </c>
    </row>
    <row r="19" spans="1:10">
      <c r="A19" s="81">
        <v>1994</v>
      </c>
      <c r="B19" s="82" t="s">
        <v>39</v>
      </c>
      <c r="C19" s="35">
        <f t="shared" si="0"/>
        <v>0.9445164075993091</v>
      </c>
      <c r="D19" s="35">
        <f t="shared" si="1"/>
        <v>0.97308718861209964</v>
      </c>
      <c r="E19" s="35">
        <f t="shared" si="2"/>
        <v>0.97063903281519859</v>
      </c>
      <c r="F19" s="20">
        <v>4632</v>
      </c>
      <c r="G19" s="20">
        <f t="shared" si="5"/>
        <v>136</v>
      </c>
      <c r="H19" s="20">
        <v>4496</v>
      </c>
      <c r="I19" s="20">
        <v>4375</v>
      </c>
      <c r="J19" s="20">
        <f t="shared" si="6"/>
        <v>121</v>
      </c>
    </row>
    <row r="20" spans="1:10">
      <c r="A20" s="81">
        <v>1994</v>
      </c>
      <c r="B20" s="82" t="s">
        <v>40</v>
      </c>
      <c r="C20" s="35">
        <f t="shared" si="0"/>
        <v>0.97009102730819241</v>
      </c>
      <c r="D20" s="35">
        <f t="shared" si="1"/>
        <v>0.98361273309474473</v>
      </c>
      <c r="E20" s="35">
        <f t="shared" si="2"/>
        <v>0.98625301876277172</v>
      </c>
      <c r="F20" s="20">
        <v>5383</v>
      </c>
      <c r="G20" s="20">
        <f t="shared" si="5"/>
        <v>74</v>
      </c>
      <c r="H20" s="20">
        <v>5309</v>
      </c>
      <c r="I20" s="20">
        <v>5222</v>
      </c>
      <c r="J20" s="20">
        <f t="shared" si="6"/>
        <v>87</v>
      </c>
    </row>
    <row r="21" spans="1:10">
      <c r="A21" s="81">
        <v>1994</v>
      </c>
      <c r="B21" s="82" t="s">
        <v>41</v>
      </c>
      <c r="C21" s="35">
        <f t="shared" si="0"/>
        <v>0.96686976389946688</v>
      </c>
      <c r="D21" s="35">
        <f t="shared" si="1"/>
        <v>0.98793774319066152</v>
      </c>
      <c r="E21" s="35">
        <f t="shared" si="2"/>
        <v>0.97867479055597872</v>
      </c>
      <c r="F21" s="20">
        <v>5252</v>
      </c>
      <c r="G21" s="20">
        <f t="shared" si="5"/>
        <v>112</v>
      </c>
      <c r="H21" s="20">
        <v>5140</v>
      </c>
      <c r="I21" s="20">
        <v>5078</v>
      </c>
      <c r="J21" s="20">
        <f t="shared" si="6"/>
        <v>62</v>
      </c>
    </row>
    <row r="22" spans="1:10">
      <c r="A22" s="81">
        <v>1994</v>
      </c>
      <c r="B22" s="82" t="s">
        <v>42</v>
      </c>
      <c r="C22" s="35">
        <f t="shared" si="0"/>
        <v>0.96795601061812664</v>
      </c>
      <c r="D22" s="35">
        <f t="shared" si="1"/>
        <v>0.97947045280122791</v>
      </c>
      <c r="E22" s="35">
        <f t="shared" si="2"/>
        <v>0.98824421691315889</v>
      </c>
      <c r="F22" s="20">
        <v>5274</v>
      </c>
      <c r="G22" s="20">
        <f t="shared" si="5"/>
        <v>62</v>
      </c>
      <c r="H22" s="20">
        <v>5212</v>
      </c>
      <c r="I22" s="20">
        <v>5105</v>
      </c>
      <c r="J22" s="20">
        <f t="shared" si="6"/>
        <v>107</v>
      </c>
    </row>
    <row r="23" spans="1:10">
      <c r="A23" s="81">
        <v>1994</v>
      </c>
      <c r="B23" s="82" t="s">
        <v>43</v>
      </c>
      <c r="C23" s="35">
        <f t="shared" si="0"/>
        <v>0.92412297989751679</v>
      </c>
      <c r="D23" s="35">
        <f t="shared" si="1"/>
        <v>0.9511156186612576</v>
      </c>
      <c r="E23" s="35">
        <f t="shared" si="2"/>
        <v>0.97162002364998035</v>
      </c>
      <c r="F23" s="20">
        <v>5074</v>
      </c>
      <c r="G23" s="20">
        <f t="shared" si="5"/>
        <v>144</v>
      </c>
      <c r="H23" s="20">
        <v>4930</v>
      </c>
      <c r="I23" s="20">
        <v>4689</v>
      </c>
      <c r="J23" s="20">
        <f t="shared" si="6"/>
        <v>241</v>
      </c>
    </row>
    <row r="24" spans="1:10">
      <c r="A24" s="81">
        <v>1994</v>
      </c>
      <c r="B24" s="82" t="s">
        <v>44</v>
      </c>
      <c r="C24" s="35">
        <f t="shared" si="0"/>
        <v>0.96928327645051193</v>
      </c>
      <c r="D24" s="35">
        <f t="shared" si="1"/>
        <v>0.98859021465867336</v>
      </c>
      <c r="E24" s="35">
        <f t="shared" si="2"/>
        <v>0.98047023132347366</v>
      </c>
      <c r="F24" s="20">
        <v>5274</v>
      </c>
      <c r="G24" s="20">
        <f t="shared" si="5"/>
        <v>103</v>
      </c>
      <c r="H24" s="20">
        <v>5171</v>
      </c>
      <c r="I24" s="20">
        <v>5112</v>
      </c>
      <c r="J24" s="20">
        <f t="shared" si="6"/>
        <v>59</v>
      </c>
    </row>
    <row r="25" spans="1:10">
      <c r="A25" s="81">
        <v>1994</v>
      </c>
      <c r="B25" s="82" t="s">
        <v>45</v>
      </c>
      <c r="C25" s="35">
        <f t="shared" si="0"/>
        <v>0.97050639955481355</v>
      </c>
      <c r="D25" s="35">
        <f t="shared" si="1"/>
        <v>0.98069353327085285</v>
      </c>
      <c r="E25" s="35">
        <f t="shared" si="2"/>
        <v>0.98961231682433681</v>
      </c>
      <c r="F25" s="20">
        <v>5391</v>
      </c>
      <c r="G25" s="20">
        <f t="shared" si="5"/>
        <v>56</v>
      </c>
      <c r="H25" s="20">
        <v>5335</v>
      </c>
      <c r="I25" s="20">
        <v>5232</v>
      </c>
      <c r="J25" s="20">
        <f t="shared" si="6"/>
        <v>103</v>
      </c>
    </row>
    <row r="26" spans="1:10">
      <c r="A26" s="81">
        <v>1994</v>
      </c>
      <c r="B26" s="82" t="s">
        <v>46</v>
      </c>
      <c r="C26" s="35">
        <f t="shared" si="0"/>
        <v>0.98624717407686513</v>
      </c>
      <c r="D26" s="35">
        <f t="shared" si="1"/>
        <v>0.99016455456780783</v>
      </c>
      <c r="E26" s="35">
        <f t="shared" si="2"/>
        <v>0.99604370761115302</v>
      </c>
      <c r="F26" s="20">
        <v>5308</v>
      </c>
      <c r="G26" s="20">
        <f t="shared" si="5"/>
        <v>21</v>
      </c>
      <c r="H26" s="20">
        <v>5287</v>
      </c>
      <c r="I26" s="20">
        <v>5235</v>
      </c>
      <c r="J26" s="20">
        <f t="shared" si="6"/>
        <v>52</v>
      </c>
    </row>
    <row r="27" spans="1:10">
      <c r="A27" s="81">
        <v>1994</v>
      </c>
      <c r="B27" s="82" t="s">
        <v>47</v>
      </c>
      <c r="C27" s="35">
        <f t="shared" si="0"/>
        <v>0.98294365657339977</v>
      </c>
      <c r="D27" s="35">
        <f t="shared" si="1"/>
        <v>0.98483102918586785</v>
      </c>
      <c r="E27" s="35">
        <f t="shared" si="2"/>
        <v>0.99808355691835948</v>
      </c>
      <c r="F27" s="20">
        <v>5218</v>
      </c>
      <c r="G27" s="20">
        <f t="shared" si="5"/>
        <v>10</v>
      </c>
      <c r="H27" s="20">
        <v>5208</v>
      </c>
      <c r="I27" s="20">
        <v>5129</v>
      </c>
      <c r="J27" s="20">
        <f t="shared" si="6"/>
        <v>79</v>
      </c>
    </row>
    <row r="28" spans="1:10">
      <c r="A28" s="81">
        <v>1994</v>
      </c>
      <c r="B28" s="82" t="s">
        <v>48</v>
      </c>
      <c r="C28" s="35">
        <f t="shared" si="0"/>
        <v>0.96345139412207992</v>
      </c>
      <c r="D28" s="35">
        <f t="shared" si="1"/>
        <v>0.97224334600760454</v>
      </c>
      <c r="E28" s="35">
        <f t="shared" si="2"/>
        <v>0.99095704596834966</v>
      </c>
      <c r="F28" s="20">
        <v>5308</v>
      </c>
      <c r="G28" s="20">
        <f t="shared" si="5"/>
        <v>48</v>
      </c>
      <c r="H28" s="20">
        <v>5260</v>
      </c>
      <c r="I28" s="20">
        <v>5114</v>
      </c>
      <c r="J28" s="20">
        <f t="shared" si="6"/>
        <v>146</v>
      </c>
    </row>
    <row r="29" spans="1:10">
      <c r="A29" s="81">
        <v>1994</v>
      </c>
      <c r="B29" s="82" t="s">
        <v>49</v>
      </c>
      <c r="C29" s="35">
        <f t="shared" si="0"/>
        <v>0.96074834922964047</v>
      </c>
      <c r="D29" s="35">
        <f t="shared" si="1"/>
        <v>0.98255486775464262</v>
      </c>
      <c r="E29" s="35">
        <f t="shared" si="2"/>
        <v>0.97780630961115189</v>
      </c>
      <c r="F29" s="20">
        <v>5452</v>
      </c>
      <c r="G29" s="20">
        <f t="shared" si="5"/>
        <v>121</v>
      </c>
      <c r="H29" s="20">
        <v>5331</v>
      </c>
      <c r="I29" s="20">
        <v>5238</v>
      </c>
      <c r="J29" s="20">
        <f t="shared" si="6"/>
        <v>93</v>
      </c>
    </row>
    <row r="30" spans="1:10">
      <c r="A30" s="81">
        <v>1995</v>
      </c>
      <c r="B30" s="82" t="s">
        <v>38</v>
      </c>
      <c r="C30" s="35">
        <f t="shared" si="0"/>
        <v>0.98089408273047674</v>
      </c>
      <c r="D30" s="35">
        <f t="shared" si="1"/>
        <v>0.98933582787652008</v>
      </c>
      <c r="E30" s="35">
        <f t="shared" si="2"/>
        <v>0.99146726024856247</v>
      </c>
      <c r="F30" s="20">
        <v>5391</v>
      </c>
      <c r="G30" s="20">
        <f t="shared" ref="G30:G41" si="7">F30-H30</f>
        <v>46</v>
      </c>
      <c r="H30" s="20">
        <v>5345</v>
      </c>
      <c r="I30" s="20">
        <v>5288</v>
      </c>
      <c r="J30" s="20">
        <f t="shared" ref="J30:J41" si="8">H30-I30</f>
        <v>57</v>
      </c>
    </row>
    <row r="31" spans="1:10">
      <c r="A31" s="81">
        <v>1995</v>
      </c>
      <c r="B31" s="82" t="s">
        <v>39</v>
      </c>
      <c r="C31" s="35">
        <f t="shared" si="0"/>
        <v>0.9784026079869601</v>
      </c>
      <c r="D31" s="35">
        <f t="shared" si="1"/>
        <v>0.98664475035956445</v>
      </c>
      <c r="E31" s="35">
        <f t="shared" si="2"/>
        <v>0.99164629176854113</v>
      </c>
      <c r="F31" s="20">
        <v>4908</v>
      </c>
      <c r="G31" s="20">
        <f t="shared" si="7"/>
        <v>41</v>
      </c>
      <c r="H31" s="20">
        <v>4867</v>
      </c>
      <c r="I31" s="20">
        <v>4802</v>
      </c>
      <c r="J31" s="20">
        <f t="shared" si="8"/>
        <v>65</v>
      </c>
    </row>
    <row r="32" spans="1:10">
      <c r="A32" s="81">
        <v>1995</v>
      </c>
      <c r="B32" s="82" t="s">
        <v>40</v>
      </c>
      <c r="C32" s="35">
        <f t="shared" si="0"/>
        <v>0.98111837327523599</v>
      </c>
      <c r="D32" s="35">
        <f t="shared" si="1"/>
        <v>0.9845144835124795</v>
      </c>
      <c r="E32" s="35">
        <f t="shared" si="2"/>
        <v>0.99655047204066816</v>
      </c>
      <c r="F32" s="20">
        <v>5508</v>
      </c>
      <c r="G32" s="20">
        <f t="shared" si="7"/>
        <v>19</v>
      </c>
      <c r="H32" s="20">
        <v>5489</v>
      </c>
      <c r="I32" s="20">
        <v>5404</v>
      </c>
      <c r="J32" s="20">
        <f t="shared" si="8"/>
        <v>85</v>
      </c>
    </row>
    <row r="33" spans="1:10">
      <c r="A33" s="81">
        <v>1995</v>
      </c>
      <c r="B33" s="82" t="s">
        <v>41</v>
      </c>
      <c r="C33" s="35">
        <f t="shared" si="0"/>
        <v>0.95336787564766834</v>
      </c>
      <c r="D33" s="35">
        <f t="shared" si="1"/>
        <v>0.97672519395671697</v>
      </c>
      <c r="E33" s="35">
        <f t="shared" si="2"/>
        <v>0.97608609007572733</v>
      </c>
      <c r="F33" s="20">
        <v>5018</v>
      </c>
      <c r="G33" s="20">
        <f t="shared" si="7"/>
        <v>120</v>
      </c>
      <c r="H33" s="20">
        <v>4898</v>
      </c>
      <c r="I33" s="20">
        <v>4784</v>
      </c>
      <c r="J33" s="20">
        <f t="shared" si="8"/>
        <v>114</v>
      </c>
    </row>
    <row r="34" spans="1:10">
      <c r="A34" s="81">
        <v>1995</v>
      </c>
      <c r="B34" s="82" t="s">
        <v>42</v>
      </c>
      <c r="C34" s="35">
        <f t="shared" si="0"/>
        <v>0.9594235874099355</v>
      </c>
      <c r="D34" s="35">
        <f t="shared" si="1"/>
        <v>0.96786534047436878</v>
      </c>
      <c r="E34" s="35">
        <f t="shared" si="2"/>
        <v>0.99127796738718243</v>
      </c>
      <c r="F34" s="20">
        <v>5274</v>
      </c>
      <c r="G34" s="20">
        <f t="shared" si="7"/>
        <v>46</v>
      </c>
      <c r="H34" s="20">
        <v>5228</v>
      </c>
      <c r="I34" s="20">
        <v>5060</v>
      </c>
      <c r="J34" s="20">
        <f t="shared" si="8"/>
        <v>168</v>
      </c>
    </row>
    <row r="35" spans="1:10">
      <c r="A35" s="81">
        <v>1995</v>
      </c>
      <c r="B35" s="82" t="s">
        <v>43</v>
      </c>
      <c r="C35" s="35">
        <f t="shared" si="0"/>
        <v>0.96608187134502921</v>
      </c>
      <c r="D35" s="35">
        <f t="shared" si="1"/>
        <v>0.97405660377358494</v>
      </c>
      <c r="E35" s="35">
        <f t="shared" si="2"/>
        <v>0.99181286549707603</v>
      </c>
      <c r="F35" s="20">
        <v>5130</v>
      </c>
      <c r="G35" s="20">
        <f t="shared" si="7"/>
        <v>42</v>
      </c>
      <c r="H35" s="20">
        <v>5088</v>
      </c>
      <c r="I35" s="20">
        <v>4956</v>
      </c>
      <c r="J35" s="20">
        <f t="shared" si="8"/>
        <v>132</v>
      </c>
    </row>
    <row r="36" spans="1:10">
      <c r="A36" s="81">
        <v>1995</v>
      </c>
      <c r="B36" s="82" t="s">
        <v>44</v>
      </c>
      <c r="C36" s="35">
        <f t="shared" si="0"/>
        <v>0.97600749765698225</v>
      </c>
      <c r="D36" s="35">
        <f t="shared" si="1"/>
        <v>0.9811569625023554</v>
      </c>
      <c r="E36" s="35">
        <f t="shared" si="2"/>
        <v>0.99475164011246486</v>
      </c>
      <c r="F36" s="20">
        <v>5335</v>
      </c>
      <c r="G36" s="20">
        <f t="shared" si="7"/>
        <v>28</v>
      </c>
      <c r="H36" s="20">
        <v>5307</v>
      </c>
      <c r="I36" s="20">
        <v>5207</v>
      </c>
      <c r="J36" s="20">
        <f t="shared" si="8"/>
        <v>100</v>
      </c>
    </row>
    <row r="37" spans="1:10">
      <c r="A37" s="81">
        <v>1995</v>
      </c>
      <c r="B37" s="82" t="s">
        <v>45</v>
      </c>
      <c r="C37" s="35">
        <f t="shared" si="0"/>
        <v>0.96244955255307951</v>
      </c>
      <c r="D37" s="35">
        <f t="shared" si="1"/>
        <v>0.96925251811274071</v>
      </c>
      <c r="E37" s="35">
        <f t="shared" si="2"/>
        <v>0.99298122477627659</v>
      </c>
      <c r="F37" s="20">
        <v>5699</v>
      </c>
      <c r="G37" s="20">
        <f t="shared" si="7"/>
        <v>40</v>
      </c>
      <c r="H37" s="20">
        <v>5659</v>
      </c>
      <c r="I37" s="20">
        <v>5485</v>
      </c>
      <c r="J37" s="20">
        <f t="shared" si="8"/>
        <v>174</v>
      </c>
    </row>
    <row r="38" spans="1:10">
      <c r="A38" s="81">
        <v>1995</v>
      </c>
      <c r="B38" s="82" t="s">
        <v>46</v>
      </c>
      <c r="C38" s="35">
        <f t="shared" si="0"/>
        <v>0.95023440317345831</v>
      </c>
      <c r="D38" s="35">
        <f t="shared" si="1"/>
        <v>0.96626329299596625</v>
      </c>
      <c r="E38" s="35">
        <f t="shared" si="2"/>
        <v>0.98341146772448607</v>
      </c>
      <c r="F38" s="20">
        <v>5546</v>
      </c>
      <c r="G38" s="20">
        <f t="shared" si="7"/>
        <v>92</v>
      </c>
      <c r="H38" s="20">
        <v>5454</v>
      </c>
      <c r="I38" s="20">
        <v>5270</v>
      </c>
      <c r="J38" s="20">
        <f t="shared" si="8"/>
        <v>184</v>
      </c>
    </row>
    <row r="39" spans="1:10">
      <c r="A39" s="81">
        <v>1995</v>
      </c>
      <c r="B39" s="82" t="s">
        <v>47</v>
      </c>
      <c r="C39" s="35">
        <f t="shared" si="0"/>
        <v>0.96551724137931039</v>
      </c>
      <c r="D39" s="35">
        <f t="shared" si="1"/>
        <v>0.96829971181556196</v>
      </c>
      <c r="E39" s="35">
        <f t="shared" si="2"/>
        <v>0.99712643678160917</v>
      </c>
      <c r="F39" s="20">
        <v>5568</v>
      </c>
      <c r="G39" s="20">
        <f t="shared" si="7"/>
        <v>16</v>
      </c>
      <c r="H39" s="20">
        <v>5552</v>
      </c>
      <c r="I39" s="20">
        <v>5376</v>
      </c>
      <c r="J39" s="20">
        <f t="shared" si="8"/>
        <v>176</v>
      </c>
    </row>
    <row r="40" spans="1:10">
      <c r="A40" s="81">
        <v>1995</v>
      </c>
      <c r="B40" s="82" t="s">
        <v>48</v>
      </c>
      <c r="C40" s="35">
        <f t="shared" si="0"/>
        <v>0.94729344729344733</v>
      </c>
      <c r="D40" s="35">
        <f t="shared" si="1"/>
        <v>0.96639418710263392</v>
      </c>
      <c r="E40" s="35">
        <f t="shared" si="2"/>
        <v>0.98023504273504269</v>
      </c>
      <c r="F40" s="20">
        <v>5616</v>
      </c>
      <c r="G40" s="20">
        <f t="shared" si="7"/>
        <v>111</v>
      </c>
      <c r="H40" s="20">
        <v>5505</v>
      </c>
      <c r="I40" s="20">
        <v>5320</v>
      </c>
      <c r="J40" s="20">
        <f t="shared" si="8"/>
        <v>185</v>
      </c>
    </row>
    <row r="41" spans="1:10">
      <c r="A41" s="81">
        <v>1995</v>
      </c>
      <c r="B41" s="82" t="s">
        <v>49</v>
      </c>
      <c r="C41" s="35">
        <f t="shared" si="0"/>
        <v>0.96198993851313586</v>
      </c>
      <c r="D41" s="35">
        <f t="shared" si="1"/>
        <v>0.97231638418079092</v>
      </c>
      <c r="E41" s="35">
        <f t="shared" si="2"/>
        <v>0.98937954164337616</v>
      </c>
      <c r="F41" s="20">
        <v>5367</v>
      </c>
      <c r="G41" s="20">
        <f t="shared" si="7"/>
        <v>57</v>
      </c>
      <c r="H41" s="20">
        <v>5310</v>
      </c>
      <c r="I41" s="20">
        <v>5163</v>
      </c>
      <c r="J41" s="20">
        <f t="shared" si="8"/>
        <v>147</v>
      </c>
    </row>
    <row r="42" spans="1:10">
      <c r="A42" s="81">
        <v>1996</v>
      </c>
      <c r="B42" s="82" t="s">
        <v>38</v>
      </c>
      <c r="C42" s="35">
        <f t="shared" si="0"/>
        <v>0.96473065450078965</v>
      </c>
      <c r="D42" s="35">
        <f t="shared" si="1"/>
        <v>0.97344192634560911</v>
      </c>
      <c r="E42" s="35">
        <f t="shared" si="2"/>
        <v>0.99105106158975254</v>
      </c>
      <c r="F42" s="20">
        <v>5699</v>
      </c>
      <c r="G42" s="20">
        <f t="shared" ref="G42:G53" si="9">F42-H42</f>
        <v>51</v>
      </c>
      <c r="H42" s="20">
        <v>5648</v>
      </c>
      <c r="I42" s="20">
        <v>5498</v>
      </c>
      <c r="J42" s="20">
        <f t="shared" ref="J42:J53" si="10">H42-I42</f>
        <v>150</v>
      </c>
    </row>
    <row r="43" spans="1:10">
      <c r="A43" s="81">
        <v>1996</v>
      </c>
      <c r="B43" s="82" t="s">
        <v>39</v>
      </c>
      <c r="C43" s="35">
        <f t="shared" si="0"/>
        <v>0.93817104776008886</v>
      </c>
      <c r="D43" s="35">
        <f t="shared" si="1"/>
        <v>0.95948504354411213</v>
      </c>
      <c r="E43" s="35">
        <f t="shared" si="2"/>
        <v>0.97778600518326542</v>
      </c>
      <c r="F43" s="20">
        <v>5402</v>
      </c>
      <c r="G43" s="20">
        <f t="shared" si="9"/>
        <v>120</v>
      </c>
      <c r="H43" s="20">
        <v>5282</v>
      </c>
      <c r="I43" s="20">
        <v>5068</v>
      </c>
      <c r="J43" s="20">
        <f t="shared" si="10"/>
        <v>214</v>
      </c>
    </row>
    <row r="44" spans="1:10">
      <c r="A44" s="81">
        <v>1996</v>
      </c>
      <c r="B44" s="82" t="s">
        <v>40</v>
      </c>
      <c r="C44" s="35">
        <f t="shared" si="0"/>
        <v>0.96216024160596914</v>
      </c>
      <c r="D44" s="35">
        <f t="shared" si="1"/>
        <v>0.97340043134435661</v>
      </c>
      <c r="E44" s="35">
        <f t="shared" si="2"/>
        <v>0.98845265588914555</v>
      </c>
      <c r="F44" s="20">
        <v>5629</v>
      </c>
      <c r="G44" s="20">
        <f t="shared" si="9"/>
        <v>65</v>
      </c>
      <c r="H44" s="20">
        <v>5564</v>
      </c>
      <c r="I44" s="20">
        <v>5416</v>
      </c>
      <c r="J44" s="20">
        <f t="shared" si="10"/>
        <v>148</v>
      </c>
    </row>
    <row r="45" spans="1:10">
      <c r="A45" s="81">
        <v>1996</v>
      </c>
      <c r="B45" s="82" t="s">
        <v>41</v>
      </c>
      <c r="C45" s="35">
        <f t="shared" si="0"/>
        <v>0.94949863263445766</v>
      </c>
      <c r="D45" s="35">
        <f t="shared" si="1"/>
        <v>0.96731054977711739</v>
      </c>
      <c r="E45" s="35">
        <f t="shared" si="2"/>
        <v>0.98158614402917044</v>
      </c>
      <c r="F45" s="20">
        <v>5485</v>
      </c>
      <c r="G45" s="20">
        <f t="shared" si="9"/>
        <v>101</v>
      </c>
      <c r="H45" s="20">
        <v>5384</v>
      </c>
      <c r="I45" s="20">
        <v>5208</v>
      </c>
      <c r="J45" s="20">
        <f t="shared" si="10"/>
        <v>176</v>
      </c>
    </row>
    <row r="46" spans="1:10">
      <c r="A46" s="81">
        <v>1996</v>
      </c>
      <c r="B46" s="82" t="s">
        <v>42</v>
      </c>
      <c r="C46" s="35">
        <f t="shared" si="0"/>
        <v>0.96062433487052146</v>
      </c>
      <c r="D46" s="35">
        <f t="shared" si="1"/>
        <v>0.97340043134435661</v>
      </c>
      <c r="E46" s="35">
        <f t="shared" si="2"/>
        <v>0.98687477829017378</v>
      </c>
      <c r="F46" s="20">
        <v>5638</v>
      </c>
      <c r="G46" s="20">
        <f t="shared" si="9"/>
        <v>74</v>
      </c>
      <c r="H46" s="20">
        <v>5564</v>
      </c>
      <c r="I46" s="20">
        <v>5416</v>
      </c>
      <c r="J46" s="20">
        <f t="shared" si="10"/>
        <v>148</v>
      </c>
    </row>
    <row r="47" spans="1:10">
      <c r="A47" s="81">
        <v>1996</v>
      </c>
      <c r="B47" s="82" t="s">
        <v>43</v>
      </c>
      <c r="C47" s="35">
        <f t="shared" si="0"/>
        <v>0.95497768290316321</v>
      </c>
      <c r="D47" s="35">
        <f t="shared" si="1"/>
        <v>0.96908231587239069</v>
      </c>
      <c r="E47" s="35">
        <f t="shared" si="2"/>
        <v>0.9854453716281778</v>
      </c>
      <c r="F47" s="20">
        <v>5153</v>
      </c>
      <c r="G47" s="20">
        <f t="shared" si="9"/>
        <v>75</v>
      </c>
      <c r="H47" s="20">
        <v>5078</v>
      </c>
      <c r="I47" s="20">
        <v>4921</v>
      </c>
      <c r="J47" s="20">
        <f t="shared" si="10"/>
        <v>157</v>
      </c>
    </row>
    <row r="48" spans="1:10">
      <c r="A48" s="81">
        <v>1996</v>
      </c>
      <c r="B48" s="82" t="s">
        <v>44</v>
      </c>
      <c r="C48" s="35">
        <f t="shared" si="0"/>
        <v>0.9467234042553192</v>
      </c>
      <c r="D48" s="35">
        <f t="shared" si="1"/>
        <v>0.96730434782608699</v>
      </c>
      <c r="E48" s="35">
        <f t="shared" si="2"/>
        <v>0.97872340425531912</v>
      </c>
      <c r="F48" s="20">
        <v>5875</v>
      </c>
      <c r="G48" s="20">
        <f t="shared" si="9"/>
        <v>125</v>
      </c>
      <c r="H48" s="20">
        <v>5750</v>
      </c>
      <c r="I48" s="20">
        <v>5562</v>
      </c>
      <c r="J48" s="20">
        <f t="shared" si="10"/>
        <v>188</v>
      </c>
    </row>
    <row r="49" spans="1:10">
      <c r="A49" s="81">
        <v>1996</v>
      </c>
      <c r="B49" s="82" t="s">
        <v>45</v>
      </c>
      <c r="C49" s="35">
        <f t="shared" si="0"/>
        <v>0.93186130757288255</v>
      </c>
      <c r="D49" s="35">
        <f t="shared" si="1"/>
        <v>0.96343855894417696</v>
      </c>
      <c r="E49" s="35">
        <f t="shared" si="2"/>
        <v>0.96722442642746254</v>
      </c>
      <c r="F49" s="20">
        <v>5797</v>
      </c>
      <c r="G49" s="20">
        <f t="shared" si="9"/>
        <v>190</v>
      </c>
      <c r="H49" s="20">
        <v>5607</v>
      </c>
      <c r="I49" s="20">
        <v>5402</v>
      </c>
      <c r="J49" s="20">
        <f t="shared" si="10"/>
        <v>205</v>
      </c>
    </row>
    <row r="50" spans="1:10">
      <c r="A50" s="81">
        <v>1996</v>
      </c>
      <c r="B50" s="82" t="s">
        <v>46</v>
      </c>
      <c r="C50" s="35">
        <f t="shared" si="0"/>
        <v>0.94445427206792854</v>
      </c>
      <c r="D50" s="35">
        <f t="shared" si="1"/>
        <v>0.97837639728788717</v>
      </c>
      <c r="E50" s="35">
        <f t="shared" si="2"/>
        <v>0.96532814434813374</v>
      </c>
      <c r="F50" s="20">
        <v>5653</v>
      </c>
      <c r="G50" s="20">
        <f t="shared" si="9"/>
        <v>196</v>
      </c>
      <c r="H50" s="20">
        <v>5457</v>
      </c>
      <c r="I50" s="20">
        <v>5339</v>
      </c>
      <c r="J50" s="20">
        <f t="shared" si="10"/>
        <v>118</v>
      </c>
    </row>
    <row r="51" spans="1:10">
      <c r="A51" s="81">
        <v>1996</v>
      </c>
      <c r="B51" s="82" t="s">
        <v>47</v>
      </c>
      <c r="C51" s="35">
        <f t="shared" si="0"/>
        <v>0.93112716277507135</v>
      </c>
      <c r="D51" s="35">
        <f t="shared" si="1"/>
        <v>0.97760141093474429</v>
      </c>
      <c r="E51" s="35">
        <f t="shared" si="2"/>
        <v>0.95246094406181758</v>
      </c>
      <c r="F51" s="20">
        <v>5953</v>
      </c>
      <c r="G51" s="20">
        <f t="shared" si="9"/>
        <v>283</v>
      </c>
      <c r="H51" s="20">
        <v>5670</v>
      </c>
      <c r="I51" s="20">
        <v>5543</v>
      </c>
      <c r="J51" s="20">
        <f t="shared" si="10"/>
        <v>127</v>
      </c>
    </row>
    <row r="52" spans="1:10">
      <c r="A52" s="81">
        <v>1996</v>
      </c>
      <c r="B52" s="82" t="s">
        <v>48</v>
      </c>
      <c r="C52" s="35">
        <f t="shared" si="0"/>
        <v>0.94837241862093102</v>
      </c>
      <c r="D52" s="35">
        <f t="shared" si="1"/>
        <v>0.98099203475742214</v>
      </c>
      <c r="E52" s="35">
        <f t="shared" si="2"/>
        <v>0.96674833741687083</v>
      </c>
      <c r="F52" s="20">
        <v>5714</v>
      </c>
      <c r="G52" s="20">
        <f t="shared" si="9"/>
        <v>190</v>
      </c>
      <c r="H52" s="20">
        <v>5524</v>
      </c>
      <c r="I52" s="20">
        <v>5419</v>
      </c>
      <c r="J52" s="20">
        <f t="shared" si="10"/>
        <v>105</v>
      </c>
    </row>
    <row r="53" spans="1:10">
      <c r="A53" s="81">
        <v>1996</v>
      </c>
      <c r="B53" s="82" t="s">
        <v>49</v>
      </c>
      <c r="C53" s="35">
        <f t="shared" si="0"/>
        <v>0.88406555090655514</v>
      </c>
      <c r="D53" s="35">
        <f t="shared" si="1"/>
        <v>0.97182828669988497</v>
      </c>
      <c r="E53" s="35">
        <f t="shared" si="2"/>
        <v>0.9096931659693166</v>
      </c>
      <c r="F53" s="20">
        <v>5736</v>
      </c>
      <c r="G53" s="20">
        <f t="shared" si="9"/>
        <v>518</v>
      </c>
      <c r="H53" s="20">
        <v>5218</v>
      </c>
      <c r="I53" s="20">
        <v>5071</v>
      </c>
      <c r="J53" s="20">
        <f t="shared" si="10"/>
        <v>147</v>
      </c>
    </row>
    <row r="54" spans="1:10">
      <c r="A54" s="81">
        <v>1997</v>
      </c>
      <c r="B54" s="82" t="s">
        <v>38</v>
      </c>
      <c r="C54" s="35">
        <f t="shared" si="0"/>
        <v>0.90519148936170213</v>
      </c>
      <c r="D54" s="35">
        <f t="shared" si="1"/>
        <v>0.91737105399344487</v>
      </c>
      <c r="E54" s="35">
        <f t="shared" si="2"/>
        <v>0.98672340425531913</v>
      </c>
      <c r="F54" s="20">
        <v>5875</v>
      </c>
      <c r="G54" s="20">
        <f t="shared" ref="G54:G65" si="11">F54-H54</f>
        <v>78</v>
      </c>
      <c r="H54" s="20">
        <v>5797</v>
      </c>
      <c r="I54" s="20">
        <v>5318</v>
      </c>
      <c r="J54" s="20">
        <f t="shared" ref="J54:J65" si="12">H54-I54</f>
        <v>479</v>
      </c>
    </row>
    <row r="55" spans="1:10">
      <c r="A55" s="81">
        <v>1997</v>
      </c>
      <c r="B55" s="82" t="s">
        <v>39</v>
      </c>
      <c r="C55" s="35">
        <f t="shared" si="0"/>
        <v>0.97774869109947649</v>
      </c>
      <c r="D55" s="35">
        <f t="shared" si="1"/>
        <v>0.98678996036988109</v>
      </c>
      <c r="E55" s="35">
        <f t="shared" si="2"/>
        <v>0.99083769633507857</v>
      </c>
      <c r="F55" s="20">
        <v>5348</v>
      </c>
      <c r="G55" s="20">
        <f t="shared" si="11"/>
        <v>49</v>
      </c>
      <c r="H55" s="20">
        <v>5299</v>
      </c>
      <c r="I55" s="20">
        <v>5229</v>
      </c>
      <c r="J55" s="20">
        <f t="shared" si="12"/>
        <v>70</v>
      </c>
    </row>
    <row r="56" spans="1:10">
      <c r="A56" s="81">
        <v>1997</v>
      </c>
      <c r="B56" s="82" t="s">
        <v>40</v>
      </c>
      <c r="C56" s="35">
        <f t="shared" si="0"/>
        <v>0.9618239660657476</v>
      </c>
      <c r="D56" s="35">
        <f t="shared" si="1"/>
        <v>0.98231046931407939</v>
      </c>
      <c r="E56" s="35">
        <f t="shared" si="2"/>
        <v>0.97914457405443622</v>
      </c>
      <c r="F56" s="20">
        <v>5658</v>
      </c>
      <c r="G56" s="20">
        <f t="shared" si="11"/>
        <v>118</v>
      </c>
      <c r="H56" s="20">
        <v>5540</v>
      </c>
      <c r="I56" s="20">
        <v>5442</v>
      </c>
      <c r="J56" s="20">
        <f t="shared" si="12"/>
        <v>98</v>
      </c>
    </row>
    <row r="57" spans="1:10">
      <c r="A57" s="81">
        <v>1997</v>
      </c>
      <c r="B57" s="82" t="s">
        <v>41</v>
      </c>
      <c r="C57" s="35">
        <f t="shared" si="0"/>
        <v>0.92489640883977897</v>
      </c>
      <c r="D57" s="35">
        <f t="shared" si="1"/>
        <v>0.95134079204404187</v>
      </c>
      <c r="E57" s="35">
        <f t="shared" si="2"/>
        <v>0.97220303867403313</v>
      </c>
      <c r="F57" s="20">
        <v>5792</v>
      </c>
      <c r="G57" s="20">
        <f t="shared" si="11"/>
        <v>161</v>
      </c>
      <c r="H57" s="20">
        <v>5631</v>
      </c>
      <c r="I57" s="20">
        <v>5357</v>
      </c>
      <c r="J57" s="20">
        <f t="shared" si="12"/>
        <v>274</v>
      </c>
    </row>
    <row r="58" spans="1:10">
      <c r="A58" s="81">
        <v>1997</v>
      </c>
      <c r="B58" s="82" t="s">
        <v>42</v>
      </c>
      <c r="C58" s="35">
        <f t="shared" si="0"/>
        <v>0.94169397964464374</v>
      </c>
      <c r="D58" s="35">
        <f t="shared" si="1"/>
        <v>0.9523726448011165</v>
      </c>
      <c r="E58" s="35">
        <f t="shared" si="2"/>
        <v>0.9887873037778161</v>
      </c>
      <c r="F58" s="20">
        <v>5797</v>
      </c>
      <c r="G58" s="20">
        <f t="shared" si="11"/>
        <v>65</v>
      </c>
      <c r="H58" s="20">
        <v>5732</v>
      </c>
      <c r="I58" s="20">
        <v>5459</v>
      </c>
      <c r="J58" s="20">
        <f t="shared" si="12"/>
        <v>273</v>
      </c>
    </row>
    <row r="59" spans="1:10">
      <c r="A59" s="81">
        <v>1997</v>
      </c>
      <c r="B59" s="82" t="s">
        <v>43</v>
      </c>
      <c r="C59" s="35">
        <f t="shared" si="0"/>
        <v>0.97023255813953491</v>
      </c>
      <c r="D59" s="35">
        <f t="shared" si="1"/>
        <v>0.98414795244385733</v>
      </c>
      <c r="E59" s="35">
        <f t="shared" si="2"/>
        <v>0.98586046511627912</v>
      </c>
      <c r="F59" s="20">
        <v>5375</v>
      </c>
      <c r="G59" s="20">
        <f t="shared" si="11"/>
        <v>76</v>
      </c>
      <c r="H59" s="20">
        <v>5299</v>
      </c>
      <c r="I59" s="20">
        <v>5215</v>
      </c>
      <c r="J59" s="20">
        <f t="shared" si="12"/>
        <v>84</v>
      </c>
    </row>
    <row r="60" spans="1:10">
      <c r="A60" s="81">
        <v>1997</v>
      </c>
      <c r="B60" s="82" t="s">
        <v>44</v>
      </c>
      <c r="C60" s="35">
        <f t="shared" si="0"/>
        <v>0.97328825021132714</v>
      </c>
      <c r="D60" s="35">
        <f t="shared" si="1"/>
        <v>0.98747855917667238</v>
      </c>
      <c r="E60" s="35">
        <f t="shared" si="2"/>
        <v>0.98562975486052407</v>
      </c>
      <c r="F60" s="20">
        <v>5915</v>
      </c>
      <c r="G60" s="20">
        <f t="shared" si="11"/>
        <v>85</v>
      </c>
      <c r="H60" s="20">
        <v>5830</v>
      </c>
      <c r="I60" s="20">
        <v>5757</v>
      </c>
      <c r="J60" s="20">
        <f t="shared" si="12"/>
        <v>73</v>
      </c>
    </row>
    <row r="61" spans="1:10">
      <c r="A61" s="81">
        <v>1997</v>
      </c>
      <c r="B61" s="82" t="s">
        <v>45</v>
      </c>
      <c r="C61" s="35">
        <f t="shared" si="0"/>
        <v>0.9604847207586934</v>
      </c>
      <c r="D61" s="35">
        <f t="shared" si="1"/>
        <v>0.98081061692969873</v>
      </c>
      <c r="E61" s="35">
        <f t="shared" si="2"/>
        <v>0.97927643133122588</v>
      </c>
      <c r="F61" s="20">
        <v>5694</v>
      </c>
      <c r="G61" s="20">
        <f t="shared" si="11"/>
        <v>118</v>
      </c>
      <c r="H61" s="20">
        <v>5576</v>
      </c>
      <c r="I61" s="20">
        <v>5469</v>
      </c>
      <c r="J61" s="20">
        <f t="shared" si="12"/>
        <v>107</v>
      </c>
    </row>
    <row r="62" spans="1:10">
      <c r="A62" s="81">
        <v>1997</v>
      </c>
      <c r="B62" s="82" t="s">
        <v>46</v>
      </c>
      <c r="C62" s="35">
        <f t="shared" si="0"/>
        <v>0.97246922024623805</v>
      </c>
      <c r="D62" s="35">
        <f t="shared" si="1"/>
        <v>0.9805172413793104</v>
      </c>
      <c r="E62" s="35">
        <f t="shared" si="2"/>
        <v>0.99179206566347466</v>
      </c>
      <c r="F62" s="20">
        <v>5848</v>
      </c>
      <c r="G62" s="20">
        <f t="shared" si="11"/>
        <v>48</v>
      </c>
      <c r="H62" s="20">
        <v>5800</v>
      </c>
      <c r="I62" s="20">
        <v>5687</v>
      </c>
      <c r="J62" s="20">
        <f t="shared" si="12"/>
        <v>113</v>
      </c>
    </row>
    <row r="63" spans="1:10">
      <c r="A63" s="81">
        <v>1997</v>
      </c>
      <c r="B63" s="82" t="s">
        <v>47</v>
      </c>
      <c r="C63" s="35">
        <f t="shared" si="0"/>
        <v>0.89430358906815932</v>
      </c>
      <c r="D63" s="35">
        <f t="shared" si="1"/>
        <v>0.92036597763470007</v>
      </c>
      <c r="E63" s="35">
        <f t="shared" si="2"/>
        <v>0.97168258149489628</v>
      </c>
      <c r="F63" s="20">
        <v>6074</v>
      </c>
      <c r="G63" s="20">
        <f t="shared" si="11"/>
        <v>172</v>
      </c>
      <c r="H63" s="20">
        <v>5902</v>
      </c>
      <c r="I63" s="20">
        <v>5432</v>
      </c>
      <c r="J63" s="20">
        <f t="shared" si="12"/>
        <v>470</v>
      </c>
    </row>
    <row r="64" spans="1:10">
      <c r="A64" s="81">
        <v>1997</v>
      </c>
      <c r="B64" s="82" t="s">
        <v>48</v>
      </c>
      <c r="C64" s="35">
        <f t="shared" si="0"/>
        <v>0.90632235084594837</v>
      </c>
      <c r="D64" s="35">
        <f t="shared" si="1"/>
        <v>0.93153944719018855</v>
      </c>
      <c r="E64" s="35">
        <f t="shared" si="2"/>
        <v>0.97292965271593945</v>
      </c>
      <c r="F64" s="20">
        <v>5615</v>
      </c>
      <c r="G64" s="20">
        <f t="shared" si="11"/>
        <v>152</v>
      </c>
      <c r="H64" s="20">
        <v>5463</v>
      </c>
      <c r="I64" s="20">
        <v>5089</v>
      </c>
      <c r="J64" s="20">
        <f t="shared" si="12"/>
        <v>374</v>
      </c>
    </row>
    <row r="65" spans="1:10">
      <c r="A65" s="81">
        <v>1997</v>
      </c>
      <c r="B65" s="82" t="s">
        <v>49</v>
      </c>
      <c r="C65" s="35">
        <f t="shared" si="0"/>
        <v>0.91245674740484428</v>
      </c>
      <c r="D65" s="35">
        <f t="shared" si="1"/>
        <v>0.95856052344601961</v>
      </c>
      <c r="E65" s="35">
        <f t="shared" si="2"/>
        <v>0.95190311418685125</v>
      </c>
      <c r="F65" s="20">
        <v>5780</v>
      </c>
      <c r="G65" s="20">
        <f t="shared" si="11"/>
        <v>278</v>
      </c>
      <c r="H65" s="20">
        <v>5502</v>
      </c>
      <c r="I65" s="20">
        <v>5274</v>
      </c>
      <c r="J65" s="20">
        <f t="shared" si="12"/>
        <v>228</v>
      </c>
    </row>
    <row r="66" spans="1:10">
      <c r="A66" s="81">
        <v>1998</v>
      </c>
      <c r="B66" s="82" t="s">
        <v>38</v>
      </c>
      <c r="C66" s="35">
        <f t="shared" si="0"/>
        <v>0.97003937681903785</v>
      </c>
      <c r="D66" s="35">
        <f t="shared" si="1"/>
        <v>0.9850486787204451</v>
      </c>
      <c r="E66" s="35">
        <f t="shared" si="2"/>
        <v>0.98476288306796778</v>
      </c>
      <c r="F66" s="20">
        <v>5841</v>
      </c>
      <c r="G66" s="20">
        <f t="shared" ref="G66:G77" si="13">F66-H66</f>
        <v>89</v>
      </c>
      <c r="H66" s="20">
        <v>5752</v>
      </c>
      <c r="I66" s="20">
        <v>5666</v>
      </c>
      <c r="J66" s="20">
        <f t="shared" ref="J66:J77" si="14">H66-I66</f>
        <v>86</v>
      </c>
    </row>
    <row r="67" spans="1:10">
      <c r="A67" s="81">
        <v>1998</v>
      </c>
      <c r="B67" s="82" t="s">
        <v>39</v>
      </c>
      <c r="C67" s="35">
        <f t="shared" si="0"/>
        <v>0.91048925129725722</v>
      </c>
      <c r="D67" s="35">
        <f t="shared" si="1"/>
        <v>0.96674537583628495</v>
      </c>
      <c r="E67" s="35">
        <f t="shared" si="2"/>
        <v>0.94180874722016306</v>
      </c>
      <c r="F67" s="20">
        <v>5396</v>
      </c>
      <c r="G67" s="20">
        <f t="shared" si="13"/>
        <v>314</v>
      </c>
      <c r="H67" s="20">
        <v>5082</v>
      </c>
      <c r="I67" s="20">
        <v>4913</v>
      </c>
      <c r="J67" s="20">
        <f t="shared" si="14"/>
        <v>169</v>
      </c>
    </row>
    <row r="68" spans="1:10">
      <c r="A68" s="81">
        <v>1998</v>
      </c>
      <c r="B68" s="82" t="s">
        <v>40</v>
      </c>
      <c r="C68" s="35">
        <f t="shared" si="0"/>
        <v>0.94415387211067991</v>
      </c>
      <c r="D68" s="35">
        <f t="shared" si="1"/>
        <v>0.96900432900432898</v>
      </c>
      <c r="E68" s="35">
        <f t="shared" si="2"/>
        <v>0.97435464822001017</v>
      </c>
      <c r="F68" s="20">
        <v>5927</v>
      </c>
      <c r="G68" s="20">
        <f t="shared" si="13"/>
        <v>152</v>
      </c>
      <c r="H68" s="20">
        <v>5775</v>
      </c>
      <c r="I68" s="20">
        <v>5596</v>
      </c>
      <c r="J68" s="20">
        <f t="shared" si="14"/>
        <v>179</v>
      </c>
    </row>
    <row r="69" spans="1:10">
      <c r="A69" s="81">
        <v>1998</v>
      </c>
      <c r="B69" s="82" t="s">
        <v>41</v>
      </c>
      <c r="C69" s="35">
        <f t="shared" si="0"/>
        <v>0.95632345202596036</v>
      </c>
      <c r="D69" s="35">
        <f t="shared" si="1"/>
        <v>0.97688586274861133</v>
      </c>
      <c r="E69" s="35">
        <f t="shared" si="2"/>
        <v>0.97895106121733033</v>
      </c>
      <c r="F69" s="20">
        <v>5701</v>
      </c>
      <c r="G69" s="20">
        <f t="shared" si="13"/>
        <v>120</v>
      </c>
      <c r="H69" s="20">
        <v>5581</v>
      </c>
      <c r="I69" s="20">
        <v>5452</v>
      </c>
      <c r="J69" s="20">
        <f t="shared" si="14"/>
        <v>129</v>
      </c>
    </row>
    <row r="70" spans="1:10">
      <c r="A70" s="81">
        <v>1998</v>
      </c>
      <c r="B70" s="82" t="s">
        <v>42</v>
      </c>
      <c r="C70" s="35">
        <f t="shared" ref="C70:C133" si="15">I70/F70</f>
        <v>0.94789976563908418</v>
      </c>
      <c r="D70" s="35">
        <f t="shared" ref="D70:D133" si="16">I70/H70</f>
        <v>0.96229868228404103</v>
      </c>
      <c r="E70" s="35">
        <f t="shared" ref="E70:E133" si="17">H70/F70</f>
        <v>0.98503695691364701</v>
      </c>
      <c r="F70" s="20">
        <v>5547</v>
      </c>
      <c r="G70" s="20">
        <f t="shared" si="13"/>
        <v>83</v>
      </c>
      <c r="H70" s="20">
        <v>5464</v>
      </c>
      <c r="I70" s="20">
        <v>5258</v>
      </c>
      <c r="J70" s="20">
        <f t="shared" si="14"/>
        <v>206</v>
      </c>
    </row>
    <row r="71" spans="1:10">
      <c r="A71" s="81">
        <v>1998</v>
      </c>
      <c r="B71" s="82" t="s">
        <v>43</v>
      </c>
      <c r="C71" s="35">
        <f t="shared" si="15"/>
        <v>0.94814548073460569</v>
      </c>
      <c r="D71" s="35">
        <f t="shared" si="16"/>
        <v>0.97069124423963138</v>
      </c>
      <c r="E71" s="35">
        <f t="shared" si="17"/>
        <v>0.97677349657904211</v>
      </c>
      <c r="F71" s="20">
        <v>5554</v>
      </c>
      <c r="G71" s="20">
        <f t="shared" si="13"/>
        <v>129</v>
      </c>
      <c r="H71" s="20">
        <v>5425</v>
      </c>
      <c r="I71" s="20">
        <v>5266</v>
      </c>
      <c r="J71" s="20">
        <f t="shared" si="14"/>
        <v>159</v>
      </c>
    </row>
    <row r="72" spans="1:10">
      <c r="A72" s="81">
        <v>1998</v>
      </c>
      <c r="B72" s="82" t="s">
        <v>44</v>
      </c>
      <c r="C72" s="35">
        <f t="shared" si="15"/>
        <v>0.96288172768685676</v>
      </c>
      <c r="D72" s="35">
        <f t="shared" si="16"/>
        <v>0.97722602739726028</v>
      </c>
      <c r="E72" s="35">
        <f t="shared" si="17"/>
        <v>0.98532141049434785</v>
      </c>
      <c r="F72" s="20">
        <v>5927</v>
      </c>
      <c r="G72" s="20">
        <f t="shared" si="13"/>
        <v>87</v>
      </c>
      <c r="H72" s="20">
        <v>5840</v>
      </c>
      <c r="I72" s="20">
        <v>5707</v>
      </c>
      <c r="J72" s="20">
        <f t="shared" si="14"/>
        <v>133</v>
      </c>
    </row>
    <row r="73" spans="1:10">
      <c r="A73" s="81">
        <v>1998</v>
      </c>
      <c r="B73" s="82" t="s">
        <v>45</v>
      </c>
      <c r="C73" s="35">
        <f t="shared" si="15"/>
        <v>0.9561342188046138</v>
      </c>
      <c r="D73" s="35">
        <f t="shared" si="16"/>
        <v>0.97853693435879097</v>
      </c>
      <c r="E73" s="35">
        <f t="shared" si="17"/>
        <v>0.97710590702551559</v>
      </c>
      <c r="F73" s="20">
        <v>5722</v>
      </c>
      <c r="G73" s="20">
        <f t="shared" si="13"/>
        <v>131</v>
      </c>
      <c r="H73" s="20">
        <v>5591</v>
      </c>
      <c r="I73" s="20">
        <v>5471</v>
      </c>
      <c r="J73" s="20">
        <f t="shared" si="14"/>
        <v>120</v>
      </c>
    </row>
    <row r="74" spans="1:10">
      <c r="A74" s="81">
        <v>1998</v>
      </c>
      <c r="B74" s="82" t="s">
        <v>46</v>
      </c>
      <c r="C74" s="35">
        <f t="shared" si="15"/>
        <v>0.95384871709430186</v>
      </c>
      <c r="D74" s="35">
        <f t="shared" si="16"/>
        <v>0.97050347516528224</v>
      </c>
      <c r="E74" s="35">
        <f t="shared" si="17"/>
        <v>0.98283905364878377</v>
      </c>
      <c r="F74" s="20">
        <v>6002</v>
      </c>
      <c r="G74" s="20">
        <f t="shared" si="13"/>
        <v>103</v>
      </c>
      <c r="H74" s="20">
        <v>5899</v>
      </c>
      <c r="I74" s="20">
        <v>5725</v>
      </c>
      <c r="J74" s="20">
        <f t="shared" si="14"/>
        <v>174</v>
      </c>
    </row>
    <row r="75" spans="1:10">
      <c r="A75" s="81">
        <v>1998</v>
      </c>
      <c r="B75" s="82" t="s">
        <v>47</v>
      </c>
      <c r="C75" s="35">
        <f t="shared" si="15"/>
        <v>0.96548849616538845</v>
      </c>
      <c r="D75" s="35">
        <f t="shared" si="16"/>
        <v>0.98269132869506193</v>
      </c>
      <c r="E75" s="35">
        <f t="shared" si="17"/>
        <v>0.9824941647215738</v>
      </c>
      <c r="F75" s="20">
        <v>5998</v>
      </c>
      <c r="G75" s="20">
        <f t="shared" si="13"/>
        <v>105</v>
      </c>
      <c r="H75" s="20">
        <v>5893</v>
      </c>
      <c r="I75" s="20">
        <v>5791</v>
      </c>
      <c r="J75" s="20">
        <f t="shared" si="14"/>
        <v>102</v>
      </c>
    </row>
    <row r="76" spans="1:10">
      <c r="A76" s="81">
        <v>1998</v>
      </c>
      <c r="B76" s="82" t="s">
        <v>48</v>
      </c>
      <c r="C76" s="35">
        <f t="shared" si="15"/>
        <v>0.9779411764705882</v>
      </c>
      <c r="D76" s="35">
        <f t="shared" si="16"/>
        <v>0.98332187070151311</v>
      </c>
      <c r="E76" s="35">
        <f t="shared" si="17"/>
        <v>0.99452804377564974</v>
      </c>
      <c r="F76" s="20">
        <v>5848</v>
      </c>
      <c r="G76" s="20">
        <f t="shared" si="13"/>
        <v>32</v>
      </c>
      <c r="H76" s="20">
        <v>5816</v>
      </c>
      <c r="I76" s="20">
        <v>5719</v>
      </c>
      <c r="J76" s="20">
        <f t="shared" si="14"/>
        <v>97</v>
      </c>
    </row>
    <row r="77" spans="1:10">
      <c r="A77" s="81">
        <v>1998</v>
      </c>
      <c r="B77" s="82" t="s">
        <v>49</v>
      </c>
      <c r="C77" s="35">
        <f t="shared" si="15"/>
        <v>0.91732748439345368</v>
      </c>
      <c r="D77" s="35">
        <f t="shared" si="16"/>
        <v>0.96709356101031663</v>
      </c>
      <c r="E77" s="35">
        <f t="shared" si="17"/>
        <v>0.94854057702041505</v>
      </c>
      <c r="F77" s="20">
        <v>5927</v>
      </c>
      <c r="G77" s="20">
        <f t="shared" si="13"/>
        <v>305</v>
      </c>
      <c r="H77" s="20">
        <v>5622</v>
      </c>
      <c r="I77" s="20">
        <v>5437</v>
      </c>
      <c r="J77" s="20">
        <f t="shared" si="14"/>
        <v>185</v>
      </c>
    </row>
    <row r="78" spans="1:10">
      <c r="A78" s="81">
        <v>1999</v>
      </c>
      <c r="B78" s="82" t="s">
        <v>38</v>
      </c>
      <c r="C78" s="35">
        <f t="shared" si="15"/>
        <v>0.96229002399725749</v>
      </c>
      <c r="D78" s="35">
        <f t="shared" si="16"/>
        <v>0.99082244969996469</v>
      </c>
      <c r="E78" s="35">
        <f t="shared" si="17"/>
        <v>0.97120329105245118</v>
      </c>
      <c r="F78" s="20">
        <v>5834</v>
      </c>
      <c r="G78" s="20">
        <f t="shared" ref="G78:G89" si="18">F78-H78</f>
        <v>168</v>
      </c>
      <c r="H78" s="20">
        <v>5666</v>
      </c>
      <c r="I78" s="20">
        <v>5614</v>
      </c>
      <c r="J78" s="20">
        <f t="shared" ref="J78:J89" si="19">H78-I78</f>
        <v>52</v>
      </c>
    </row>
    <row r="79" spans="1:10">
      <c r="A79" s="81">
        <v>1999</v>
      </c>
      <c r="B79" s="82" t="s">
        <v>39</v>
      </c>
      <c r="C79" s="35">
        <f t="shared" si="15"/>
        <v>0.96585982658959535</v>
      </c>
      <c r="D79" s="35">
        <f t="shared" si="16"/>
        <v>0.97484047402005469</v>
      </c>
      <c r="E79" s="35">
        <f t="shared" si="17"/>
        <v>0.99078757225433522</v>
      </c>
      <c r="F79" s="20">
        <v>5536</v>
      </c>
      <c r="G79" s="20">
        <f t="shared" si="18"/>
        <v>51</v>
      </c>
      <c r="H79" s="20">
        <v>5485</v>
      </c>
      <c r="I79" s="20">
        <v>5347</v>
      </c>
      <c r="J79" s="20">
        <f t="shared" si="19"/>
        <v>138</v>
      </c>
    </row>
    <row r="80" spans="1:10">
      <c r="A80" s="81">
        <v>1999</v>
      </c>
      <c r="B80" s="82" t="s">
        <v>40</v>
      </c>
      <c r="C80" s="35">
        <f t="shared" si="15"/>
        <v>0.97754611066559738</v>
      </c>
      <c r="D80" s="35">
        <f t="shared" si="16"/>
        <v>0.98513011152416352</v>
      </c>
      <c r="E80" s="35">
        <f t="shared" si="17"/>
        <v>0.99230152365677626</v>
      </c>
      <c r="F80" s="20">
        <v>6235</v>
      </c>
      <c r="G80" s="20">
        <f t="shared" si="18"/>
        <v>48</v>
      </c>
      <c r="H80" s="20">
        <v>6187</v>
      </c>
      <c r="I80" s="20">
        <v>6095</v>
      </c>
      <c r="J80" s="20">
        <f t="shared" si="19"/>
        <v>92</v>
      </c>
    </row>
    <row r="81" spans="1:10">
      <c r="A81" s="81">
        <v>1999</v>
      </c>
      <c r="B81" s="82" t="s">
        <v>41</v>
      </c>
      <c r="C81" s="35">
        <f t="shared" si="15"/>
        <v>0.97602085143353601</v>
      </c>
      <c r="D81" s="35">
        <f t="shared" si="16"/>
        <v>0.98233648128716333</v>
      </c>
      <c r="E81" s="35">
        <f t="shared" si="17"/>
        <v>0.99357080799304953</v>
      </c>
      <c r="F81" s="20">
        <v>5755</v>
      </c>
      <c r="G81" s="20">
        <f t="shared" si="18"/>
        <v>37</v>
      </c>
      <c r="H81" s="20">
        <v>5718</v>
      </c>
      <c r="I81" s="20">
        <v>5617</v>
      </c>
      <c r="J81" s="20">
        <f t="shared" si="19"/>
        <v>101</v>
      </c>
    </row>
    <row r="82" spans="1:10">
      <c r="A82" s="81">
        <v>1999</v>
      </c>
      <c r="B82" s="82" t="s">
        <v>42</v>
      </c>
      <c r="C82" s="35">
        <f t="shared" si="15"/>
        <v>0.89208383855880824</v>
      </c>
      <c r="D82" s="35">
        <f t="shared" si="16"/>
        <v>0.90271691498685369</v>
      </c>
      <c r="E82" s="35">
        <f t="shared" si="17"/>
        <v>0.9882210289277672</v>
      </c>
      <c r="F82" s="20">
        <v>5773</v>
      </c>
      <c r="G82" s="20">
        <f t="shared" si="18"/>
        <v>68</v>
      </c>
      <c r="H82" s="20">
        <v>5705</v>
      </c>
      <c r="I82" s="20">
        <v>5150</v>
      </c>
      <c r="J82" s="20">
        <f t="shared" si="19"/>
        <v>555</v>
      </c>
    </row>
    <row r="83" spans="1:10">
      <c r="A83" s="81">
        <v>1999</v>
      </c>
      <c r="B83" s="82" t="s">
        <v>43</v>
      </c>
      <c r="C83" s="35">
        <f t="shared" si="15"/>
        <v>0.90533895328415881</v>
      </c>
      <c r="D83" s="35">
        <f t="shared" si="16"/>
        <v>0.91384506293210421</v>
      </c>
      <c r="E83" s="35">
        <f t="shared" si="17"/>
        <v>0.99069195644538111</v>
      </c>
      <c r="F83" s="20">
        <v>5694</v>
      </c>
      <c r="G83" s="20">
        <f t="shared" si="18"/>
        <v>53</v>
      </c>
      <c r="H83" s="20">
        <v>5641</v>
      </c>
      <c r="I83" s="20">
        <v>5155</v>
      </c>
      <c r="J83" s="20">
        <f t="shared" si="19"/>
        <v>486</v>
      </c>
    </row>
    <row r="84" spans="1:10">
      <c r="A84" s="81">
        <v>1999</v>
      </c>
      <c r="B84" s="82" t="s">
        <v>44</v>
      </c>
      <c r="C84" s="35">
        <f t="shared" si="15"/>
        <v>0.95841683366733466</v>
      </c>
      <c r="D84" s="35">
        <f t="shared" si="16"/>
        <v>0.96991718776406965</v>
      </c>
      <c r="E84" s="35">
        <f t="shared" si="17"/>
        <v>0.98814295257181028</v>
      </c>
      <c r="F84" s="20">
        <v>5988</v>
      </c>
      <c r="G84" s="20">
        <f t="shared" si="18"/>
        <v>71</v>
      </c>
      <c r="H84" s="20">
        <v>5917</v>
      </c>
      <c r="I84" s="20">
        <v>5739</v>
      </c>
      <c r="J84" s="20">
        <f t="shared" si="19"/>
        <v>178</v>
      </c>
    </row>
    <row r="85" spans="1:10">
      <c r="A85" s="81">
        <v>1999</v>
      </c>
      <c r="B85" s="82" t="s">
        <v>45</v>
      </c>
      <c r="C85" s="35">
        <f t="shared" si="15"/>
        <v>0.93656149822844614</v>
      </c>
      <c r="D85" s="35">
        <f t="shared" si="16"/>
        <v>0.97539975399753998</v>
      </c>
      <c r="E85" s="35">
        <f t="shared" si="17"/>
        <v>0.96018221697317363</v>
      </c>
      <c r="F85" s="20">
        <v>5927</v>
      </c>
      <c r="G85" s="20">
        <f t="shared" si="18"/>
        <v>236</v>
      </c>
      <c r="H85" s="20">
        <v>5691</v>
      </c>
      <c r="I85" s="20">
        <v>5551</v>
      </c>
      <c r="J85" s="20">
        <f t="shared" si="19"/>
        <v>140</v>
      </c>
    </row>
    <row r="86" spans="1:10">
      <c r="A86" s="81">
        <v>1999</v>
      </c>
      <c r="B86" s="82" t="s">
        <v>46</v>
      </c>
      <c r="C86" s="35">
        <f t="shared" si="15"/>
        <v>0.97300899700099963</v>
      </c>
      <c r="D86" s="35">
        <f t="shared" si="16"/>
        <v>0.98465688754004388</v>
      </c>
      <c r="E86" s="35">
        <f t="shared" si="17"/>
        <v>0.98817060979673443</v>
      </c>
      <c r="F86" s="20">
        <v>6002</v>
      </c>
      <c r="G86" s="20">
        <f t="shared" si="18"/>
        <v>71</v>
      </c>
      <c r="H86" s="20">
        <v>5931</v>
      </c>
      <c r="I86" s="20">
        <v>5840</v>
      </c>
      <c r="J86" s="20">
        <f t="shared" si="19"/>
        <v>91</v>
      </c>
    </row>
    <row r="87" spans="1:10">
      <c r="A87" s="81">
        <v>1999</v>
      </c>
      <c r="B87" s="82" t="s">
        <v>47</v>
      </c>
      <c r="C87" s="35">
        <f t="shared" si="15"/>
        <v>0.94789166952348303</v>
      </c>
      <c r="D87" s="35">
        <f t="shared" si="16"/>
        <v>0.9734201725048407</v>
      </c>
      <c r="E87" s="35">
        <f t="shared" si="17"/>
        <v>0.97377442577991091</v>
      </c>
      <c r="F87" s="20">
        <v>5834</v>
      </c>
      <c r="G87" s="20">
        <f t="shared" si="18"/>
        <v>153</v>
      </c>
      <c r="H87" s="20">
        <v>5681</v>
      </c>
      <c r="I87" s="20">
        <v>5530</v>
      </c>
      <c r="J87" s="20">
        <f t="shared" si="19"/>
        <v>151</v>
      </c>
    </row>
    <row r="88" spans="1:10">
      <c r="A88" s="81">
        <v>1999</v>
      </c>
      <c r="B88" s="82" t="s">
        <v>48</v>
      </c>
      <c r="C88" s="35">
        <f t="shared" si="15"/>
        <v>0.89887267904509283</v>
      </c>
      <c r="D88" s="35">
        <f t="shared" si="16"/>
        <v>0.95541850220264313</v>
      </c>
      <c r="E88" s="35">
        <f t="shared" si="17"/>
        <v>0.94081564986737398</v>
      </c>
      <c r="F88" s="20">
        <v>6032</v>
      </c>
      <c r="G88" s="20">
        <f t="shared" si="18"/>
        <v>357</v>
      </c>
      <c r="H88" s="20">
        <v>5675</v>
      </c>
      <c r="I88" s="20">
        <v>5422</v>
      </c>
      <c r="J88" s="20">
        <f t="shared" si="19"/>
        <v>253</v>
      </c>
    </row>
    <row r="89" spans="1:10">
      <c r="A89" s="81">
        <v>1999</v>
      </c>
      <c r="B89" s="82" t="s">
        <v>49</v>
      </c>
      <c r="C89" s="35">
        <f t="shared" si="15"/>
        <v>0.95235732009925556</v>
      </c>
      <c r="D89" s="35">
        <f t="shared" si="16"/>
        <v>0.97493649449618969</v>
      </c>
      <c r="E89" s="35">
        <f t="shared" si="17"/>
        <v>0.97684036393713813</v>
      </c>
      <c r="F89" s="20">
        <v>6045</v>
      </c>
      <c r="G89" s="20">
        <f t="shared" si="18"/>
        <v>140</v>
      </c>
      <c r="H89" s="20">
        <v>5905</v>
      </c>
      <c r="I89" s="20">
        <v>5757</v>
      </c>
      <c r="J89" s="20">
        <f t="shared" si="19"/>
        <v>148</v>
      </c>
    </row>
    <row r="90" spans="1:10">
      <c r="A90" s="81">
        <v>2000</v>
      </c>
      <c r="B90" s="82" t="s">
        <v>38</v>
      </c>
      <c r="C90" s="35">
        <f t="shared" si="15"/>
        <v>0.90221774193548387</v>
      </c>
      <c r="D90" s="35">
        <f t="shared" si="16"/>
        <v>0.97141823444283648</v>
      </c>
      <c r="E90" s="35">
        <f t="shared" si="17"/>
        <v>0.92876344086021501</v>
      </c>
      <c r="F90" s="20">
        <v>5952</v>
      </c>
      <c r="G90" s="20">
        <f t="shared" ref="G90:G101" si="20">F90-H90</f>
        <v>424</v>
      </c>
      <c r="H90" s="20">
        <v>5528</v>
      </c>
      <c r="I90" s="20">
        <v>5370</v>
      </c>
      <c r="J90" s="20">
        <f t="shared" ref="J90:J101" si="21">H90-I90</f>
        <v>158</v>
      </c>
    </row>
    <row r="91" spans="1:10">
      <c r="A91" s="81">
        <v>2000</v>
      </c>
      <c r="B91" s="82" t="s">
        <v>39</v>
      </c>
      <c r="C91" s="35">
        <f t="shared" si="15"/>
        <v>0.93441491197790816</v>
      </c>
      <c r="D91" s="35">
        <f t="shared" si="16"/>
        <v>0.96557874085963968</v>
      </c>
      <c r="E91" s="35">
        <f t="shared" si="17"/>
        <v>0.96772523299965485</v>
      </c>
      <c r="F91" s="20">
        <v>5794</v>
      </c>
      <c r="G91" s="20">
        <f t="shared" si="20"/>
        <v>187</v>
      </c>
      <c r="H91" s="20">
        <v>5607</v>
      </c>
      <c r="I91" s="20">
        <v>5414</v>
      </c>
      <c r="J91" s="20">
        <f t="shared" si="21"/>
        <v>193</v>
      </c>
    </row>
    <row r="92" spans="1:10">
      <c r="A92" s="81">
        <v>2000</v>
      </c>
      <c r="B92" s="82" t="s">
        <v>40</v>
      </c>
      <c r="C92" s="35">
        <f t="shared" si="15"/>
        <v>0.9615138933248164</v>
      </c>
      <c r="D92" s="35">
        <f t="shared" si="16"/>
        <v>0.98527245949926368</v>
      </c>
      <c r="E92" s="35">
        <f t="shared" si="17"/>
        <v>0.97588629830725004</v>
      </c>
      <c r="F92" s="20">
        <v>6262</v>
      </c>
      <c r="G92" s="20">
        <f t="shared" si="20"/>
        <v>151</v>
      </c>
      <c r="H92" s="20">
        <v>6111</v>
      </c>
      <c r="I92" s="20">
        <v>6021</v>
      </c>
      <c r="J92" s="20">
        <f t="shared" si="21"/>
        <v>90</v>
      </c>
    </row>
    <row r="93" spans="1:10">
      <c r="A93" s="81">
        <v>2000</v>
      </c>
      <c r="B93" s="82" t="s">
        <v>41</v>
      </c>
      <c r="C93" s="35">
        <f t="shared" si="15"/>
        <v>0.93221258134490237</v>
      </c>
      <c r="D93" s="35">
        <f t="shared" si="16"/>
        <v>0.96212686567164174</v>
      </c>
      <c r="E93" s="35">
        <f t="shared" si="17"/>
        <v>0.96890817064352852</v>
      </c>
      <c r="F93" s="20">
        <v>5532</v>
      </c>
      <c r="G93" s="20">
        <f t="shared" si="20"/>
        <v>172</v>
      </c>
      <c r="H93" s="20">
        <v>5360</v>
      </c>
      <c r="I93" s="20">
        <v>5157</v>
      </c>
      <c r="J93" s="20">
        <f t="shared" si="21"/>
        <v>203</v>
      </c>
    </row>
    <row r="94" spans="1:10">
      <c r="A94" s="81">
        <v>2000</v>
      </c>
      <c r="B94" s="82" t="s">
        <v>42</v>
      </c>
      <c r="C94" s="35">
        <f t="shared" si="15"/>
        <v>0.94325997248968363</v>
      </c>
      <c r="D94" s="35">
        <f t="shared" si="16"/>
        <v>0.96178120617110796</v>
      </c>
      <c r="E94" s="35">
        <f t="shared" si="17"/>
        <v>0.98074277854195324</v>
      </c>
      <c r="F94" s="20">
        <v>5816</v>
      </c>
      <c r="G94" s="20">
        <f t="shared" si="20"/>
        <v>112</v>
      </c>
      <c r="H94" s="20">
        <v>5704</v>
      </c>
      <c r="I94" s="20">
        <v>5486</v>
      </c>
      <c r="J94" s="20">
        <f t="shared" si="21"/>
        <v>218</v>
      </c>
    </row>
    <row r="95" spans="1:10">
      <c r="A95" s="81">
        <v>2000</v>
      </c>
      <c r="B95" s="82" t="s">
        <v>43</v>
      </c>
      <c r="C95" s="35">
        <f t="shared" si="15"/>
        <v>0.90338592448147492</v>
      </c>
      <c r="D95" s="35">
        <f t="shared" si="16"/>
        <v>0.93060628195763329</v>
      </c>
      <c r="E95" s="35">
        <f t="shared" si="17"/>
        <v>0.97074986704485022</v>
      </c>
      <c r="F95" s="20">
        <v>5641</v>
      </c>
      <c r="G95" s="20">
        <f t="shared" si="20"/>
        <v>165</v>
      </c>
      <c r="H95" s="20">
        <v>5476</v>
      </c>
      <c r="I95" s="20">
        <v>5096</v>
      </c>
      <c r="J95" s="20">
        <f t="shared" si="21"/>
        <v>380</v>
      </c>
    </row>
    <row r="96" spans="1:10">
      <c r="A96" s="81">
        <v>2000</v>
      </c>
      <c r="B96" s="82" t="s">
        <v>44</v>
      </c>
      <c r="C96" s="35">
        <f t="shared" si="15"/>
        <v>0.95227505986999661</v>
      </c>
      <c r="D96" s="35">
        <f t="shared" si="16"/>
        <v>0.97376246283015566</v>
      </c>
      <c r="E96" s="35">
        <f t="shared" si="17"/>
        <v>0.97793362983236398</v>
      </c>
      <c r="F96" s="20">
        <v>5846</v>
      </c>
      <c r="G96" s="20">
        <f t="shared" si="20"/>
        <v>129</v>
      </c>
      <c r="H96" s="20">
        <v>5717</v>
      </c>
      <c r="I96" s="20">
        <v>5567</v>
      </c>
      <c r="J96" s="20">
        <f t="shared" si="21"/>
        <v>150</v>
      </c>
    </row>
    <row r="97" spans="1:10">
      <c r="A97" s="81">
        <v>2000</v>
      </c>
      <c r="B97" s="82" t="s">
        <v>45</v>
      </c>
      <c r="C97" s="35">
        <f t="shared" si="15"/>
        <v>0.947395042994436</v>
      </c>
      <c r="D97" s="35">
        <f t="shared" si="16"/>
        <v>0.96829226262278134</v>
      </c>
      <c r="E97" s="35">
        <f t="shared" si="17"/>
        <v>0.97841847917720448</v>
      </c>
      <c r="F97" s="20">
        <v>5931</v>
      </c>
      <c r="G97" s="20">
        <f t="shared" si="20"/>
        <v>128</v>
      </c>
      <c r="H97" s="20">
        <v>5803</v>
      </c>
      <c r="I97" s="20">
        <v>5619</v>
      </c>
      <c r="J97" s="20">
        <f t="shared" si="21"/>
        <v>184</v>
      </c>
    </row>
    <row r="98" spans="1:10">
      <c r="A98" s="81">
        <v>2000</v>
      </c>
      <c r="B98" s="82" t="s">
        <v>46</v>
      </c>
      <c r="C98" s="35">
        <f t="shared" si="15"/>
        <v>0.91139240506329111</v>
      </c>
      <c r="D98" s="35">
        <f t="shared" si="16"/>
        <v>0.94668587896253598</v>
      </c>
      <c r="E98" s="35">
        <f t="shared" si="17"/>
        <v>0.96271891798161957</v>
      </c>
      <c r="F98" s="20">
        <v>5767</v>
      </c>
      <c r="G98" s="20">
        <f t="shared" si="20"/>
        <v>215</v>
      </c>
      <c r="H98" s="20">
        <v>5552</v>
      </c>
      <c r="I98" s="20">
        <v>5256</v>
      </c>
      <c r="J98" s="20">
        <f t="shared" si="21"/>
        <v>296</v>
      </c>
    </row>
    <row r="99" spans="1:10">
      <c r="A99" s="81">
        <v>2000</v>
      </c>
      <c r="B99" s="82" t="s">
        <v>47</v>
      </c>
      <c r="C99" s="35">
        <f t="shared" si="15"/>
        <v>0.93273387515130557</v>
      </c>
      <c r="D99" s="35">
        <f t="shared" si="16"/>
        <v>0.97259285971871623</v>
      </c>
      <c r="E99" s="35">
        <f t="shared" si="17"/>
        <v>0.9590178108248314</v>
      </c>
      <c r="F99" s="20">
        <v>5783</v>
      </c>
      <c r="G99" s="20">
        <f t="shared" si="20"/>
        <v>237</v>
      </c>
      <c r="H99" s="20">
        <v>5546</v>
      </c>
      <c r="I99" s="20">
        <v>5394</v>
      </c>
      <c r="J99" s="20">
        <f t="shared" si="21"/>
        <v>152</v>
      </c>
    </row>
    <row r="100" spans="1:10">
      <c r="A100" s="81">
        <v>2000</v>
      </c>
      <c r="B100" s="82" t="s">
        <v>48</v>
      </c>
      <c r="C100" s="35">
        <f t="shared" si="15"/>
        <v>0.86431989063568015</v>
      </c>
      <c r="D100" s="35">
        <f t="shared" si="16"/>
        <v>0.92807339449541282</v>
      </c>
      <c r="E100" s="35">
        <f t="shared" si="17"/>
        <v>0.93130553656869441</v>
      </c>
      <c r="F100" s="20">
        <v>5852</v>
      </c>
      <c r="G100" s="20">
        <f t="shared" si="20"/>
        <v>402</v>
      </c>
      <c r="H100" s="20">
        <v>5450</v>
      </c>
      <c r="I100" s="20">
        <v>5058</v>
      </c>
      <c r="J100" s="20">
        <f t="shared" si="21"/>
        <v>392</v>
      </c>
    </row>
    <row r="101" spans="1:10">
      <c r="A101" s="81">
        <v>2000</v>
      </c>
      <c r="B101" s="82" t="s">
        <v>49</v>
      </c>
      <c r="C101" s="35">
        <f t="shared" si="15"/>
        <v>0.87189189189189187</v>
      </c>
      <c r="D101" s="35">
        <f t="shared" si="16"/>
        <v>0.93870029097963148</v>
      </c>
      <c r="E101" s="35">
        <f t="shared" si="17"/>
        <v>0.92882882882882878</v>
      </c>
      <c r="F101" s="20">
        <v>5550</v>
      </c>
      <c r="G101" s="20">
        <f t="shared" si="20"/>
        <v>395</v>
      </c>
      <c r="H101" s="20">
        <v>5155</v>
      </c>
      <c r="I101" s="20">
        <v>4839</v>
      </c>
      <c r="J101" s="20">
        <f t="shared" si="21"/>
        <v>316</v>
      </c>
    </row>
    <row r="102" spans="1:10">
      <c r="A102" s="81">
        <v>2001</v>
      </c>
      <c r="B102" s="82" t="s">
        <v>38</v>
      </c>
      <c r="C102" s="35">
        <f t="shared" si="15"/>
        <v>0.94873524451939295</v>
      </c>
      <c r="D102" s="35">
        <f t="shared" si="16"/>
        <v>0.98408256078362777</v>
      </c>
      <c r="E102" s="35">
        <f t="shared" si="17"/>
        <v>0.96408094435075886</v>
      </c>
      <c r="F102" s="20">
        <v>5930</v>
      </c>
      <c r="G102" s="20">
        <f t="shared" ref="G102:G113" si="22">F102-H102</f>
        <v>213</v>
      </c>
      <c r="H102" s="20">
        <v>5717</v>
      </c>
      <c r="I102" s="20">
        <v>5626</v>
      </c>
      <c r="J102" s="20">
        <f t="shared" ref="J102:J113" si="23">H102-I102</f>
        <v>91</v>
      </c>
    </row>
    <row r="103" spans="1:10">
      <c r="A103" s="81">
        <v>2001</v>
      </c>
      <c r="B103" s="82" t="s">
        <v>39</v>
      </c>
      <c r="C103" s="35">
        <f t="shared" si="15"/>
        <v>0.95351851851851854</v>
      </c>
      <c r="D103" s="35">
        <f t="shared" si="16"/>
        <v>0.97964231354642317</v>
      </c>
      <c r="E103" s="35">
        <f t="shared" si="17"/>
        <v>0.97333333333333338</v>
      </c>
      <c r="F103" s="20">
        <v>5400</v>
      </c>
      <c r="G103" s="20">
        <f t="shared" si="22"/>
        <v>144</v>
      </c>
      <c r="H103" s="20">
        <v>5256</v>
      </c>
      <c r="I103" s="20">
        <v>5149</v>
      </c>
      <c r="J103" s="20">
        <f t="shared" si="23"/>
        <v>107</v>
      </c>
    </row>
    <row r="104" spans="1:10">
      <c r="A104" s="81">
        <v>2001</v>
      </c>
      <c r="B104" s="82" t="s">
        <v>40</v>
      </c>
      <c r="C104" s="35">
        <f t="shared" si="15"/>
        <v>0.94877356916402467</v>
      </c>
      <c r="D104" s="35">
        <f t="shared" si="16"/>
        <v>0.96667800068004084</v>
      </c>
      <c r="E104" s="35">
        <f t="shared" si="17"/>
        <v>0.98147839145669946</v>
      </c>
      <c r="F104" s="20">
        <v>5993</v>
      </c>
      <c r="G104" s="20">
        <f>F104-H104</f>
        <v>111</v>
      </c>
      <c r="H104" s="20">
        <v>5882</v>
      </c>
      <c r="I104" s="20">
        <v>5686</v>
      </c>
      <c r="J104" s="20">
        <f t="shared" si="23"/>
        <v>196</v>
      </c>
    </row>
    <row r="105" spans="1:10">
      <c r="A105" s="81">
        <v>2001</v>
      </c>
      <c r="B105" s="82" t="s">
        <v>41</v>
      </c>
      <c r="C105" s="35">
        <f t="shared" si="15"/>
        <v>0.95323065364387682</v>
      </c>
      <c r="D105" s="35">
        <f t="shared" si="16"/>
        <v>0.96099223631887898</v>
      </c>
      <c r="E105" s="35">
        <f t="shared" si="17"/>
        <v>0.99192336589030805</v>
      </c>
      <c r="F105" s="20">
        <v>5324</v>
      </c>
      <c r="G105" s="20">
        <f t="shared" si="22"/>
        <v>43</v>
      </c>
      <c r="H105" s="20">
        <v>5281</v>
      </c>
      <c r="I105" s="20">
        <v>5075</v>
      </c>
      <c r="J105" s="20">
        <f t="shared" si="23"/>
        <v>206</v>
      </c>
    </row>
    <row r="106" spans="1:10">
      <c r="A106" s="81">
        <v>2001</v>
      </c>
      <c r="B106" s="82" t="s">
        <v>42</v>
      </c>
      <c r="C106" s="35">
        <f t="shared" si="15"/>
        <v>0.93358699411968182</v>
      </c>
      <c r="D106" s="35">
        <f t="shared" si="16"/>
        <v>0.97173717371737178</v>
      </c>
      <c r="E106" s="35">
        <f t="shared" si="17"/>
        <v>0.96074022829470773</v>
      </c>
      <c r="F106" s="20">
        <v>5782</v>
      </c>
      <c r="G106" s="20">
        <f t="shared" si="22"/>
        <v>227</v>
      </c>
      <c r="H106" s="20">
        <v>5555</v>
      </c>
      <c r="I106" s="20">
        <v>5398</v>
      </c>
      <c r="J106" s="20">
        <f t="shared" si="23"/>
        <v>157</v>
      </c>
    </row>
    <row r="107" spans="1:10">
      <c r="A107" s="81">
        <v>2001</v>
      </c>
      <c r="B107" s="82" t="s">
        <v>43</v>
      </c>
      <c r="C107" s="35">
        <f t="shared" si="15"/>
        <v>0.90389749065670044</v>
      </c>
      <c r="D107" s="35">
        <f t="shared" si="16"/>
        <v>0.95147995503934057</v>
      </c>
      <c r="E107" s="35">
        <f t="shared" si="17"/>
        <v>0.94999110161950528</v>
      </c>
      <c r="F107" s="20">
        <v>5619</v>
      </c>
      <c r="G107" s="20">
        <f t="shared" si="22"/>
        <v>281</v>
      </c>
      <c r="H107" s="20">
        <v>5338</v>
      </c>
      <c r="I107" s="20">
        <v>5079</v>
      </c>
      <c r="J107" s="20">
        <f t="shared" si="23"/>
        <v>259</v>
      </c>
    </row>
    <row r="108" spans="1:10">
      <c r="A108" s="81">
        <v>2001</v>
      </c>
      <c r="B108" s="82" t="s">
        <v>44</v>
      </c>
      <c r="C108" s="35">
        <f t="shared" si="15"/>
        <v>0.8924433684938613</v>
      </c>
      <c r="D108" s="35">
        <f t="shared" si="16"/>
        <v>0.95662650602409638</v>
      </c>
      <c r="E108" s="35">
        <f t="shared" si="17"/>
        <v>0.93290679578073665</v>
      </c>
      <c r="F108" s="20">
        <v>5783</v>
      </c>
      <c r="G108" s="20">
        <f t="shared" si="22"/>
        <v>388</v>
      </c>
      <c r="H108" s="20">
        <v>5395</v>
      </c>
      <c r="I108" s="20">
        <v>5161</v>
      </c>
      <c r="J108" s="20">
        <f t="shared" si="23"/>
        <v>234</v>
      </c>
    </row>
    <row r="109" spans="1:10">
      <c r="A109" s="81">
        <v>2001</v>
      </c>
      <c r="B109" s="82" t="s">
        <v>45</v>
      </c>
      <c r="C109" s="35">
        <f t="shared" si="15"/>
        <v>0.92596964586846542</v>
      </c>
      <c r="D109" s="35">
        <f t="shared" si="16"/>
        <v>0.94233739488587609</v>
      </c>
      <c r="E109" s="35">
        <f t="shared" si="17"/>
        <v>0.98263069139966275</v>
      </c>
      <c r="F109" s="20">
        <v>5930</v>
      </c>
      <c r="G109" s="20">
        <f t="shared" si="22"/>
        <v>103</v>
      </c>
      <c r="H109" s="20">
        <v>5827</v>
      </c>
      <c r="I109" s="20">
        <v>5491</v>
      </c>
      <c r="J109" s="20">
        <f t="shared" si="23"/>
        <v>336</v>
      </c>
    </row>
    <row r="110" spans="1:10">
      <c r="A110" s="81">
        <v>2001</v>
      </c>
      <c r="B110" s="82" t="s">
        <v>46</v>
      </c>
      <c r="C110" s="35">
        <f t="shared" si="15"/>
        <v>0.9662857142857143</v>
      </c>
      <c r="D110" s="35">
        <f t="shared" si="16"/>
        <v>0.97295742232451088</v>
      </c>
      <c r="E110" s="35">
        <f t="shared" si="17"/>
        <v>0.99314285714285711</v>
      </c>
      <c r="F110" s="20">
        <v>5250</v>
      </c>
      <c r="G110" s="20">
        <f t="shared" si="22"/>
        <v>36</v>
      </c>
      <c r="H110" s="20">
        <v>5214</v>
      </c>
      <c r="I110" s="20">
        <v>5073</v>
      </c>
      <c r="J110" s="20">
        <f t="shared" si="23"/>
        <v>141</v>
      </c>
    </row>
    <row r="111" spans="1:10">
      <c r="A111" s="81">
        <v>2001</v>
      </c>
      <c r="B111" s="82" t="s">
        <v>47</v>
      </c>
      <c r="C111" s="35">
        <f t="shared" si="15"/>
        <v>0.97176470588235297</v>
      </c>
      <c r="D111" s="35">
        <f t="shared" si="16"/>
        <v>0.98028117582618224</v>
      </c>
      <c r="E111" s="35">
        <f t="shared" si="17"/>
        <v>0.99131221719457019</v>
      </c>
      <c r="F111" s="20">
        <v>5525</v>
      </c>
      <c r="G111" s="20">
        <f t="shared" si="22"/>
        <v>48</v>
      </c>
      <c r="H111" s="20">
        <v>5477</v>
      </c>
      <c r="I111" s="20">
        <v>5369</v>
      </c>
      <c r="J111" s="20">
        <f t="shared" si="23"/>
        <v>108</v>
      </c>
    </row>
    <row r="112" spans="1:10">
      <c r="A112" s="81">
        <v>2001</v>
      </c>
      <c r="B112" s="82" t="s">
        <v>48</v>
      </c>
      <c r="C112" s="35">
        <f t="shared" si="15"/>
        <v>0.9739970282317979</v>
      </c>
      <c r="D112" s="35">
        <f t="shared" si="16"/>
        <v>0.98073686179165886</v>
      </c>
      <c r="E112" s="35">
        <f t="shared" si="17"/>
        <v>0.99312778603268947</v>
      </c>
      <c r="F112" s="20">
        <v>5384</v>
      </c>
      <c r="G112" s="20">
        <f t="shared" si="22"/>
        <v>37</v>
      </c>
      <c r="H112" s="20">
        <v>5347</v>
      </c>
      <c r="I112" s="20">
        <v>5244</v>
      </c>
      <c r="J112" s="20">
        <f t="shared" si="23"/>
        <v>103</v>
      </c>
    </row>
    <row r="113" spans="1:10">
      <c r="A113" s="81">
        <v>2001</v>
      </c>
      <c r="B113" s="82" t="s">
        <v>49</v>
      </c>
      <c r="C113" s="35">
        <f t="shared" si="15"/>
        <v>0.82918487554626641</v>
      </c>
      <c r="D113" s="35">
        <f t="shared" si="16"/>
        <v>0.97891431135038132</v>
      </c>
      <c r="E113" s="35">
        <f t="shared" si="17"/>
        <v>0.84704541136234091</v>
      </c>
      <c r="F113" s="20">
        <v>5263</v>
      </c>
      <c r="G113" s="20">
        <f t="shared" si="22"/>
        <v>805</v>
      </c>
      <c r="H113" s="20">
        <v>4458</v>
      </c>
      <c r="I113" s="20">
        <v>4364</v>
      </c>
      <c r="J113" s="20">
        <f t="shared" si="23"/>
        <v>94</v>
      </c>
    </row>
    <row r="114" spans="1:10">
      <c r="A114" s="81">
        <v>2002</v>
      </c>
      <c r="B114" s="82" t="s">
        <v>38</v>
      </c>
      <c r="C114" s="35">
        <f t="shared" si="15"/>
        <v>0.86257468766974466</v>
      </c>
      <c r="D114" s="35">
        <f t="shared" si="16"/>
        <v>0.98145859085290477</v>
      </c>
      <c r="E114" s="35">
        <f t="shared" si="17"/>
        <v>0.87887017925040734</v>
      </c>
      <c r="F114" s="20">
        <v>5523</v>
      </c>
      <c r="G114" s="20">
        <f>F114-H114</f>
        <v>669</v>
      </c>
      <c r="H114" s="20">
        <v>4854</v>
      </c>
      <c r="I114" s="20">
        <v>4764</v>
      </c>
      <c r="J114" s="20">
        <f t="shared" ref="J114:J125" si="24">H114-I114</f>
        <v>90</v>
      </c>
    </row>
    <row r="115" spans="1:10">
      <c r="A115" s="81">
        <v>2002</v>
      </c>
      <c r="B115" s="82" t="s">
        <v>39</v>
      </c>
      <c r="C115" s="35">
        <f t="shared" si="15"/>
        <v>0.85046928327645055</v>
      </c>
      <c r="D115" s="35">
        <f t="shared" si="16"/>
        <v>0.99749812359269452</v>
      </c>
      <c r="E115" s="35">
        <f t="shared" si="17"/>
        <v>0.85260238907849828</v>
      </c>
      <c r="F115" s="20">
        <v>4688</v>
      </c>
      <c r="G115" s="20">
        <f>F115-H115</f>
        <v>691</v>
      </c>
      <c r="H115" s="20">
        <v>3997</v>
      </c>
      <c r="I115" s="20">
        <v>3987</v>
      </c>
      <c r="J115" s="20">
        <f t="shared" si="24"/>
        <v>10</v>
      </c>
    </row>
    <row r="116" spans="1:10">
      <c r="A116" s="81">
        <v>2002</v>
      </c>
      <c r="B116" s="82" t="s">
        <v>40</v>
      </c>
      <c r="C116" s="35">
        <f t="shared" si="15"/>
        <v>0.84756470348481761</v>
      </c>
      <c r="D116" s="35">
        <f t="shared" si="16"/>
        <v>0.97812793979303858</v>
      </c>
      <c r="E116" s="35">
        <f t="shared" si="17"/>
        <v>0.86651722029753409</v>
      </c>
      <c r="F116" s="20">
        <v>4907</v>
      </c>
      <c r="G116" s="20">
        <f>F116-H116</f>
        <v>655</v>
      </c>
      <c r="H116" s="20">
        <v>4252</v>
      </c>
      <c r="I116" s="20">
        <v>4159</v>
      </c>
      <c r="J116" s="20">
        <f t="shared" si="24"/>
        <v>93</v>
      </c>
    </row>
    <row r="117" spans="1:10">
      <c r="A117" s="81">
        <v>2002</v>
      </c>
      <c r="B117" s="82" t="s">
        <v>41</v>
      </c>
      <c r="C117" s="35">
        <f t="shared" si="15"/>
        <v>0.80205811138014527</v>
      </c>
      <c r="D117" s="35">
        <f t="shared" si="16"/>
        <v>0.9759391112202308</v>
      </c>
      <c r="E117" s="35">
        <f t="shared" si="17"/>
        <v>0.82183212267958028</v>
      </c>
      <c r="F117" s="20">
        <v>4956</v>
      </c>
      <c r="G117" s="20">
        <f t="shared" ref="G117:G125" si="25">F117-H117</f>
        <v>883</v>
      </c>
      <c r="H117" s="20">
        <v>4073</v>
      </c>
      <c r="I117" s="20">
        <v>3975</v>
      </c>
      <c r="J117" s="20">
        <f t="shared" si="24"/>
        <v>98</v>
      </c>
    </row>
    <row r="118" spans="1:10">
      <c r="A118" s="81">
        <v>2002</v>
      </c>
      <c r="B118" s="82" t="s">
        <v>42</v>
      </c>
      <c r="C118" s="35">
        <f t="shared" si="15"/>
        <v>0.83179042741776643</v>
      </c>
      <c r="D118" s="35">
        <f t="shared" si="16"/>
        <v>0.9768679157992135</v>
      </c>
      <c r="E118" s="35">
        <f t="shared" si="17"/>
        <v>0.85148709868032302</v>
      </c>
      <c r="F118" s="20">
        <v>5077</v>
      </c>
      <c r="G118" s="20">
        <f t="shared" si="25"/>
        <v>754</v>
      </c>
      <c r="H118" s="20">
        <v>4323</v>
      </c>
      <c r="I118" s="20">
        <v>4223</v>
      </c>
      <c r="J118" s="20">
        <f t="shared" si="24"/>
        <v>100</v>
      </c>
    </row>
    <row r="119" spans="1:10">
      <c r="A119" s="81">
        <v>2002</v>
      </c>
      <c r="B119" s="82" t="s">
        <v>43</v>
      </c>
      <c r="C119" s="35">
        <f t="shared" si="15"/>
        <v>0.83951919021509913</v>
      </c>
      <c r="D119" s="35">
        <f t="shared" si="16"/>
        <v>0.9824777887462981</v>
      </c>
      <c r="E119" s="35">
        <f t="shared" si="17"/>
        <v>0.85449177562210032</v>
      </c>
      <c r="F119" s="20">
        <v>4742</v>
      </c>
      <c r="G119" s="20">
        <f t="shared" si="25"/>
        <v>690</v>
      </c>
      <c r="H119" s="20">
        <v>4052</v>
      </c>
      <c r="I119" s="20">
        <v>3981</v>
      </c>
      <c r="J119" s="20">
        <f t="shared" si="24"/>
        <v>71</v>
      </c>
    </row>
    <row r="120" spans="1:10">
      <c r="A120" s="81">
        <v>2002</v>
      </c>
      <c r="B120" s="82" t="s">
        <v>44</v>
      </c>
      <c r="C120" s="35">
        <f t="shared" si="15"/>
        <v>0.82247589057272186</v>
      </c>
      <c r="D120" s="35">
        <f t="shared" si="16"/>
        <v>0.9835255354200988</v>
      </c>
      <c r="E120" s="35">
        <f t="shared" si="17"/>
        <v>0.83625270616020464</v>
      </c>
      <c r="F120" s="20">
        <v>5081</v>
      </c>
      <c r="G120" s="20">
        <f t="shared" si="25"/>
        <v>832</v>
      </c>
      <c r="H120" s="20">
        <v>4249</v>
      </c>
      <c r="I120" s="20">
        <v>4179</v>
      </c>
      <c r="J120" s="20">
        <f t="shared" si="24"/>
        <v>70</v>
      </c>
    </row>
    <row r="121" spans="1:10">
      <c r="A121" s="81">
        <v>2002</v>
      </c>
      <c r="B121" s="82" t="s">
        <v>45</v>
      </c>
      <c r="C121" s="35">
        <f t="shared" si="15"/>
        <v>0.83834586466165417</v>
      </c>
      <c r="D121" s="35">
        <f t="shared" si="16"/>
        <v>0.98764568764568761</v>
      </c>
      <c r="E121" s="35">
        <f t="shared" si="17"/>
        <v>0.84883260783537795</v>
      </c>
      <c r="F121" s="20">
        <v>5054</v>
      </c>
      <c r="G121" s="20">
        <f t="shared" si="25"/>
        <v>764</v>
      </c>
      <c r="H121" s="20">
        <v>4290</v>
      </c>
      <c r="I121" s="20">
        <v>4237</v>
      </c>
      <c r="J121" s="20">
        <f t="shared" si="24"/>
        <v>53</v>
      </c>
    </row>
    <row r="122" spans="1:10">
      <c r="A122" s="81">
        <v>2002</v>
      </c>
      <c r="B122" s="82" t="s">
        <v>46</v>
      </c>
      <c r="C122" s="35">
        <f t="shared" si="15"/>
        <v>0.85892028679881904</v>
      </c>
      <c r="D122" s="35">
        <f t="shared" si="16"/>
        <v>0.97885123768324922</v>
      </c>
      <c r="E122" s="35">
        <f t="shared" si="17"/>
        <v>0.87747785744411644</v>
      </c>
      <c r="F122" s="20">
        <v>4742</v>
      </c>
      <c r="G122" s="20">
        <f t="shared" si="25"/>
        <v>581</v>
      </c>
      <c r="H122" s="20">
        <v>4161</v>
      </c>
      <c r="I122" s="20">
        <v>4073</v>
      </c>
      <c r="J122" s="20">
        <f t="shared" si="24"/>
        <v>88</v>
      </c>
    </row>
    <row r="123" spans="1:10">
      <c r="A123" s="81">
        <v>2002</v>
      </c>
      <c r="B123" s="82" t="s">
        <v>47</v>
      </c>
      <c r="C123" s="35">
        <f t="shared" si="15"/>
        <v>0.83159346070514084</v>
      </c>
      <c r="D123" s="35">
        <f t="shared" si="16"/>
        <v>0.97483260217039946</v>
      </c>
      <c r="E123" s="35">
        <f t="shared" si="17"/>
        <v>0.85306283238132752</v>
      </c>
      <c r="F123" s="20">
        <v>5077</v>
      </c>
      <c r="G123" s="20">
        <f t="shared" si="25"/>
        <v>746</v>
      </c>
      <c r="H123" s="20">
        <v>4331</v>
      </c>
      <c r="I123" s="20">
        <v>4222</v>
      </c>
      <c r="J123" s="20">
        <f t="shared" si="24"/>
        <v>109</v>
      </c>
    </row>
    <row r="124" spans="1:10">
      <c r="A124" s="81">
        <v>2002</v>
      </c>
      <c r="B124" s="82" t="s">
        <v>48</v>
      </c>
      <c r="C124" s="35">
        <f t="shared" si="15"/>
        <v>0.95794944483817623</v>
      </c>
      <c r="D124" s="35">
        <f t="shared" si="16"/>
        <v>0.96801145858200044</v>
      </c>
      <c r="E124" s="35">
        <f t="shared" si="17"/>
        <v>0.98960548074651544</v>
      </c>
      <c r="F124" s="20">
        <v>4233</v>
      </c>
      <c r="G124" s="20">
        <f t="shared" si="25"/>
        <v>44</v>
      </c>
      <c r="H124" s="20">
        <v>4189</v>
      </c>
      <c r="I124" s="20">
        <v>4055</v>
      </c>
      <c r="J124" s="20">
        <f t="shared" si="24"/>
        <v>134</v>
      </c>
    </row>
    <row r="125" spans="1:10">
      <c r="A125" s="81">
        <v>2002</v>
      </c>
      <c r="B125" s="82" t="s">
        <v>49</v>
      </c>
      <c r="C125" s="35">
        <f t="shared" si="15"/>
        <v>0.98057116104868913</v>
      </c>
      <c r="D125" s="35">
        <f t="shared" si="16"/>
        <v>0.98797169811320751</v>
      </c>
      <c r="E125" s="35">
        <f t="shared" si="17"/>
        <v>0.99250936329588013</v>
      </c>
      <c r="F125" s="20">
        <v>4272</v>
      </c>
      <c r="G125" s="20">
        <f t="shared" si="25"/>
        <v>32</v>
      </c>
      <c r="H125" s="20">
        <v>4240</v>
      </c>
      <c r="I125" s="20">
        <v>4189</v>
      </c>
      <c r="J125" s="20">
        <f t="shared" si="24"/>
        <v>51</v>
      </c>
    </row>
    <row r="126" spans="1:10">
      <c r="A126" s="81">
        <v>2003</v>
      </c>
      <c r="B126" s="82" t="s">
        <v>38</v>
      </c>
      <c r="C126" s="35">
        <f t="shared" si="15"/>
        <v>0.9850746268656716</v>
      </c>
      <c r="D126" s="35">
        <f t="shared" si="16"/>
        <v>0.99259602036094396</v>
      </c>
      <c r="E126" s="35">
        <f t="shared" si="17"/>
        <v>0.99242250287026401</v>
      </c>
      <c r="F126" s="20">
        <v>4355</v>
      </c>
      <c r="G126" s="20">
        <f>F126-H126</f>
        <v>33</v>
      </c>
      <c r="H126" s="20">
        <v>4322</v>
      </c>
      <c r="I126" s="20">
        <v>4290</v>
      </c>
      <c r="J126" s="20">
        <f t="shared" ref="J126:J137" si="26">H126-I126</f>
        <v>32</v>
      </c>
    </row>
    <row r="127" spans="1:10">
      <c r="A127" s="81">
        <v>2003</v>
      </c>
      <c r="B127" s="82" t="s">
        <v>39</v>
      </c>
      <c r="C127" s="35">
        <f t="shared" si="15"/>
        <v>0.88686868686868692</v>
      </c>
      <c r="D127" s="35">
        <f t="shared" si="16"/>
        <v>0.98375350140056017</v>
      </c>
      <c r="E127" s="35">
        <f t="shared" si="17"/>
        <v>0.90151515151515149</v>
      </c>
      <c r="F127" s="20">
        <v>3960</v>
      </c>
      <c r="G127" s="20">
        <f>F127-H127</f>
        <v>390</v>
      </c>
      <c r="H127" s="20">
        <v>3570</v>
      </c>
      <c r="I127" s="20">
        <v>3512</v>
      </c>
      <c r="J127" s="20">
        <f t="shared" si="26"/>
        <v>58</v>
      </c>
    </row>
    <row r="128" spans="1:10">
      <c r="A128" s="81">
        <v>2003</v>
      </c>
      <c r="B128" s="82" t="s">
        <v>40</v>
      </c>
      <c r="C128" s="35">
        <f t="shared" si="15"/>
        <v>1.020506329113924</v>
      </c>
      <c r="D128" s="35">
        <f t="shared" si="16"/>
        <v>0.97673855100557305</v>
      </c>
      <c r="E128" s="35">
        <f t="shared" si="17"/>
        <v>1.0448101265822785</v>
      </c>
      <c r="F128" s="20">
        <v>3950</v>
      </c>
      <c r="G128" s="20">
        <v>0</v>
      </c>
      <c r="H128" s="20">
        <v>4127</v>
      </c>
      <c r="I128" s="20">
        <v>4031</v>
      </c>
      <c r="J128" s="20">
        <f t="shared" si="26"/>
        <v>96</v>
      </c>
    </row>
    <row r="129" spans="1:10">
      <c r="A129" s="81">
        <v>2003</v>
      </c>
      <c r="B129" s="82" t="s">
        <v>41</v>
      </c>
      <c r="C129" s="35">
        <f t="shared" si="15"/>
        <v>0.95924170616113746</v>
      </c>
      <c r="D129" s="35">
        <f t="shared" si="16"/>
        <v>0.96958083832335329</v>
      </c>
      <c r="E129" s="35">
        <f t="shared" si="17"/>
        <v>0.98933649289099523</v>
      </c>
      <c r="F129" s="20">
        <v>4220</v>
      </c>
      <c r="G129" s="20">
        <f t="shared" ref="G129:G136" si="27">F129-H129</f>
        <v>45</v>
      </c>
      <c r="H129" s="20">
        <v>4175</v>
      </c>
      <c r="I129" s="20">
        <v>4048</v>
      </c>
      <c r="J129" s="20">
        <f t="shared" si="26"/>
        <v>127</v>
      </c>
    </row>
    <row r="130" spans="1:10">
      <c r="A130" s="81">
        <v>2003</v>
      </c>
      <c r="B130" s="82" t="s">
        <v>42</v>
      </c>
      <c r="C130" s="35">
        <f t="shared" si="15"/>
        <v>0.95731436193863939</v>
      </c>
      <c r="D130" s="35">
        <f t="shared" si="16"/>
        <v>0.97222849401670808</v>
      </c>
      <c r="E130" s="35">
        <f t="shared" si="17"/>
        <v>0.98465984882169855</v>
      </c>
      <c r="F130" s="20">
        <v>4498</v>
      </c>
      <c r="G130" s="20">
        <f t="shared" si="27"/>
        <v>69</v>
      </c>
      <c r="H130" s="20">
        <v>4429</v>
      </c>
      <c r="I130" s="20">
        <v>4306</v>
      </c>
      <c r="J130" s="20">
        <f t="shared" si="26"/>
        <v>123</v>
      </c>
    </row>
    <row r="131" spans="1:10">
      <c r="A131" s="81">
        <v>2003</v>
      </c>
      <c r="B131" s="82" t="s">
        <v>43</v>
      </c>
      <c r="C131" s="35">
        <f t="shared" si="15"/>
        <v>0.95317959468902869</v>
      </c>
      <c r="D131" s="35">
        <f t="shared" si="16"/>
        <v>0.96327683615819204</v>
      </c>
      <c r="E131" s="35">
        <f t="shared" si="17"/>
        <v>0.98951781970649899</v>
      </c>
      <c r="F131" s="20">
        <v>4293</v>
      </c>
      <c r="G131" s="20">
        <f t="shared" si="27"/>
        <v>45</v>
      </c>
      <c r="H131" s="20">
        <v>4248</v>
      </c>
      <c r="I131" s="20">
        <v>4092</v>
      </c>
      <c r="J131" s="20">
        <f t="shared" si="26"/>
        <v>156</v>
      </c>
    </row>
    <row r="132" spans="1:10">
      <c r="A132" s="81">
        <v>2003</v>
      </c>
      <c r="B132" s="82" t="s">
        <v>44</v>
      </c>
      <c r="C132" s="35">
        <f t="shared" si="15"/>
        <v>0.96508563899868249</v>
      </c>
      <c r="D132" s="35">
        <f t="shared" si="16"/>
        <v>0.97385331265233765</v>
      </c>
      <c r="E132" s="35">
        <f t="shared" si="17"/>
        <v>0.99099692577953447</v>
      </c>
      <c r="F132" s="20">
        <v>4554</v>
      </c>
      <c r="G132" s="20">
        <f t="shared" si="27"/>
        <v>41</v>
      </c>
      <c r="H132" s="20">
        <v>4513</v>
      </c>
      <c r="I132" s="20">
        <v>4395</v>
      </c>
      <c r="J132" s="20">
        <f t="shared" si="26"/>
        <v>118</v>
      </c>
    </row>
    <row r="133" spans="1:10">
      <c r="A133" s="81">
        <v>2003</v>
      </c>
      <c r="B133" s="82" t="s">
        <v>45</v>
      </c>
      <c r="C133" s="35">
        <f t="shared" si="15"/>
        <v>0.98002723558783478</v>
      </c>
      <c r="D133" s="35">
        <f t="shared" si="16"/>
        <v>0.98382319434951016</v>
      </c>
      <c r="E133" s="35">
        <f t="shared" si="17"/>
        <v>0.99614162505674075</v>
      </c>
      <c r="F133" s="20">
        <v>4406</v>
      </c>
      <c r="G133" s="20">
        <f t="shared" si="27"/>
        <v>17</v>
      </c>
      <c r="H133" s="20">
        <v>4389</v>
      </c>
      <c r="I133" s="20">
        <v>4318</v>
      </c>
      <c r="J133" s="20">
        <f t="shared" si="26"/>
        <v>71</v>
      </c>
    </row>
    <row r="134" spans="1:10">
      <c r="A134" s="81">
        <v>2003</v>
      </c>
      <c r="B134" s="82" t="s">
        <v>46</v>
      </c>
      <c r="C134" s="35">
        <f t="shared" ref="C134:C197" si="28">I134/F134</f>
        <v>0.96627958910227785</v>
      </c>
      <c r="D134" s="35">
        <f t="shared" ref="D134:D197" si="29">I134/H134</f>
        <v>0.97564825253664034</v>
      </c>
      <c r="E134" s="35">
        <f t="shared" ref="E134:E197" si="30">H134/F134</f>
        <v>0.99039749888343009</v>
      </c>
      <c r="F134" s="20">
        <v>4478</v>
      </c>
      <c r="G134" s="20">
        <f t="shared" si="27"/>
        <v>43</v>
      </c>
      <c r="H134" s="20">
        <v>4435</v>
      </c>
      <c r="I134" s="20">
        <v>4327</v>
      </c>
      <c r="J134" s="20">
        <f t="shared" si="26"/>
        <v>108</v>
      </c>
    </row>
    <row r="135" spans="1:10">
      <c r="A135" s="81">
        <v>2003</v>
      </c>
      <c r="B135" s="82" t="s">
        <v>47</v>
      </c>
      <c r="C135" s="35">
        <f t="shared" si="28"/>
        <v>0.97870004391743526</v>
      </c>
      <c r="D135" s="35">
        <f t="shared" si="29"/>
        <v>0.98236720299757552</v>
      </c>
      <c r="E135" s="35">
        <f t="shared" si="30"/>
        <v>0.99626701800614847</v>
      </c>
      <c r="F135" s="20">
        <v>4554</v>
      </c>
      <c r="G135" s="20">
        <f t="shared" si="27"/>
        <v>17</v>
      </c>
      <c r="H135" s="20">
        <v>4537</v>
      </c>
      <c r="I135" s="20">
        <v>4457</v>
      </c>
      <c r="J135" s="20">
        <f t="shared" si="26"/>
        <v>80</v>
      </c>
    </row>
    <row r="136" spans="1:10">
      <c r="A136" s="81">
        <v>2003</v>
      </c>
      <c r="B136" s="82" t="s">
        <v>48</v>
      </c>
      <c r="C136" s="35">
        <f t="shared" si="28"/>
        <v>0.9676674364896074</v>
      </c>
      <c r="D136" s="35">
        <f t="shared" si="29"/>
        <v>0.97600745399487543</v>
      </c>
      <c r="E136" s="35">
        <f t="shared" si="30"/>
        <v>0.99145496535796762</v>
      </c>
      <c r="F136" s="20">
        <v>4330</v>
      </c>
      <c r="G136" s="20">
        <f t="shared" si="27"/>
        <v>37</v>
      </c>
      <c r="H136" s="20">
        <v>4293</v>
      </c>
      <c r="I136" s="20">
        <v>4190</v>
      </c>
      <c r="J136" s="20">
        <f t="shared" si="26"/>
        <v>103</v>
      </c>
    </row>
    <row r="137" spans="1:10">
      <c r="A137" s="81">
        <v>2003</v>
      </c>
      <c r="B137" s="82" t="s">
        <v>49</v>
      </c>
      <c r="C137" s="35">
        <f t="shared" si="28"/>
        <v>0.92490472988119254</v>
      </c>
      <c r="D137" s="35">
        <f t="shared" si="29"/>
        <v>0.95420906567992603</v>
      </c>
      <c r="E137" s="35">
        <f t="shared" si="30"/>
        <v>0.96928939699618921</v>
      </c>
      <c r="F137" s="20">
        <v>4461</v>
      </c>
      <c r="G137" s="20">
        <f>+F137-H137</f>
        <v>137</v>
      </c>
      <c r="H137" s="20">
        <v>4324</v>
      </c>
      <c r="I137" s="20">
        <v>4126</v>
      </c>
      <c r="J137" s="20">
        <f t="shared" si="26"/>
        <v>198</v>
      </c>
    </row>
    <row r="138" spans="1:10">
      <c r="A138" s="81">
        <v>2004</v>
      </c>
      <c r="B138" s="82" t="s">
        <v>38</v>
      </c>
      <c r="C138" s="35">
        <f t="shared" si="28"/>
        <v>0.98621609604268567</v>
      </c>
      <c r="D138" s="35">
        <f t="shared" si="29"/>
        <v>0.99106344950848968</v>
      </c>
      <c r="E138" s="35">
        <f t="shared" si="30"/>
        <v>0.99510893730546912</v>
      </c>
      <c r="F138" s="20">
        <v>4498</v>
      </c>
      <c r="G138" s="20">
        <f t="shared" ref="G138:G144" si="31">F138-H138</f>
        <v>22</v>
      </c>
      <c r="H138" s="20">
        <v>4476</v>
      </c>
      <c r="I138" s="20">
        <v>4436</v>
      </c>
      <c r="J138" s="20">
        <f t="shared" ref="J138:J144" si="32">H138-I138</f>
        <v>40</v>
      </c>
    </row>
    <row r="139" spans="1:10">
      <c r="A139" s="81">
        <v>2004</v>
      </c>
      <c r="B139" s="82" t="s">
        <v>39</v>
      </c>
      <c r="C139" s="35">
        <f t="shared" si="28"/>
        <v>0.98648328195399571</v>
      </c>
      <c r="D139" s="35">
        <f t="shared" si="29"/>
        <v>0.98882814357024007</v>
      </c>
      <c r="E139" s="35">
        <f t="shared" si="30"/>
        <v>0.99762864595684131</v>
      </c>
      <c r="F139" s="20">
        <v>4217</v>
      </c>
      <c r="G139" s="20">
        <f t="shared" si="31"/>
        <v>10</v>
      </c>
      <c r="H139" s="20">
        <v>4207</v>
      </c>
      <c r="I139" s="20">
        <v>4160</v>
      </c>
      <c r="J139" s="20">
        <f t="shared" si="32"/>
        <v>47</v>
      </c>
    </row>
    <row r="140" spans="1:10">
      <c r="A140" s="81">
        <v>2004</v>
      </c>
      <c r="B140" s="82" t="s">
        <v>40</v>
      </c>
      <c r="C140" s="35">
        <f t="shared" si="28"/>
        <v>0.96478873239436624</v>
      </c>
      <c r="D140" s="35">
        <f t="shared" si="29"/>
        <v>0.97017167381974245</v>
      </c>
      <c r="E140" s="35">
        <f t="shared" si="30"/>
        <v>0.99445155783183947</v>
      </c>
      <c r="F140" s="20">
        <v>4686</v>
      </c>
      <c r="G140" s="20">
        <f t="shared" si="31"/>
        <v>26</v>
      </c>
      <c r="H140" s="20">
        <v>4660</v>
      </c>
      <c r="I140" s="20">
        <v>4521</v>
      </c>
      <c r="J140" s="20">
        <f t="shared" si="32"/>
        <v>139</v>
      </c>
    </row>
    <row r="141" spans="1:10">
      <c r="A141" s="81">
        <v>2004</v>
      </c>
      <c r="B141" s="82" t="s">
        <v>41</v>
      </c>
      <c r="C141" s="35">
        <f t="shared" si="28"/>
        <v>0.96260808600140224</v>
      </c>
      <c r="D141" s="35">
        <f t="shared" si="29"/>
        <v>0.97008949599623173</v>
      </c>
      <c r="E141" s="35">
        <f t="shared" si="30"/>
        <v>0.99228791773778924</v>
      </c>
      <c r="F141" s="20">
        <v>4279</v>
      </c>
      <c r="G141" s="20">
        <f t="shared" si="31"/>
        <v>33</v>
      </c>
      <c r="H141" s="20">
        <v>4246</v>
      </c>
      <c r="I141" s="20">
        <v>4119</v>
      </c>
      <c r="J141" s="20">
        <f t="shared" si="32"/>
        <v>127</v>
      </c>
    </row>
    <row r="142" spans="1:10">
      <c r="A142" s="81">
        <v>2004</v>
      </c>
      <c r="B142" s="82" t="s">
        <v>42</v>
      </c>
      <c r="C142" s="35">
        <f t="shared" si="28"/>
        <v>0.95581237253568996</v>
      </c>
      <c r="D142" s="35">
        <f t="shared" si="29"/>
        <v>0.95929042528997044</v>
      </c>
      <c r="E142" s="35">
        <f t="shared" si="30"/>
        <v>0.99637434851574891</v>
      </c>
      <c r="F142" s="20">
        <v>4413</v>
      </c>
      <c r="G142" s="20">
        <f t="shared" si="31"/>
        <v>16</v>
      </c>
      <c r="H142" s="20">
        <v>4397</v>
      </c>
      <c r="I142" s="20">
        <v>4218</v>
      </c>
      <c r="J142" s="20">
        <f t="shared" si="32"/>
        <v>179</v>
      </c>
    </row>
    <row r="143" spans="1:10">
      <c r="A143" s="81">
        <v>2004</v>
      </c>
      <c r="B143" s="82" t="s">
        <v>43</v>
      </c>
      <c r="C143" s="35">
        <f t="shared" si="28"/>
        <v>0.93455201986007674</v>
      </c>
      <c r="D143" s="35">
        <f t="shared" si="29"/>
        <v>0.95129795543303464</v>
      </c>
      <c r="E143" s="35">
        <f t="shared" si="30"/>
        <v>0.98239675016926198</v>
      </c>
      <c r="F143" s="20">
        <v>4431</v>
      </c>
      <c r="G143" s="20">
        <f t="shared" si="31"/>
        <v>78</v>
      </c>
      <c r="H143" s="20">
        <v>4353</v>
      </c>
      <c r="I143" s="20">
        <v>4141</v>
      </c>
      <c r="J143" s="20">
        <f t="shared" si="32"/>
        <v>212</v>
      </c>
    </row>
    <row r="144" spans="1:10">
      <c r="A144" s="81">
        <v>2004</v>
      </c>
      <c r="B144" s="82" t="s">
        <v>44</v>
      </c>
      <c r="C144" s="35">
        <f t="shared" si="28"/>
        <v>0.97623762376237622</v>
      </c>
      <c r="D144" s="35">
        <f t="shared" si="29"/>
        <v>0.98011928429423456</v>
      </c>
      <c r="E144" s="35">
        <f t="shared" si="30"/>
        <v>0.99603960396039604</v>
      </c>
      <c r="F144" s="20">
        <v>4545</v>
      </c>
      <c r="G144" s="20">
        <f t="shared" si="31"/>
        <v>18</v>
      </c>
      <c r="H144" s="20">
        <v>4527</v>
      </c>
      <c r="I144" s="20">
        <v>4437</v>
      </c>
      <c r="J144" s="20">
        <f t="shared" si="32"/>
        <v>90</v>
      </c>
    </row>
    <row r="145" spans="1:10">
      <c r="A145" s="81">
        <v>2004</v>
      </c>
      <c r="B145" s="82" t="s">
        <v>45</v>
      </c>
      <c r="C145" s="35">
        <f t="shared" si="28"/>
        <v>0.9755989352262644</v>
      </c>
      <c r="D145" s="35">
        <f t="shared" si="29"/>
        <v>0.9797282245488973</v>
      </c>
      <c r="E145" s="35">
        <f t="shared" si="30"/>
        <v>0.99578527062999111</v>
      </c>
      <c r="F145" s="20">
        <v>4508</v>
      </c>
      <c r="G145" s="20">
        <f>F145-H145</f>
        <v>19</v>
      </c>
      <c r="H145" s="20">
        <v>4489</v>
      </c>
      <c r="I145" s="20">
        <v>4398</v>
      </c>
      <c r="J145" s="20">
        <f>H145-I145</f>
        <v>91</v>
      </c>
    </row>
    <row r="146" spans="1:10">
      <c r="A146" s="81">
        <v>2004</v>
      </c>
      <c r="B146" s="82" t="s">
        <v>46</v>
      </c>
      <c r="C146" s="35">
        <f t="shared" si="28"/>
        <v>0.96266018559434374</v>
      </c>
      <c r="D146" s="35">
        <f t="shared" si="29"/>
        <v>0.97537497201701362</v>
      </c>
      <c r="E146" s="35">
        <f t="shared" si="30"/>
        <v>0.98696420680512598</v>
      </c>
      <c r="F146" s="20">
        <v>4526</v>
      </c>
      <c r="G146" s="20">
        <f>F146-H146</f>
        <v>59</v>
      </c>
      <c r="H146" s="20">
        <v>4467</v>
      </c>
      <c r="I146" s="20">
        <v>4357</v>
      </c>
      <c r="J146" s="20">
        <f>H146-I146</f>
        <v>110</v>
      </c>
    </row>
    <row r="147" spans="1:10">
      <c r="A147" s="81">
        <v>2004</v>
      </c>
      <c r="B147" s="82" t="s">
        <v>47</v>
      </c>
      <c r="C147" s="35">
        <f t="shared" si="28"/>
        <v>0.9645023590204449</v>
      </c>
      <c r="D147" s="35">
        <f t="shared" si="29"/>
        <v>0.97546012269938653</v>
      </c>
      <c r="E147" s="35">
        <f t="shared" si="30"/>
        <v>0.98876656931026741</v>
      </c>
      <c r="F147" s="20">
        <v>4451</v>
      </c>
      <c r="G147" s="20">
        <f>F147-H147</f>
        <v>50</v>
      </c>
      <c r="H147" s="20">
        <v>4401</v>
      </c>
      <c r="I147" s="20">
        <v>4293</v>
      </c>
      <c r="J147" s="20">
        <f>H147-I147</f>
        <v>108</v>
      </c>
    </row>
    <row r="148" spans="1:10">
      <c r="A148" s="81">
        <v>2004</v>
      </c>
      <c r="B148" s="82" t="s">
        <v>48</v>
      </c>
      <c r="C148" s="35">
        <f t="shared" si="28"/>
        <v>0.97503314184710566</v>
      </c>
      <c r="D148" s="35">
        <f t="shared" si="29"/>
        <v>0.98328877005347592</v>
      </c>
      <c r="E148" s="35">
        <f t="shared" si="30"/>
        <v>0.99160406539991164</v>
      </c>
      <c r="F148" s="20">
        <v>4526</v>
      </c>
      <c r="G148" s="20">
        <f>F148-H148</f>
        <v>38</v>
      </c>
      <c r="H148" s="20">
        <v>4488</v>
      </c>
      <c r="I148" s="20">
        <v>4413</v>
      </c>
      <c r="J148" s="20">
        <f>H148-I148</f>
        <v>75</v>
      </c>
    </row>
    <row r="149" spans="1:10">
      <c r="A149" s="81">
        <v>2004</v>
      </c>
      <c r="B149" s="82" t="s">
        <v>49</v>
      </c>
      <c r="C149" s="35">
        <f t="shared" si="28"/>
        <v>0.97458369851007887</v>
      </c>
      <c r="D149" s="35">
        <f t="shared" si="29"/>
        <v>0.99086656270884388</v>
      </c>
      <c r="E149" s="35">
        <f t="shared" si="30"/>
        <v>0.98356704645048199</v>
      </c>
      <c r="F149" s="20">
        <v>4564</v>
      </c>
      <c r="G149" s="20">
        <f>F149-H149</f>
        <v>75</v>
      </c>
      <c r="H149" s="20">
        <v>4489</v>
      </c>
      <c r="I149" s="20">
        <v>4448</v>
      </c>
      <c r="J149" s="20">
        <f>H149-I149</f>
        <v>41</v>
      </c>
    </row>
    <row r="150" spans="1:10">
      <c r="A150" s="81">
        <v>2005</v>
      </c>
      <c r="B150" s="82" t="s">
        <v>38</v>
      </c>
      <c r="C150" s="35">
        <f t="shared" si="28"/>
        <v>0.97360248447204967</v>
      </c>
      <c r="D150" s="35">
        <f t="shared" si="29"/>
        <v>0.98540637629097438</v>
      </c>
      <c r="E150" s="35">
        <f t="shared" si="30"/>
        <v>0.98802129547471162</v>
      </c>
      <c r="F150" s="20">
        <v>4508</v>
      </c>
      <c r="G150" s="20">
        <v>54</v>
      </c>
      <c r="H150" s="20">
        <v>4454</v>
      </c>
      <c r="I150" s="20">
        <v>4389</v>
      </c>
      <c r="J150" s="20">
        <v>119</v>
      </c>
    </row>
    <row r="151" spans="1:10">
      <c r="A151" s="81">
        <v>2005</v>
      </c>
      <c r="B151" s="82" t="s">
        <v>39</v>
      </c>
      <c r="C151" s="35">
        <f t="shared" si="28"/>
        <v>0.95984703632887192</v>
      </c>
      <c r="D151" s="35">
        <f t="shared" si="29"/>
        <v>0.9811873931101881</v>
      </c>
      <c r="E151" s="35">
        <f t="shared" si="30"/>
        <v>0.97825047801147225</v>
      </c>
      <c r="F151" s="20">
        <v>4184</v>
      </c>
      <c r="G151" s="20">
        <v>91</v>
      </c>
      <c r="H151" s="20">
        <v>4093</v>
      </c>
      <c r="I151" s="20">
        <v>4016</v>
      </c>
      <c r="J151" s="20">
        <v>168</v>
      </c>
    </row>
    <row r="152" spans="1:10">
      <c r="A152" s="81">
        <v>2005</v>
      </c>
      <c r="B152" s="82" t="s">
        <v>40</v>
      </c>
      <c r="C152" s="35">
        <f t="shared" si="28"/>
        <v>0.92524989135158631</v>
      </c>
      <c r="D152" s="35">
        <f t="shared" si="29"/>
        <v>0.95793025871766024</v>
      </c>
      <c r="E152" s="35">
        <f t="shared" si="30"/>
        <v>0.96588439808778792</v>
      </c>
      <c r="F152" s="20">
        <v>4602</v>
      </c>
      <c r="G152" s="20">
        <v>157</v>
      </c>
      <c r="H152" s="20">
        <v>4445</v>
      </c>
      <c r="I152" s="20">
        <v>4258</v>
      </c>
      <c r="J152" s="20">
        <v>344</v>
      </c>
    </row>
    <row r="153" spans="1:10">
      <c r="A153" s="81">
        <v>2005</v>
      </c>
      <c r="B153" s="82" t="s">
        <v>41</v>
      </c>
      <c r="C153" s="35">
        <f t="shared" si="28"/>
        <v>0.86007673211464686</v>
      </c>
      <c r="D153" s="35">
        <f t="shared" si="29"/>
        <v>0.89355216881594368</v>
      </c>
      <c r="E153" s="35">
        <f t="shared" si="30"/>
        <v>0.96253667343714733</v>
      </c>
      <c r="F153" s="20">
        <v>4431</v>
      </c>
      <c r="G153" s="20">
        <v>166</v>
      </c>
      <c r="H153" s="20">
        <v>4265</v>
      </c>
      <c r="I153" s="20">
        <v>3811</v>
      </c>
      <c r="J153" s="20">
        <v>620</v>
      </c>
    </row>
    <row r="154" spans="1:10">
      <c r="A154" s="81">
        <v>2005</v>
      </c>
      <c r="B154" s="82" t="s">
        <v>42</v>
      </c>
      <c r="C154" s="35">
        <f t="shared" si="28"/>
        <v>0.89815842023518966</v>
      </c>
      <c r="D154" s="35">
        <f t="shared" si="29"/>
        <v>0.9359537572254335</v>
      </c>
      <c r="E154" s="35">
        <f t="shared" si="30"/>
        <v>0.95961837142223205</v>
      </c>
      <c r="F154" s="20">
        <v>4507</v>
      </c>
      <c r="G154" s="20">
        <v>182</v>
      </c>
      <c r="H154" s="20">
        <v>4325</v>
      </c>
      <c r="I154" s="20">
        <v>4048</v>
      </c>
      <c r="J154" s="20">
        <v>459</v>
      </c>
    </row>
    <row r="155" spans="1:10">
      <c r="A155" s="81">
        <v>2005</v>
      </c>
      <c r="B155" s="82" t="s">
        <v>43</v>
      </c>
      <c r="C155" s="35">
        <f t="shared" si="28"/>
        <v>0.95260663507109</v>
      </c>
      <c r="D155" s="35">
        <f t="shared" si="29"/>
        <v>0.96479999999999999</v>
      </c>
      <c r="E155" s="35">
        <f t="shared" si="30"/>
        <v>0.9873617693522907</v>
      </c>
      <c r="F155" s="20">
        <v>4431</v>
      </c>
      <c r="G155" s="20">
        <v>56</v>
      </c>
      <c r="H155" s="20">
        <v>4375</v>
      </c>
      <c r="I155" s="20">
        <v>4221</v>
      </c>
      <c r="J155" s="20">
        <v>210</v>
      </c>
    </row>
    <row r="156" spans="1:10">
      <c r="A156" s="81">
        <v>2005</v>
      </c>
      <c r="B156" s="82" t="s">
        <v>44</v>
      </c>
      <c r="C156" s="35">
        <f t="shared" si="28"/>
        <v>0.96228926353149957</v>
      </c>
      <c r="D156" s="35">
        <f t="shared" si="29"/>
        <v>0.97879061371841158</v>
      </c>
      <c r="E156" s="35">
        <f t="shared" si="30"/>
        <v>0.98314108251996446</v>
      </c>
      <c r="F156" s="20">
        <v>4508</v>
      </c>
      <c r="G156" s="20">
        <f t="shared" ref="G156:G161" si="33">F156-H156</f>
        <v>76</v>
      </c>
      <c r="H156" s="20">
        <v>4432</v>
      </c>
      <c r="I156" s="20">
        <v>4338</v>
      </c>
      <c r="J156" s="20">
        <f t="shared" ref="J156:J161" si="34">H156-I156</f>
        <v>94</v>
      </c>
    </row>
    <row r="157" spans="1:10">
      <c r="A157" s="81">
        <v>2005</v>
      </c>
      <c r="B157" s="82" t="s">
        <v>45</v>
      </c>
      <c r="C157" s="35">
        <f t="shared" si="28"/>
        <v>0.95588874402433721</v>
      </c>
      <c r="D157" s="35">
        <f t="shared" si="29"/>
        <v>0.98521836506159011</v>
      </c>
      <c r="E157" s="35">
        <f t="shared" si="30"/>
        <v>0.97023033463711428</v>
      </c>
      <c r="F157" s="20">
        <v>4602</v>
      </c>
      <c r="G157" s="20">
        <f t="shared" si="33"/>
        <v>137</v>
      </c>
      <c r="H157" s="20">
        <v>4465</v>
      </c>
      <c r="I157" s="20">
        <v>4399</v>
      </c>
      <c r="J157" s="20">
        <f t="shared" si="34"/>
        <v>66</v>
      </c>
    </row>
    <row r="158" spans="1:10">
      <c r="A158" s="81">
        <v>2005</v>
      </c>
      <c r="B158" s="82" t="s">
        <v>46</v>
      </c>
      <c r="C158" s="35">
        <f t="shared" si="28"/>
        <v>0.88113124171453827</v>
      </c>
      <c r="D158" s="35">
        <f t="shared" si="29"/>
        <v>0.89316909294512881</v>
      </c>
      <c r="E158" s="35">
        <f t="shared" si="30"/>
        <v>0.9865223155103845</v>
      </c>
      <c r="F158" s="20">
        <v>4526</v>
      </c>
      <c r="G158" s="20">
        <f t="shared" si="33"/>
        <v>61</v>
      </c>
      <c r="H158" s="20">
        <v>4465</v>
      </c>
      <c r="I158" s="20">
        <v>3988</v>
      </c>
      <c r="J158" s="20">
        <f t="shared" si="34"/>
        <v>477</v>
      </c>
    </row>
    <row r="159" spans="1:10">
      <c r="A159" s="81">
        <v>2005</v>
      </c>
      <c r="B159" s="82" t="s">
        <v>47</v>
      </c>
      <c r="C159" s="35">
        <f t="shared" si="28"/>
        <v>0.91911929903392497</v>
      </c>
      <c r="D159" s="35">
        <f t="shared" si="29"/>
        <v>0.93423155971683036</v>
      </c>
      <c r="E159" s="35">
        <f t="shared" si="30"/>
        <v>0.98382385980678499</v>
      </c>
      <c r="F159" s="20">
        <v>4451</v>
      </c>
      <c r="G159" s="20">
        <f t="shared" si="33"/>
        <v>72</v>
      </c>
      <c r="H159" s="20">
        <v>4379</v>
      </c>
      <c r="I159" s="20">
        <v>4091</v>
      </c>
      <c r="J159" s="20">
        <f t="shared" si="34"/>
        <v>288</v>
      </c>
    </row>
    <row r="160" spans="1:10">
      <c r="A160" s="81">
        <v>2005</v>
      </c>
      <c r="B160" s="82" t="s">
        <v>48</v>
      </c>
      <c r="C160" s="35">
        <f t="shared" si="28"/>
        <v>0.94675209898364998</v>
      </c>
      <c r="D160" s="35">
        <f t="shared" si="29"/>
        <v>0.95947156291983882</v>
      </c>
      <c r="E160" s="35">
        <f t="shared" si="30"/>
        <v>0.98674326115775524</v>
      </c>
      <c r="F160" s="20">
        <v>4526</v>
      </c>
      <c r="G160" s="20">
        <f t="shared" si="33"/>
        <v>60</v>
      </c>
      <c r="H160" s="20">
        <v>4466</v>
      </c>
      <c r="I160" s="20">
        <v>4285</v>
      </c>
      <c r="J160" s="20">
        <f t="shared" si="34"/>
        <v>181</v>
      </c>
    </row>
    <row r="161" spans="1:10">
      <c r="A161" s="81">
        <v>2005</v>
      </c>
      <c r="B161" s="82" t="s">
        <v>49</v>
      </c>
      <c r="C161" s="35">
        <f t="shared" si="28"/>
        <v>0.94961496149614966</v>
      </c>
      <c r="D161" s="35">
        <f t="shared" si="29"/>
        <v>0.96684587813620071</v>
      </c>
      <c r="E161" s="35">
        <f t="shared" si="30"/>
        <v>0.98217821782178216</v>
      </c>
      <c r="F161" s="20">
        <v>4545</v>
      </c>
      <c r="G161" s="20">
        <f t="shared" si="33"/>
        <v>81</v>
      </c>
      <c r="H161" s="20">
        <v>4464</v>
      </c>
      <c r="I161" s="20">
        <v>4316</v>
      </c>
      <c r="J161" s="20">
        <f t="shared" si="34"/>
        <v>148</v>
      </c>
    </row>
    <row r="162" spans="1:10">
      <c r="A162" s="81">
        <v>2006</v>
      </c>
      <c r="B162" s="82" t="s">
        <v>38</v>
      </c>
      <c r="C162" s="35">
        <f t="shared" si="28"/>
        <v>0.9485118401042798</v>
      </c>
      <c r="D162" s="35">
        <f t="shared" si="29"/>
        <v>0.97455357142857146</v>
      </c>
      <c r="E162" s="35">
        <f t="shared" si="30"/>
        <v>0.97327829676298061</v>
      </c>
      <c r="F162" s="20">
        <v>4603</v>
      </c>
      <c r="G162" s="20">
        <f t="shared" ref="G162:G167" si="35">F162-H162</f>
        <v>123</v>
      </c>
      <c r="H162" s="20">
        <v>4480</v>
      </c>
      <c r="I162" s="20">
        <v>4366</v>
      </c>
      <c r="J162" s="20">
        <f t="shared" ref="J162:J167" si="36">H162-I162</f>
        <v>114</v>
      </c>
    </row>
    <row r="163" spans="1:10">
      <c r="A163" s="81">
        <v>2006</v>
      </c>
      <c r="B163" s="82" t="s">
        <v>39</v>
      </c>
      <c r="C163" s="35">
        <f t="shared" si="28"/>
        <v>0.96132870599900844</v>
      </c>
      <c r="D163" s="35">
        <f t="shared" si="29"/>
        <v>0.9726611487333835</v>
      </c>
      <c r="E163" s="35">
        <f t="shared" si="30"/>
        <v>0.98834903321765</v>
      </c>
      <c r="F163" s="20">
        <v>4034</v>
      </c>
      <c r="G163" s="20">
        <f t="shared" si="35"/>
        <v>47</v>
      </c>
      <c r="H163" s="20">
        <v>3987</v>
      </c>
      <c r="I163" s="20">
        <v>3878</v>
      </c>
      <c r="J163" s="20">
        <f t="shared" si="36"/>
        <v>109</v>
      </c>
    </row>
    <row r="164" spans="1:10">
      <c r="A164" s="81">
        <v>2006</v>
      </c>
      <c r="B164" s="82" t="s">
        <v>40</v>
      </c>
      <c r="C164" s="35">
        <f t="shared" si="28"/>
        <v>0.9235307465395961</v>
      </c>
      <c r="D164" s="35">
        <f t="shared" si="29"/>
        <v>0.9681255946717412</v>
      </c>
      <c r="E164" s="35">
        <f t="shared" si="30"/>
        <v>0.95393691853868845</v>
      </c>
      <c r="F164" s="20">
        <v>4407</v>
      </c>
      <c r="G164" s="20">
        <f t="shared" si="35"/>
        <v>203</v>
      </c>
      <c r="H164" s="20">
        <v>4204</v>
      </c>
      <c r="I164" s="20">
        <v>4070</v>
      </c>
      <c r="J164" s="20">
        <f t="shared" si="36"/>
        <v>134</v>
      </c>
    </row>
    <row r="165" spans="1:10">
      <c r="A165" s="81">
        <v>2006</v>
      </c>
      <c r="B165" s="82" t="s">
        <v>41</v>
      </c>
      <c r="C165" s="35">
        <f t="shared" si="28"/>
        <v>0.96021744502100326</v>
      </c>
      <c r="D165" s="35">
        <f t="shared" si="29"/>
        <v>0.96570576540755471</v>
      </c>
      <c r="E165" s="35">
        <f t="shared" si="30"/>
        <v>0.99431677786014327</v>
      </c>
      <c r="F165" s="20">
        <v>4047</v>
      </c>
      <c r="G165" s="20">
        <f t="shared" si="35"/>
        <v>23</v>
      </c>
      <c r="H165" s="20">
        <v>4024</v>
      </c>
      <c r="I165" s="20">
        <v>3886</v>
      </c>
      <c r="J165" s="20">
        <f t="shared" si="36"/>
        <v>138</v>
      </c>
    </row>
    <row r="166" spans="1:10">
      <c r="A166" s="81">
        <v>2006</v>
      </c>
      <c r="B166" s="82" t="s">
        <v>42</v>
      </c>
      <c r="C166" s="35">
        <f t="shared" si="28"/>
        <v>0.94443158138457972</v>
      </c>
      <c r="D166" s="35">
        <f t="shared" si="29"/>
        <v>0.97257987601335238</v>
      </c>
      <c r="E166" s="35">
        <f t="shared" si="30"/>
        <v>0.97105811530446862</v>
      </c>
      <c r="F166" s="20">
        <v>4319</v>
      </c>
      <c r="G166" s="20">
        <f t="shared" si="35"/>
        <v>125</v>
      </c>
      <c r="H166" s="20">
        <v>4194</v>
      </c>
      <c r="I166" s="20">
        <v>4079</v>
      </c>
      <c r="J166" s="20">
        <f t="shared" si="36"/>
        <v>115</v>
      </c>
    </row>
    <row r="167" spans="1:10">
      <c r="A167" s="81">
        <v>2006</v>
      </c>
      <c r="B167" s="82" t="s">
        <v>43</v>
      </c>
      <c r="C167" s="35">
        <f t="shared" si="28"/>
        <v>0.94106553512494107</v>
      </c>
      <c r="D167" s="35">
        <f t="shared" si="29"/>
        <v>0.96169597687304265</v>
      </c>
      <c r="E167" s="35">
        <f t="shared" si="30"/>
        <v>0.97854785478547857</v>
      </c>
      <c r="F167" s="20">
        <v>4242</v>
      </c>
      <c r="G167" s="20">
        <f t="shared" si="35"/>
        <v>91</v>
      </c>
      <c r="H167" s="20">
        <v>4151</v>
      </c>
      <c r="I167" s="20">
        <v>3992</v>
      </c>
      <c r="J167" s="20">
        <f t="shared" si="36"/>
        <v>159</v>
      </c>
    </row>
    <row r="168" spans="1:10">
      <c r="A168" s="81">
        <v>2006</v>
      </c>
      <c r="B168" s="82" t="s">
        <v>44</v>
      </c>
      <c r="C168" s="35">
        <f t="shared" si="28"/>
        <v>0.94004135079255691</v>
      </c>
      <c r="D168" s="35">
        <f t="shared" si="29"/>
        <v>0.95429104477611937</v>
      </c>
      <c r="E168" s="35">
        <f t="shared" si="30"/>
        <v>0.98506776935446816</v>
      </c>
      <c r="F168" s="20">
        <v>4353</v>
      </c>
      <c r="G168" s="20">
        <f t="shared" ref="G168:G173" si="37">F168-H168</f>
        <v>65</v>
      </c>
      <c r="H168" s="20">
        <v>4288</v>
      </c>
      <c r="I168" s="20">
        <v>4092</v>
      </c>
      <c r="J168" s="20">
        <f t="shared" ref="J168:J173" si="38">H168-I168</f>
        <v>196</v>
      </c>
    </row>
    <row r="169" spans="1:10">
      <c r="A169" s="81">
        <v>2006</v>
      </c>
      <c r="B169" s="82" t="s">
        <v>45</v>
      </c>
      <c r="C169" s="35">
        <f t="shared" si="28"/>
        <v>0.93802497162315546</v>
      </c>
      <c r="D169" s="35">
        <f t="shared" si="29"/>
        <v>0.95339178587909557</v>
      </c>
      <c r="E169" s="35">
        <f t="shared" si="30"/>
        <v>0.98388195232690123</v>
      </c>
      <c r="F169" s="20">
        <v>4405</v>
      </c>
      <c r="G169" s="20">
        <f t="shared" si="37"/>
        <v>71</v>
      </c>
      <c r="H169" s="20">
        <v>4334</v>
      </c>
      <c r="I169" s="20">
        <v>4132</v>
      </c>
      <c r="J169" s="20">
        <f t="shared" si="38"/>
        <v>202</v>
      </c>
    </row>
    <row r="170" spans="1:10">
      <c r="A170" s="81">
        <v>2006</v>
      </c>
      <c r="B170" s="82" t="s">
        <v>46</v>
      </c>
      <c r="C170" s="35">
        <f t="shared" si="28"/>
        <v>0.97146198830409358</v>
      </c>
      <c r="D170" s="35">
        <f t="shared" si="29"/>
        <v>0.98202884842752425</v>
      </c>
      <c r="E170" s="35">
        <f t="shared" si="30"/>
        <v>0.98923976608187136</v>
      </c>
      <c r="F170" s="20">
        <v>4275</v>
      </c>
      <c r="G170" s="20">
        <f t="shared" si="37"/>
        <v>46</v>
      </c>
      <c r="H170" s="20">
        <v>4229</v>
      </c>
      <c r="I170" s="20">
        <v>4153</v>
      </c>
      <c r="J170" s="20">
        <f t="shared" si="38"/>
        <v>76</v>
      </c>
    </row>
    <row r="171" spans="1:10">
      <c r="A171" s="81">
        <v>2006</v>
      </c>
      <c r="B171" s="82" t="s">
        <v>47</v>
      </c>
      <c r="C171" s="35">
        <f t="shared" si="28"/>
        <v>0.98403147419578796</v>
      </c>
      <c r="D171" s="35">
        <f t="shared" si="29"/>
        <v>0.98929734760353649</v>
      </c>
      <c r="E171" s="35">
        <f t="shared" si="30"/>
        <v>0.99467715806526269</v>
      </c>
      <c r="F171" s="20">
        <v>4321</v>
      </c>
      <c r="G171" s="20">
        <f t="shared" si="37"/>
        <v>23</v>
      </c>
      <c r="H171" s="20">
        <v>4298</v>
      </c>
      <c r="I171" s="20">
        <v>4252</v>
      </c>
      <c r="J171" s="20">
        <f t="shared" si="38"/>
        <v>46</v>
      </c>
    </row>
    <row r="172" spans="1:10">
      <c r="A172" s="81">
        <v>2006</v>
      </c>
      <c r="B172" s="82" t="s">
        <v>48</v>
      </c>
      <c r="C172" s="35">
        <f t="shared" si="28"/>
        <v>0.98545034642032336</v>
      </c>
      <c r="D172" s="35">
        <f t="shared" si="29"/>
        <v>0.98864689527340133</v>
      </c>
      <c r="E172" s="35">
        <f t="shared" si="30"/>
        <v>0.99676674364896078</v>
      </c>
      <c r="F172" s="20">
        <v>4330</v>
      </c>
      <c r="G172" s="20">
        <f t="shared" si="37"/>
        <v>14</v>
      </c>
      <c r="H172" s="20">
        <v>4316</v>
      </c>
      <c r="I172" s="20">
        <v>4267</v>
      </c>
      <c r="J172" s="20">
        <f t="shared" si="38"/>
        <v>49</v>
      </c>
    </row>
    <row r="173" spans="1:10">
      <c r="A173" s="81">
        <v>2006</v>
      </c>
      <c r="B173" s="82" t="s">
        <v>49</v>
      </c>
      <c r="C173" s="35">
        <f t="shared" si="28"/>
        <v>0.94351364289133555</v>
      </c>
      <c r="D173" s="35">
        <f t="shared" si="29"/>
        <v>0.97622585438335807</v>
      </c>
      <c r="E173" s="35">
        <f t="shared" si="30"/>
        <v>0.96649114408808046</v>
      </c>
      <c r="F173" s="20">
        <v>4178</v>
      </c>
      <c r="G173" s="20">
        <f t="shared" si="37"/>
        <v>140</v>
      </c>
      <c r="H173" s="20">
        <v>4038</v>
      </c>
      <c r="I173" s="20">
        <v>3942</v>
      </c>
      <c r="J173" s="20">
        <f t="shared" si="38"/>
        <v>96</v>
      </c>
    </row>
    <row r="174" spans="1:10">
      <c r="A174" s="81">
        <v>2007</v>
      </c>
      <c r="B174" s="82" t="s">
        <v>38</v>
      </c>
      <c r="C174" s="35">
        <f t="shared" si="28"/>
        <v>0.97617426820966646</v>
      </c>
      <c r="D174" s="35">
        <f t="shared" si="29"/>
        <v>0.98828394210889037</v>
      </c>
      <c r="E174" s="35">
        <f t="shared" si="30"/>
        <v>0.98774676650782844</v>
      </c>
      <c r="F174" s="20">
        <v>4407</v>
      </c>
      <c r="G174" s="20">
        <f t="shared" ref="G174:G184" si="39">F174-H174</f>
        <v>54</v>
      </c>
      <c r="H174" s="20">
        <v>4353</v>
      </c>
      <c r="I174" s="20">
        <v>4302</v>
      </c>
      <c r="J174" s="20">
        <f t="shared" ref="J174:J185" si="40">H174-I174</f>
        <v>51</v>
      </c>
    </row>
    <row r="175" spans="1:10">
      <c r="A175" s="81">
        <v>2007</v>
      </c>
      <c r="B175" s="82" t="s">
        <v>39</v>
      </c>
      <c r="C175" s="35">
        <f t="shared" si="28"/>
        <v>0.9825174825174825</v>
      </c>
      <c r="D175" s="35">
        <f t="shared" si="29"/>
        <v>0.9869543401906673</v>
      </c>
      <c r="E175" s="35">
        <f t="shared" si="30"/>
        <v>0.99550449550449549</v>
      </c>
      <c r="F175" s="20">
        <v>4004</v>
      </c>
      <c r="G175" s="20">
        <f t="shared" si="39"/>
        <v>18</v>
      </c>
      <c r="H175" s="20">
        <v>3986</v>
      </c>
      <c r="I175" s="20">
        <v>3934</v>
      </c>
      <c r="J175" s="20">
        <f t="shared" si="40"/>
        <v>52</v>
      </c>
    </row>
    <row r="176" spans="1:10">
      <c r="A176" s="81">
        <v>2007</v>
      </c>
      <c r="B176" s="82" t="s">
        <v>40</v>
      </c>
      <c r="C176" s="35">
        <f t="shared" si="28"/>
        <v>0.95097594189741264</v>
      </c>
      <c r="D176" s="35">
        <f t="shared" si="29"/>
        <v>0.96100917431192656</v>
      </c>
      <c r="E176" s="35">
        <f t="shared" si="30"/>
        <v>0.98955969133000454</v>
      </c>
      <c r="F176" s="20">
        <v>4406</v>
      </c>
      <c r="G176" s="20">
        <f t="shared" si="39"/>
        <v>46</v>
      </c>
      <c r="H176" s="20">
        <v>4360</v>
      </c>
      <c r="I176" s="20">
        <v>4190</v>
      </c>
      <c r="J176" s="20">
        <f t="shared" si="40"/>
        <v>170</v>
      </c>
    </row>
    <row r="177" spans="1:10">
      <c r="A177" s="81">
        <v>2007</v>
      </c>
      <c r="B177" s="82" t="s">
        <v>41</v>
      </c>
      <c r="C177" s="35">
        <f t="shared" si="28"/>
        <v>0.92727272727272725</v>
      </c>
      <c r="D177" s="35">
        <f t="shared" si="29"/>
        <v>0.95314900153609827</v>
      </c>
      <c r="E177" s="35">
        <f t="shared" si="30"/>
        <v>0.97285180572851804</v>
      </c>
      <c r="F177" s="20">
        <v>4015</v>
      </c>
      <c r="G177" s="20">
        <f t="shared" si="39"/>
        <v>109</v>
      </c>
      <c r="H177" s="20">
        <v>3906</v>
      </c>
      <c r="I177" s="20">
        <v>3723</v>
      </c>
      <c r="J177" s="20">
        <f t="shared" si="40"/>
        <v>183</v>
      </c>
    </row>
    <row r="178" spans="1:10">
      <c r="A178" s="81">
        <v>2007</v>
      </c>
      <c r="B178" s="82" t="s">
        <v>42</v>
      </c>
      <c r="C178" s="35">
        <f t="shared" si="28"/>
        <v>0.93287037037037035</v>
      </c>
      <c r="D178" s="35">
        <f t="shared" si="29"/>
        <v>0.95679012345679015</v>
      </c>
      <c r="E178" s="35">
        <f t="shared" si="30"/>
        <v>0.97499999999999998</v>
      </c>
      <c r="F178" s="20">
        <v>4320</v>
      </c>
      <c r="G178" s="20">
        <f t="shared" si="39"/>
        <v>108</v>
      </c>
      <c r="H178" s="20">
        <v>4212</v>
      </c>
      <c r="I178" s="20">
        <v>4030</v>
      </c>
      <c r="J178" s="20">
        <f t="shared" si="40"/>
        <v>182</v>
      </c>
    </row>
    <row r="179" spans="1:10">
      <c r="A179" s="81">
        <v>2007</v>
      </c>
      <c r="B179" s="82" t="s">
        <v>43</v>
      </c>
      <c r="C179" s="35">
        <f t="shared" si="28"/>
        <v>0.89995224450811839</v>
      </c>
      <c r="D179" s="35">
        <f t="shared" si="29"/>
        <v>0.92581675264062879</v>
      </c>
      <c r="E179" s="35">
        <f t="shared" si="30"/>
        <v>0.97206303724928367</v>
      </c>
      <c r="F179" s="20">
        <v>4188</v>
      </c>
      <c r="G179" s="20">
        <f t="shared" si="39"/>
        <v>117</v>
      </c>
      <c r="H179" s="20">
        <v>4071</v>
      </c>
      <c r="I179" s="20">
        <v>3769</v>
      </c>
      <c r="J179" s="20">
        <f t="shared" si="40"/>
        <v>302</v>
      </c>
    </row>
    <row r="180" spans="1:10">
      <c r="A180" s="81">
        <v>2007</v>
      </c>
      <c r="B180" s="82" t="s">
        <v>44</v>
      </c>
      <c r="C180" s="35">
        <f t="shared" si="28"/>
        <v>0.95395650161962053</v>
      </c>
      <c r="D180" s="35">
        <f t="shared" si="29"/>
        <v>0.96579995315062073</v>
      </c>
      <c r="E180" s="35">
        <f t="shared" si="30"/>
        <v>0.98773715872281354</v>
      </c>
      <c r="F180" s="20">
        <v>4322</v>
      </c>
      <c r="G180" s="20">
        <f t="shared" si="39"/>
        <v>53</v>
      </c>
      <c r="H180" s="20">
        <v>4269</v>
      </c>
      <c r="I180" s="20">
        <v>4123</v>
      </c>
      <c r="J180" s="20">
        <f t="shared" si="40"/>
        <v>146</v>
      </c>
    </row>
    <row r="181" spans="1:10">
      <c r="A181" s="81">
        <v>2007</v>
      </c>
      <c r="B181" s="82" t="s">
        <v>45</v>
      </c>
      <c r="C181" s="35">
        <f t="shared" si="28"/>
        <v>0.92232361451146228</v>
      </c>
      <c r="D181" s="35">
        <f t="shared" si="29"/>
        <v>0.94893519578658114</v>
      </c>
      <c r="E181" s="35">
        <f t="shared" si="30"/>
        <v>0.97195637658580014</v>
      </c>
      <c r="F181" s="20">
        <v>4493</v>
      </c>
      <c r="G181" s="20">
        <f t="shared" si="39"/>
        <v>126</v>
      </c>
      <c r="H181" s="20">
        <v>4367</v>
      </c>
      <c r="I181" s="20">
        <v>4144</v>
      </c>
      <c r="J181" s="20">
        <f t="shared" si="40"/>
        <v>223</v>
      </c>
    </row>
    <row r="182" spans="1:10">
      <c r="A182" s="81">
        <v>2007</v>
      </c>
      <c r="B182" s="82" t="s">
        <v>46</v>
      </c>
      <c r="C182" s="35">
        <f t="shared" si="28"/>
        <v>0.93745523991406066</v>
      </c>
      <c r="D182" s="35">
        <f t="shared" si="29"/>
        <v>0.94946808510638303</v>
      </c>
      <c r="E182" s="35">
        <f t="shared" si="30"/>
        <v>0.98734781570780616</v>
      </c>
      <c r="F182" s="20">
        <v>4189</v>
      </c>
      <c r="G182" s="20">
        <f t="shared" si="39"/>
        <v>53</v>
      </c>
      <c r="H182" s="20">
        <v>4136</v>
      </c>
      <c r="I182" s="20">
        <v>3927</v>
      </c>
      <c r="J182" s="20">
        <f t="shared" si="40"/>
        <v>209</v>
      </c>
    </row>
    <row r="183" spans="1:10">
      <c r="A183" s="81">
        <v>2007</v>
      </c>
      <c r="B183" s="82" t="s">
        <v>47</v>
      </c>
      <c r="C183" s="35">
        <f t="shared" si="28"/>
        <v>0.9078738370773769</v>
      </c>
      <c r="D183" s="35">
        <f t="shared" si="29"/>
        <v>0.92252709246022602</v>
      </c>
      <c r="E183" s="35">
        <f t="shared" si="30"/>
        <v>0.98411617880644431</v>
      </c>
      <c r="F183" s="20">
        <v>4407</v>
      </c>
      <c r="G183" s="20">
        <f t="shared" si="39"/>
        <v>70</v>
      </c>
      <c r="H183" s="20">
        <v>4337</v>
      </c>
      <c r="I183" s="20">
        <v>4001</v>
      </c>
      <c r="J183" s="20">
        <f t="shared" si="40"/>
        <v>336</v>
      </c>
    </row>
    <row r="184" spans="1:10">
      <c r="A184" s="81">
        <v>2007</v>
      </c>
      <c r="B184" s="82" t="s">
        <v>48</v>
      </c>
      <c r="C184" s="35">
        <f t="shared" si="28"/>
        <v>0.93441108545034646</v>
      </c>
      <c r="D184" s="35">
        <f t="shared" si="29"/>
        <v>0.94576905095839181</v>
      </c>
      <c r="E184" s="35">
        <f t="shared" si="30"/>
        <v>0.98799076212471126</v>
      </c>
      <c r="F184" s="20">
        <v>4330</v>
      </c>
      <c r="G184" s="20">
        <f t="shared" si="39"/>
        <v>52</v>
      </c>
      <c r="H184" s="20">
        <v>4278</v>
      </c>
      <c r="I184" s="20">
        <v>4046</v>
      </c>
      <c r="J184" s="20">
        <f t="shared" si="40"/>
        <v>232</v>
      </c>
    </row>
    <row r="185" spans="1:10">
      <c r="A185" s="81">
        <v>2007</v>
      </c>
      <c r="B185" s="82" t="s">
        <v>49</v>
      </c>
      <c r="C185" s="35">
        <f t="shared" si="28"/>
        <v>0.93389990557129365</v>
      </c>
      <c r="D185" s="35">
        <f t="shared" si="29"/>
        <v>0.96299902629016554</v>
      </c>
      <c r="E185" s="35">
        <f t="shared" si="30"/>
        <v>0.96978281397544852</v>
      </c>
      <c r="F185" s="20">
        <v>4236</v>
      </c>
      <c r="G185" s="20">
        <v>128</v>
      </c>
      <c r="H185" s="20">
        <v>4108</v>
      </c>
      <c r="I185" s="20">
        <v>3956</v>
      </c>
      <c r="J185" s="20">
        <f t="shared" si="40"/>
        <v>152</v>
      </c>
    </row>
    <row r="186" spans="1:10">
      <c r="A186" s="81">
        <v>2008</v>
      </c>
      <c r="B186" s="82" t="s">
        <v>38</v>
      </c>
      <c r="C186" s="35">
        <f t="shared" si="28"/>
        <v>0.37448933272809803</v>
      </c>
      <c r="D186" s="35">
        <f t="shared" si="29"/>
        <v>0.94285714285714284</v>
      </c>
      <c r="E186" s="35">
        <f t="shared" si="30"/>
        <v>0.39718565592374033</v>
      </c>
      <c r="F186" s="20">
        <v>4406</v>
      </c>
      <c r="G186" s="20">
        <f>F186-H186</f>
        <v>2656</v>
      </c>
      <c r="H186" s="20">
        <v>1750</v>
      </c>
      <c r="I186" s="20">
        <v>1650</v>
      </c>
      <c r="J186" s="20">
        <f t="shared" ref="J186:J197" si="41">H186-I186</f>
        <v>100</v>
      </c>
    </row>
    <row r="187" spans="1:10">
      <c r="A187" s="81">
        <v>2008</v>
      </c>
      <c r="B187" s="82" t="s">
        <v>39</v>
      </c>
      <c r="C187" s="35">
        <f t="shared" si="28"/>
        <v>0.97120230381569472</v>
      </c>
      <c r="D187" s="35">
        <f t="shared" si="29"/>
        <v>0.9765926640926641</v>
      </c>
      <c r="E187" s="35">
        <f t="shared" si="30"/>
        <v>0.99448044156467486</v>
      </c>
      <c r="F187" s="20">
        <v>4167</v>
      </c>
      <c r="G187" s="20">
        <f t="shared" ref="G187:G197" si="42">F187-H187</f>
        <v>23</v>
      </c>
      <c r="H187" s="20">
        <v>4144</v>
      </c>
      <c r="I187" s="20">
        <v>4047</v>
      </c>
      <c r="J187" s="20">
        <f t="shared" si="41"/>
        <v>97</v>
      </c>
    </row>
    <row r="188" spans="1:10">
      <c r="A188" s="81">
        <v>2008</v>
      </c>
      <c r="B188" s="82" t="s">
        <v>40</v>
      </c>
      <c r="C188" s="35">
        <f t="shared" si="28"/>
        <v>0.9624242424242424</v>
      </c>
      <c r="D188" s="35">
        <f t="shared" si="29"/>
        <v>0.97327776415788181</v>
      </c>
      <c r="E188" s="35">
        <f t="shared" si="30"/>
        <v>0.98884848484848487</v>
      </c>
      <c r="F188" s="20">
        <v>4125</v>
      </c>
      <c r="G188" s="20">
        <f t="shared" si="42"/>
        <v>46</v>
      </c>
      <c r="H188" s="20">
        <v>4079</v>
      </c>
      <c r="I188" s="20">
        <v>3970</v>
      </c>
      <c r="J188" s="20">
        <f t="shared" si="41"/>
        <v>109</v>
      </c>
    </row>
    <row r="189" spans="1:10">
      <c r="A189" s="81">
        <v>2008</v>
      </c>
      <c r="B189" s="82" t="s">
        <v>41</v>
      </c>
      <c r="C189" s="35">
        <f t="shared" si="28"/>
        <v>0.91588124410933081</v>
      </c>
      <c r="D189" s="35">
        <f t="shared" si="29"/>
        <v>0.9276849642004773</v>
      </c>
      <c r="E189" s="35">
        <f t="shared" si="30"/>
        <v>0.98727615457115925</v>
      </c>
      <c r="F189" s="20">
        <v>4244</v>
      </c>
      <c r="G189" s="20">
        <f t="shared" si="42"/>
        <v>54</v>
      </c>
      <c r="H189" s="20">
        <v>4190</v>
      </c>
      <c r="I189" s="20">
        <v>3887</v>
      </c>
      <c r="J189" s="20">
        <f t="shared" si="41"/>
        <v>303</v>
      </c>
    </row>
    <row r="190" spans="1:10">
      <c r="A190" s="81">
        <v>2008</v>
      </c>
      <c r="B190" s="82" t="s">
        <v>42</v>
      </c>
      <c r="C190" s="35">
        <f t="shared" si="28"/>
        <v>0.93083639705882348</v>
      </c>
      <c r="D190" s="35">
        <f t="shared" si="29"/>
        <v>0.94893417662215973</v>
      </c>
      <c r="E190" s="35">
        <f t="shared" si="30"/>
        <v>0.98092830882352944</v>
      </c>
      <c r="F190" s="20">
        <v>4352</v>
      </c>
      <c r="G190" s="20">
        <f t="shared" si="42"/>
        <v>83</v>
      </c>
      <c r="H190" s="20">
        <v>4269</v>
      </c>
      <c r="I190" s="20">
        <v>4051</v>
      </c>
      <c r="J190" s="20">
        <f t="shared" si="41"/>
        <v>218</v>
      </c>
    </row>
    <row r="191" spans="1:10">
      <c r="A191" s="81">
        <v>2008</v>
      </c>
      <c r="B191" s="82" t="s">
        <v>43</v>
      </c>
      <c r="C191" s="35">
        <f t="shared" si="28"/>
        <v>0.94252044252044254</v>
      </c>
      <c r="D191" s="35">
        <f t="shared" si="29"/>
        <v>0.95912873225648554</v>
      </c>
      <c r="E191" s="35">
        <f t="shared" si="30"/>
        <v>0.98268398268398272</v>
      </c>
      <c r="F191" s="20">
        <v>4158</v>
      </c>
      <c r="G191" s="20">
        <f t="shared" si="42"/>
        <v>72</v>
      </c>
      <c r="H191" s="20">
        <v>4086</v>
      </c>
      <c r="I191" s="20">
        <v>3919</v>
      </c>
      <c r="J191" s="20">
        <f t="shared" si="41"/>
        <v>167</v>
      </c>
    </row>
    <row r="192" spans="1:10">
      <c r="A192" s="81">
        <v>2008</v>
      </c>
      <c r="B192" s="82" t="s">
        <v>44</v>
      </c>
      <c r="C192" s="35">
        <f t="shared" si="28"/>
        <v>0.93816254416961131</v>
      </c>
      <c r="D192" s="35">
        <f t="shared" si="29"/>
        <v>0.94568121104185221</v>
      </c>
      <c r="E192" s="35">
        <f t="shared" si="30"/>
        <v>0.99204946996466437</v>
      </c>
      <c r="F192" s="20">
        <v>4528</v>
      </c>
      <c r="G192" s="20">
        <f t="shared" si="42"/>
        <v>36</v>
      </c>
      <c r="H192" s="20">
        <v>4492</v>
      </c>
      <c r="I192" s="20">
        <v>4248</v>
      </c>
      <c r="J192" s="20">
        <f t="shared" si="41"/>
        <v>244</v>
      </c>
    </row>
    <row r="193" spans="1:10">
      <c r="A193" s="81">
        <v>2008</v>
      </c>
      <c r="B193" s="82" t="s">
        <v>45</v>
      </c>
      <c r="C193" s="35">
        <f t="shared" si="28"/>
        <v>0.96203100426870369</v>
      </c>
      <c r="D193" s="35">
        <f t="shared" si="29"/>
        <v>0.96702800361336949</v>
      </c>
      <c r="E193" s="35">
        <f t="shared" si="30"/>
        <v>0.99483262188272303</v>
      </c>
      <c r="F193" s="20">
        <v>4451</v>
      </c>
      <c r="G193" s="20">
        <f t="shared" si="42"/>
        <v>23</v>
      </c>
      <c r="H193" s="20">
        <v>4428</v>
      </c>
      <c r="I193" s="20">
        <v>4282</v>
      </c>
      <c r="J193" s="20">
        <f t="shared" si="41"/>
        <v>146</v>
      </c>
    </row>
    <row r="194" spans="1:10">
      <c r="A194" s="81">
        <v>2008</v>
      </c>
      <c r="B194" s="82" t="s">
        <v>46</v>
      </c>
      <c r="C194" s="35">
        <f t="shared" si="28"/>
        <v>0.95249668581528946</v>
      </c>
      <c r="D194" s="35">
        <f t="shared" si="29"/>
        <v>0.97247913376945638</v>
      </c>
      <c r="E194" s="35">
        <f t="shared" si="30"/>
        <v>0.97945205479452058</v>
      </c>
      <c r="F194" s="20">
        <v>4526</v>
      </c>
      <c r="G194" s="20">
        <f t="shared" si="42"/>
        <v>93</v>
      </c>
      <c r="H194" s="20">
        <v>4433</v>
      </c>
      <c r="I194" s="20">
        <v>4311</v>
      </c>
      <c r="J194" s="20">
        <f t="shared" si="41"/>
        <v>122</v>
      </c>
    </row>
    <row r="195" spans="1:10">
      <c r="A195" s="81">
        <v>2008</v>
      </c>
      <c r="B195" s="82" t="s">
        <v>47</v>
      </c>
      <c r="C195" s="35">
        <f t="shared" si="28"/>
        <v>0.97109952194697957</v>
      </c>
      <c r="D195" s="35">
        <f t="shared" si="29"/>
        <v>0.97854171228377496</v>
      </c>
      <c r="E195" s="35">
        <f t="shared" si="30"/>
        <v>0.99239461103867888</v>
      </c>
      <c r="F195" s="20">
        <v>4602</v>
      </c>
      <c r="G195" s="20">
        <f t="shared" si="42"/>
        <v>35</v>
      </c>
      <c r="H195" s="20">
        <v>4567</v>
      </c>
      <c r="I195" s="20">
        <v>4469</v>
      </c>
      <c r="J195" s="20">
        <f t="shared" si="41"/>
        <v>98</v>
      </c>
    </row>
    <row r="196" spans="1:10">
      <c r="A196" s="81">
        <v>2008</v>
      </c>
      <c r="B196" s="82" t="s">
        <v>48</v>
      </c>
      <c r="C196" s="35">
        <f t="shared" si="28"/>
        <v>0.95977142857142861</v>
      </c>
      <c r="D196" s="35">
        <f t="shared" si="29"/>
        <v>0.98084559682317218</v>
      </c>
      <c r="E196" s="35">
        <f t="shared" si="30"/>
        <v>0.97851428571428567</v>
      </c>
      <c r="F196" s="20">
        <v>4375</v>
      </c>
      <c r="G196" s="20">
        <f t="shared" si="42"/>
        <v>94</v>
      </c>
      <c r="H196" s="20">
        <v>4281</v>
      </c>
      <c r="I196" s="20">
        <v>4199</v>
      </c>
      <c r="J196" s="20">
        <f t="shared" si="41"/>
        <v>82</v>
      </c>
    </row>
    <row r="197" spans="1:10">
      <c r="A197" s="81">
        <v>2008</v>
      </c>
      <c r="B197" s="82" t="s">
        <v>49</v>
      </c>
      <c r="C197" s="35">
        <f t="shared" si="28"/>
        <v>0.96516853932584268</v>
      </c>
      <c r="D197" s="35">
        <f t="shared" si="29"/>
        <v>0.98059360730593603</v>
      </c>
      <c r="E197" s="35">
        <f t="shared" si="30"/>
        <v>0.98426966292134832</v>
      </c>
      <c r="F197" s="20">
        <v>4450</v>
      </c>
      <c r="G197" s="20">
        <f t="shared" si="42"/>
        <v>70</v>
      </c>
      <c r="H197" s="20">
        <v>4380</v>
      </c>
      <c r="I197" s="20">
        <v>4295</v>
      </c>
      <c r="J197" s="20">
        <f t="shared" si="41"/>
        <v>85</v>
      </c>
    </row>
    <row r="198" spans="1:10">
      <c r="A198" s="81">
        <v>2009</v>
      </c>
      <c r="B198" s="82" t="s">
        <v>38</v>
      </c>
      <c r="C198" s="35">
        <f t="shared" ref="C198:C261" si="43">I198/F198</f>
        <v>0.9866310160427807</v>
      </c>
      <c r="D198" s="35">
        <f t="shared" ref="D198:D261" si="44">I198/H198</f>
        <v>0.98883430102724434</v>
      </c>
      <c r="E198" s="35">
        <f t="shared" ref="E198:E261" si="45">H198/F198</f>
        <v>0.99777183600713015</v>
      </c>
      <c r="F198" s="20">
        <v>4488</v>
      </c>
      <c r="G198" s="20">
        <f>F198-H198</f>
        <v>10</v>
      </c>
      <c r="H198" s="20">
        <v>4478</v>
      </c>
      <c r="I198" s="20">
        <v>4428</v>
      </c>
      <c r="J198" s="20">
        <f t="shared" ref="J198:J209" si="46">H198-I198</f>
        <v>50</v>
      </c>
    </row>
    <row r="199" spans="1:10">
      <c r="A199" s="81">
        <v>2009</v>
      </c>
      <c r="B199" s="82" t="s">
        <v>39</v>
      </c>
      <c r="C199" s="35">
        <f t="shared" si="43"/>
        <v>0.96797323135755253</v>
      </c>
      <c r="D199" s="35">
        <f t="shared" si="44"/>
        <v>0.97519865157717311</v>
      </c>
      <c r="E199" s="35">
        <f t="shared" si="45"/>
        <v>0.99259082217973227</v>
      </c>
      <c r="F199" s="20">
        <v>4184</v>
      </c>
      <c r="G199" s="20">
        <f t="shared" ref="G199:G209" si="47">F199-H199</f>
        <v>31</v>
      </c>
      <c r="H199" s="20">
        <v>4153</v>
      </c>
      <c r="I199" s="20">
        <v>4050</v>
      </c>
      <c r="J199" s="20">
        <f t="shared" si="46"/>
        <v>103</v>
      </c>
    </row>
    <row r="200" spans="1:10">
      <c r="A200" s="81">
        <v>2009</v>
      </c>
      <c r="B200" s="82" t="s">
        <v>40</v>
      </c>
      <c r="C200" s="35">
        <f t="shared" si="43"/>
        <v>0.94099378881987583</v>
      </c>
      <c r="D200" s="35">
        <f t="shared" si="44"/>
        <v>0.96168669236000903</v>
      </c>
      <c r="E200" s="35">
        <f t="shared" si="45"/>
        <v>0.97848269742679683</v>
      </c>
      <c r="F200" s="20">
        <v>4508</v>
      </c>
      <c r="G200" s="20">
        <f t="shared" si="47"/>
        <v>97</v>
      </c>
      <c r="H200" s="20">
        <v>4411</v>
      </c>
      <c r="I200" s="20">
        <v>4242</v>
      </c>
      <c r="J200" s="20">
        <f t="shared" si="46"/>
        <v>169</v>
      </c>
    </row>
    <row r="201" spans="1:10">
      <c r="A201" s="81">
        <v>2009</v>
      </c>
      <c r="B201" s="82" t="s">
        <v>41</v>
      </c>
      <c r="C201" s="35">
        <f t="shared" si="43"/>
        <v>0.95272140221402213</v>
      </c>
      <c r="D201" s="35">
        <f t="shared" si="44"/>
        <v>0.97199999999999998</v>
      </c>
      <c r="E201" s="35">
        <f t="shared" si="45"/>
        <v>0.98016605166051662</v>
      </c>
      <c r="F201" s="20">
        <v>4336</v>
      </c>
      <c r="G201" s="20">
        <f t="shared" si="47"/>
        <v>86</v>
      </c>
      <c r="H201" s="20">
        <v>4250</v>
      </c>
      <c r="I201" s="20">
        <v>4131</v>
      </c>
      <c r="J201" s="20">
        <f t="shared" si="46"/>
        <v>119</v>
      </c>
    </row>
    <row r="202" spans="1:10">
      <c r="A202" s="81">
        <v>2009</v>
      </c>
      <c r="B202" s="82" t="s">
        <v>42</v>
      </c>
      <c r="C202" s="35">
        <f t="shared" si="43"/>
        <v>0.96602387511478416</v>
      </c>
      <c r="D202" s="35">
        <f t="shared" si="44"/>
        <v>0.97588126159554733</v>
      </c>
      <c r="E202" s="35">
        <f t="shared" si="45"/>
        <v>0.98989898989898994</v>
      </c>
      <c r="F202" s="20">
        <v>4356</v>
      </c>
      <c r="G202" s="20">
        <f t="shared" si="47"/>
        <v>44</v>
      </c>
      <c r="H202" s="20">
        <v>4312</v>
      </c>
      <c r="I202" s="20">
        <v>4208</v>
      </c>
      <c r="J202" s="20">
        <f t="shared" si="46"/>
        <v>104</v>
      </c>
    </row>
    <row r="203" spans="1:10">
      <c r="A203" s="81">
        <v>2009</v>
      </c>
      <c r="B203" s="82" t="s">
        <v>43</v>
      </c>
      <c r="C203" s="35">
        <f t="shared" si="43"/>
        <v>0.98262243285939965</v>
      </c>
      <c r="D203" s="35">
        <f t="shared" si="44"/>
        <v>0.98864668483197093</v>
      </c>
      <c r="E203" s="35">
        <f t="shared" si="45"/>
        <v>0.99390656736628302</v>
      </c>
      <c r="F203" s="20">
        <v>4431</v>
      </c>
      <c r="G203" s="20">
        <f t="shared" si="47"/>
        <v>27</v>
      </c>
      <c r="H203" s="20">
        <v>4404</v>
      </c>
      <c r="I203" s="20">
        <v>4354</v>
      </c>
      <c r="J203" s="20">
        <f t="shared" si="46"/>
        <v>50</v>
      </c>
    </row>
    <row r="204" spans="1:10">
      <c r="A204" s="81">
        <v>2009</v>
      </c>
      <c r="B204" s="82" t="s">
        <v>44</v>
      </c>
      <c r="C204" s="35">
        <f t="shared" si="43"/>
        <v>0.98129353233830841</v>
      </c>
      <c r="D204" s="35">
        <f t="shared" si="44"/>
        <v>0.9848212502496505</v>
      </c>
      <c r="E204" s="35">
        <f t="shared" si="45"/>
        <v>0.99641791044776118</v>
      </c>
      <c r="F204" s="20">
        <v>5025</v>
      </c>
      <c r="G204" s="20">
        <f t="shared" si="47"/>
        <v>18</v>
      </c>
      <c r="H204" s="20">
        <v>5007</v>
      </c>
      <c r="I204" s="20">
        <v>4931</v>
      </c>
      <c r="J204" s="20">
        <f t="shared" si="46"/>
        <v>76</v>
      </c>
    </row>
    <row r="205" spans="1:10">
      <c r="A205" s="81">
        <v>2009</v>
      </c>
      <c r="B205" s="82" t="s">
        <v>45</v>
      </c>
      <c r="C205" s="35">
        <f t="shared" si="43"/>
        <v>0.95592065718292929</v>
      </c>
      <c r="D205" s="35">
        <f t="shared" si="44"/>
        <v>0.97387221882016739</v>
      </c>
      <c r="E205" s="35">
        <f t="shared" si="45"/>
        <v>0.98156682027649766</v>
      </c>
      <c r="F205" s="20">
        <v>4991</v>
      </c>
      <c r="G205" s="20">
        <f t="shared" si="47"/>
        <v>92</v>
      </c>
      <c r="H205" s="20">
        <v>4899</v>
      </c>
      <c r="I205" s="20">
        <v>4771</v>
      </c>
      <c r="J205" s="20">
        <f t="shared" si="46"/>
        <v>128</v>
      </c>
    </row>
    <row r="206" spans="1:10">
      <c r="A206" s="81">
        <v>2009</v>
      </c>
      <c r="B206" s="82" t="s">
        <v>46</v>
      </c>
      <c r="C206" s="35">
        <f t="shared" si="43"/>
        <v>0.9833398667189337</v>
      </c>
      <c r="D206" s="35">
        <f t="shared" si="44"/>
        <v>0.98469087340529926</v>
      </c>
      <c r="E206" s="35">
        <f t="shared" si="45"/>
        <v>0.99862798902391214</v>
      </c>
      <c r="F206" s="20">
        <v>5102</v>
      </c>
      <c r="G206" s="20">
        <f t="shared" si="47"/>
        <v>7</v>
      </c>
      <c r="H206" s="20">
        <v>5095</v>
      </c>
      <c r="I206" s="20">
        <v>5017</v>
      </c>
      <c r="J206" s="20">
        <f t="shared" si="46"/>
        <v>78</v>
      </c>
    </row>
    <row r="207" spans="1:10">
      <c r="A207" s="81">
        <v>2009</v>
      </c>
      <c r="B207" s="82" t="s">
        <v>47</v>
      </c>
      <c r="C207" s="35">
        <f t="shared" si="43"/>
        <v>0.96633392053239386</v>
      </c>
      <c r="D207" s="35">
        <f t="shared" si="44"/>
        <v>0.96822906452245538</v>
      </c>
      <c r="E207" s="35">
        <f t="shared" si="45"/>
        <v>0.99804266979839495</v>
      </c>
      <c r="F207" s="20">
        <v>5109</v>
      </c>
      <c r="G207" s="20">
        <f t="shared" si="47"/>
        <v>10</v>
      </c>
      <c r="H207" s="20">
        <v>5099</v>
      </c>
      <c r="I207" s="20">
        <v>4937</v>
      </c>
      <c r="J207" s="20">
        <f t="shared" si="46"/>
        <v>162</v>
      </c>
    </row>
    <row r="208" spans="1:10">
      <c r="A208" s="81">
        <v>2009</v>
      </c>
      <c r="B208" s="82" t="s">
        <v>48</v>
      </c>
      <c r="C208" s="35">
        <f t="shared" si="43"/>
        <v>0.961677367576244</v>
      </c>
      <c r="D208" s="35">
        <f t="shared" si="44"/>
        <v>0.97083248936601174</v>
      </c>
      <c r="E208" s="35">
        <f t="shared" si="45"/>
        <v>0.990569823434992</v>
      </c>
      <c r="F208" s="20">
        <v>4984</v>
      </c>
      <c r="G208" s="20">
        <f t="shared" si="47"/>
        <v>47</v>
      </c>
      <c r="H208" s="20">
        <v>4937</v>
      </c>
      <c r="I208" s="20">
        <v>4793</v>
      </c>
      <c r="J208" s="20">
        <f t="shared" si="46"/>
        <v>144</v>
      </c>
    </row>
    <row r="209" spans="1:10">
      <c r="A209" s="81">
        <v>2009</v>
      </c>
      <c r="B209" s="82" t="s">
        <v>49</v>
      </c>
      <c r="C209" s="35">
        <f t="shared" si="43"/>
        <v>0.97416896040652123</v>
      </c>
      <c r="D209" s="35">
        <f t="shared" si="44"/>
        <v>0.98501391564975382</v>
      </c>
      <c r="E209" s="35">
        <f t="shared" si="45"/>
        <v>0.98899004869786156</v>
      </c>
      <c r="F209" s="20">
        <v>4723</v>
      </c>
      <c r="G209" s="20">
        <f t="shared" si="47"/>
        <v>52</v>
      </c>
      <c r="H209" s="20">
        <v>4671</v>
      </c>
      <c r="I209" s="20">
        <v>4601</v>
      </c>
      <c r="J209" s="20">
        <f t="shared" si="46"/>
        <v>70</v>
      </c>
    </row>
    <row r="210" spans="1:10">
      <c r="A210" s="81">
        <v>2010</v>
      </c>
      <c r="B210" s="82" t="s">
        <v>38</v>
      </c>
      <c r="C210" s="35">
        <f t="shared" si="43"/>
        <v>0.98090316782745446</v>
      </c>
      <c r="D210" s="35">
        <f t="shared" si="44"/>
        <v>0.98488608166027525</v>
      </c>
      <c r="E210" s="35">
        <f t="shared" si="45"/>
        <v>0.99595596495169625</v>
      </c>
      <c r="F210" s="20">
        <v>4451</v>
      </c>
      <c r="G210" s="20">
        <f t="shared" ref="G210:G220" si="48">F210-H210</f>
        <v>18</v>
      </c>
      <c r="H210" s="20">
        <v>4433</v>
      </c>
      <c r="I210" s="20">
        <v>4366</v>
      </c>
      <c r="J210" s="20">
        <f t="shared" ref="J210:J221" si="49">H210-I210</f>
        <v>67</v>
      </c>
    </row>
    <row r="211" spans="1:10">
      <c r="A211" s="81">
        <v>2010</v>
      </c>
      <c r="B211" s="82" t="s">
        <v>39</v>
      </c>
      <c r="C211" s="35">
        <f t="shared" si="43"/>
        <v>0.96088129496402874</v>
      </c>
      <c r="D211" s="35">
        <f t="shared" si="44"/>
        <v>0.97357630979498866</v>
      </c>
      <c r="E211" s="35">
        <f t="shared" si="45"/>
        <v>0.98696043165467628</v>
      </c>
      <c r="F211" s="20">
        <v>4448</v>
      </c>
      <c r="G211" s="20">
        <f t="shared" si="48"/>
        <v>58</v>
      </c>
      <c r="H211" s="20">
        <v>4390</v>
      </c>
      <c r="I211" s="20">
        <v>4274</v>
      </c>
      <c r="J211" s="20">
        <f t="shared" si="49"/>
        <v>116</v>
      </c>
    </row>
    <row r="212" spans="1:10">
      <c r="A212" s="81">
        <v>2010</v>
      </c>
      <c r="B212" s="82" t="s">
        <v>40</v>
      </c>
      <c r="C212" s="35">
        <f t="shared" si="43"/>
        <v>0.98010814986481265</v>
      </c>
      <c r="D212" s="35">
        <f t="shared" si="44"/>
        <v>0.9840992825286019</v>
      </c>
      <c r="E212" s="35">
        <f t="shared" si="45"/>
        <v>0.9959443800695249</v>
      </c>
      <c r="F212" s="20">
        <v>5178</v>
      </c>
      <c r="G212" s="20">
        <f t="shared" si="48"/>
        <v>21</v>
      </c>
      <c r="H212" s="20">
        <v>5157</v>
      </c>
      <c r="I212" s="20">
        <v>5075</v>
      </c>
      <c r="J212" s="20">
        <f t="shared" si="49"/>
        <v>82</v>
      </c>
    </row>
    <row r="213" spans="1:10">
      <c r="A213" s="81">
        <v>2010</v>
      </c>
      <c r="B213" s="82" t="s">
        <v>41</v>
      </c>
      <c r="C213" s="35">
        <f t="shared" si="43"/>
        <v>0.97822547822547823</v>
      </c>
      <c r="D213" s="35">
        <f t="shared" si="44"/>
        <v>0.98302658486707561</v>
      </c>
      <c r="E213" s="35">
        <f t="shared" si="45"/>
        <v>0.99511599511599513</v>
      </c>
      <c r="F213" s="20">
        <v>4914</v>
      </c>
      <c r="G213" s="20">
        <f t="shared" si="48"/>
        <v>24</v>
      </c>
      <c r="H213" s="20">
        <v>4890</v>
      </c>
      <c r="I213" s="20">
        <v>4807</v>
      </c>
      <c r="J213" s="20">
        <f t="shared" si="49"/>
        <v>83</v>
      </c>
    </row>
    <row r="214" spans="1:10">
      <c r="A214" s="81">
        <v>2010</v>
      </c>
      <c r="B214" s="82" t="s">
        <v>42</v>
      </c>
      <c r="C214" s="35">
        <f t="shared" si="43"/>
        <v>0.96951472418083784</v>
      </c>
      <c r="D214" s="35">
        <f t="shared" si="44"/>
        <v>0.97660330060580736</v>
      </c>
      <c r="E214" s="35">
        <f t="shared" si="45"/>
        <v>0.99274160099543762</v>
      </c>
      <c r="F214" s="20">
        <v>4822</v>
      </c>
      <c r="G214" s="20">
        <f t="shared" si="48"/>
        <v>35</v>
      </c>
      <c r="H214" s="20">
        <v>4787</v>
      </c>
      <c r="I214" s="20">
        <v>4675</v>
      </c>
      <c r="J214" s="20">
        <f t="shared" si="49"/>
        <v>112</v>
      </c>
    </row>
    <row r="215" spans="1:10">
      <c r="A215" s="81">
        <v>2010</v>
      </c>
      <c r="B215" s="82" t="s">
        <v>43</v>
      </c>
      <c r="C215" s="35">
        <f t="shared" si="43"/>
        <v>0.97993176801123816</v>
      </c>
      <c r="D215" s="35">
        <f t="shared" si="44"/>
        <v>0.98328634716069274</v>
      </c>
      <c r="E215" s="35">
        <f t="shared" si="45"/>
        <v>0.99658840056191045</v>
      </c>
      <c r="F215" s="20">
        <v>4983</v>
      </c>
      <c r="G215" s="20">
        <f t="shared" si="48"/>
        <v>17</v>
      </c>
      <c r="H215" s="20">
        <v>4966</v>
      </c>
      <c r="I215" s="20">
        <v>4883</v>
      </c>
      <c r="J215" s="20">
        <f t="shared" si="49"/>
        <v>83</v>
      </c>
    </row>
    <row r="216" spans="1:10">
      <c r="A216" s="81">
        <v>2010</v>
      </c>
      <c r="B216" s="82" t="s">
        <v>44</v>
      </c>
      <c r="C216" s="35">
        <f t="shared" si="43"/>
        <v>0.97201017811704837</v>
      </c>
      <c r="D216" s="35">
        <f t="shared" si="44"/>
        <v>0.98317164917838051</v>
      </c>
      <c r="E216" s="35">
        <f t="shared" si="45"/>
        <v>0.98864748483069098</v>
      </c>
      <c r="F216" s="20">
        <v>5109</v>
      </c>
      <c r="G216" s="20">
        <f t="shared" si="48"/>
        <v>58</v>
      </c>
      <c r="H216" s="20">
        <v>5051</v>
      </c>
      <c r="I216" s="20">
        <v>4966</v>
      </c>
      <c r="J216" s="20">
        <f t="shared" si="49"/>
        <v>85</v>
      </c>
    </row>
    <row r="217" spans="1:10">
      <c r="A217" s="81">
        <v>2010</v>
      </c>
      <c r="B217" s="82" t="s">
        <v>45</v>
      </c>
      <c r="C217" s="35">
        <f t="shared" si="43"/>
        <v>0.97885375494071147</v>
      </c>
      <c r="D217" s="35">
        <f t="shared" si="44"/>
        <v>0.98293312165112123</v>
      </c>
      <c r="E217" s="35">
        <f t="shared" si="45"/>
        <v>0.99584980237154153</v>
      </c>
      <c r="F217" s="20">
        <v>5060</v>
      </c>
      <c r="G217" s="20">
        <f t="shared" si="48"/>
        <v>21</v>
      </c>
      <c r="H217" s="20">
        <v>5039</v>
      </c>
      <c r="I217" s="20">
        <v>4953</v>
      </c>
      <c r="J217" s="20">
        <f t="shared" si="49"/>
        <v>86</v>
      </c>
    </row>
    <row r="218" spans="1:10">
      <c r="A218" s="81">
        <v>2010</v>
      </c>
      <c r="B218" s="82" t="s">
        <v>46</v>
      </c>
      <c r="C218" s="35">
        <f t="shared" si="43"/>
        <v>0.97255978047824387</v>
      </c>
      <c r="D218" s="35">
        <f t="shared" si="44"/>
        <v>0.97927767910005925</v>
      </c>
      <c r="E218" s="35">
        <f t="shared" si="45"/>
        <v>0.99313994511956094</v>
      </c>
      <c r="F218" s="20">
        <v>5102</v>
      </c>
      <c r="G218" s="20">
        <f t="shared" si="48"/>
        <v>35</v>
      </c>
      <c r="H218" s="20">
        <v>5067</v>
      </c>
      <c r="I218" s="20">
        <v>4962</v>
      </c>
      <c r="J218" s="20">
        <f t="shared" si="49"/>
        <v>105</v>
      </c>
    </row>
    <row r="219" spans="1:10">
      <c r="A219" s="81">
        <v>2010</v>
      </c>
      <c r="B219" s="82" t="s">
        <v>47</v>
      </c>
      <c r="C219" s="35">
        <f t="shared" si="43"/>
        <v>0.98624794745484401</v>
      </c>
      <c r="D219" s="35">
        <f t="shared" si="44"/>
        <v>0.99174406604747167</v>
      </c>
      <c r="E219" s="35">
        <f t="shared" si="45"/>
        <v>0.99445812807881773</v>
      </c>
      <c r="F219" s="20">
        <v>4872</v>
      </c>
      <c r="G219" s="20">
        <f t="shared" si="48"/>
        <v>27</v>
      </c>
      <c r="H219" s="20">
        <v>4845</v>
      </c>
      <c r="I219" s="20">
        <v>4805</v>
      </c>
      <c r="J219" s="20">
        <f t="shared" si="49"/>
        <v>40</v>
      </c>
    </row>
    <row r="220" spans="1:10">
      <c r="A220" s="81">
        <v>2010</v>
      </c>
      <c r="B220" s="82" t="s">
        <v>48</v>
      </c>
      <c r="C220" s="35">
        <f t="shared" si="43"/>
        <v>0.95986353602247643</v>
      </c>
      <c r="D220" s="35">
        <f t="shared" si="44"/>
        <v>0.97116751269035528</v>
      </c>
      <c r="E220" s="35">
        <f t="shared" si="45"/>
        <v>0.98836042544651814</v>
      </c>
      <c r="F220" s="20">
        <v>4983</v>
      </c>
      <c r="G220" s="20">
        <f t="shared" si="48"/>
        <v>58</v>
      </c>
      <c r="H220" s="20">
        <v>4925</v>
      </c>
      <c r="I220" s="20">
        <v>4783</v>
      </c>
      <c r="J220" s="20">
        <f t="shared" si="49"/>
        <v>142</v>
      </c>
    </row>
    <row r="221" spans="1:10">
      <c r="A221" s="81">
        <v>2010</v>
      </c>
      <c r="B221" s="82" t="s">
        <v>49</v>
      </c>
      <c r="C221" s="35">
        <f t="shared" si="43"/>
        <v>0.93271656854499585</v>
      </c>
      <c r="D221" s="35">
        <f t="shared" si="44"/>
        <v>0.97387486278814495</v>
      </c>
      <c r="E221" s="35">
        <f t="shared" si="45"/>
        <v>0.95773759461732544</v>
      </c>
      <c r="F221" s="20">
        <v>4756</v>
      </c>
      <c r="G221" s="20">
        <f>F221-H221</f>
        <v>201</v>
      </c>
      <c r="H221" s="20">
        <v>4555</v>
      </c>
      <c r="I221" s="20">
        <v>4436</v>
      </c>
      <c r="J221" s="20">
        <f t="shared" si="49"/>
        <v>119</v>
      </c>
    </row>
    <row r="222" spans="1:10" s="34" customFormat="1" ht="12.95" customHeight="1">
      <c r="A222" s="81">
        <v>2011</v>
      </c>
      <c r="B222" s="82" t="s">
        <v>38</v>
      </c>
      <c r="C222" s="25">
        <f t="shared" si="43"/>
        <v>0.95141969831410822</v>
      </c>
      <c r="D222" s="25">
        <f t="shared" si="44"/>
        <v>0.96860885275519426</v>
      </c>
      <c r="E222" s="25">
        <f t="shared" si="45"/>
        <v>0.98225377107364686</v>
      </c>
      <c r="F222" s="27">
        <v>4508</v>
      </c>
      <c r="G222" s="27">
        <f>F222-H222</f>
        <v>80</v>
      </c>
      <c r="H222" s="27">
        <v>4428</v>
      </c>
      <c r="I222" s="27">
        <v>4289</v>
      </c>
      <c r="J222" s="27">
        <f t="shared" ref="J222:J233" si="50">H222-I222</f>
        <v>139</v>
      </c>
    </row>
    <row r="223" spans="1:10" s="34" customFormat="1" ht="12.95" customHeight="1">
      <c r="A223" s="81">
        <v>2011</v>
      </c>
      <c r="B223" s="82" t="s">
        <v>39</v>
      </c>
      <c r="C223" s="25">
        <f t="shared" si="43"/>
        <v>0.9523703041144902</v>
      </c>
      <c r="D223" s="25">
        <f t="shared" si="44"/>
        <v>0.98156257202120301</v>
      </c>
      <c r="E223" s="25">
        <f t="shared" si="45"/>
        <v>0.97025939177101972</v>
      </c>
      <c r="F223" s="27">
        <v>4472</v>
      </c>
      <c r="G223" s="27">
        <f t="shared" ref="G223:G233" si="51">F223-H223</f>
        <v>133</v>
      </c>
      <c r="H223" s="27">
        <v>4339</v>
      </c>
      <c r="I223" s="27">
        <v>4259</v>
      </c>
      <c r="J223" s="27">
        <f t="shared" si="50"/>
        <v>80</v>
      </c>
    </row>
    <row r="224" spans="1:10" s="34" customFormat="1" ht="12.95" customHeight="1">
      <c r="A224" s="81">
        <v>2011</v>
      </c>
      <c r="B224" s="82" t="s">
        <v>40</v>
      </c>
      <c r="C224" s="25">
        <f t="shared" si="43"/>
        <v>0.97510889856876171</v>
      </c>
      <c r="D224" s="25">
        <f t="shared" si="44"/>
        <v>0.97794882463074684</v>
      </c>
      <c r="E224" s="25">
        <f t="shared" si="45"/>
        <v>0.9970960381663555</v>
      </c>
      <c r="F224" s="27">
        <v>4821</v>
      </c>
      <c r="G224" s="27">
        <f t="shared" si="51"/>
        <v>14</v>
      </c>
      <c r="H224" s="27">
        <v>4807</v>
      </c>
      <c r="I224" s="27">
        <v>4701</v>
      </c>
      <c r="J224" s="27">
        <f t="shared" si="50"/>
        <v>106</v>
      </c>
    </row>
    <row r="225" spans="1:10" s="34" customFormat="1" ht="12.95" customHeight="1">
      <c r="A225" s="81">
        <v>2011</v>
      </c>
      <c r="B225" s="82" t="s">
        <v>41</v>
      </c>
      <c r="C225" s="25">
        <f t="shared" si="43"/>
        <v>0.92596454640250259</v>
      </c>
      <c r="D225" s="25">
        <f t="shared" si="44"/>
        <v>0.93631379164909323</v>
      </c>
      <c r="E225" s="25">
        <f t="shared" si="45"/>
        <v>0.98894681960375386</v>
      </c>
      <c r="F225" s="27">
        <v>4795</v>
      </c>
      <c r="G225" s="27">
        <f t="shared" si="51"/>
        <v>53</v>
      </c>
      <c r="H225" s="27">
        <v>4742</v>
      </c>
      <c r="I225" s="27">
        <v>4440</v>
      </c>
      <c r="J225" s="27">
        <f t="shared" si="50"/>
        <v>302</v>
      </c>
    </row>
    <row r="226" spans="1:10" s="34" customFormat="1" ht="12.95" customHeight="1">
      <c r="A226" s="81">
        <v>2011</v>
      </c>
      <c r="B226" s="82" t="s">
        <v>42</v>
      </c>
      <c r="C226" s="25">
        <f t="shared" si="43"/>
        <v>0.96659418857481716</v>
      </c>
      <c r="D226" s="25">
        <f t="shared" si="44"/>
        <v>0.96870047543581617</v>
      </c>
      <c r="E226" s="25">
        <f t="shared" si="45"/>
        <v>0.99782565724451477</v>
      </c>
      <c r="F226" s="27">
        <v>5059</v>
      </c>
      <c r="G226" s="27">
        <f t="shared" si="51"/>
        <v>11</v>
      </c>
      <c r="H226" s="27">
        <v>5048</v>
      </c>
      <c r="I226" s="27">
        <v>4890</v>
      </c>
      <c r="J226" s="27">
        <f t="shared" si="50"/>
        <v>158</v>
      </c>
    </row>
    <row r="227" spans="1:10" s="34" customFormat="1" ht="12.95" customHeight="1">
      <c r="A227" s="81">
        <v>2011</v>
      </c>
      <c r="B227" s="82" t="s">
        <v>43</v>
      </c>
      <c r="C227" s="25">
        <f t="shared" si="43"/>
        <v>0.96026490066225167</v>
      </c>
      <c r="D227" s="25">
        <f t="shared" si="44"/>
        <v>0.96744844318641321</v>
      </c>
      <c r="E227" s="25">
        <f t="shared" si="45"/>
        <v>0.99257475416415819</v>
      </c>
      <c r="F227" s="27">
        <v>4983</v>
      </c>
      <c r="G227" s="27">
        <f t="shared" si="51"/>
        <v>37</v>
      </c>
      <c r="H227" s="27">
        <v>4946</v>
      </c>
      <c r="I227" s="27">
        <v>4785</v>
      </c>
      <c r="J227" s="27">
        <f t="shared" si="50"/>
        <v>161</v>
      </c>
    </row>
    <row r="228" spans="1:10" s="34" customFormat="1" ht="12.95" customHeight="1">
      <c r="A228" s="81">
        <v>2011</v>
      </c>
      <c r="B228" s="82" t="s">
        <v>44</v>
      </c>
      <c r="C228" s="25">
        <f t="shared" si="43"/>
        <v>0.96877470355731221</v>
      </c>
      <c r="D228" s="25">
        <f t="shared" si="44"/>
        <v>0.97397178621100733</v>
      </c>
      <c r="E228" s="25">
        <f t="shared" si="45"/>
        <v>0.99466403162055339</v>
      </c>
      <c r="F228" s="27">
        <v>5060</v>
      </c>
      <c r="G228" s="27">
        <f t="shared" si="51"/>
        <v>27</v>
      </c>
      <c r="H228" s="27">
        <v>5033</v>
      </c>
      <c r="I228" s="27">
        <v>4902</v>
      </c>
      <c r="J228" s="27">
        <f t="shared" si="50"/>
        <v>131</v>
      </c>
    </row>
    <row r="229" spans="1:10" s="34" customFormat="1" ht="12.95" customHeight="1">
      <c r="A229" s="81">
        <v>2011</v>
      </c>
      <c r="B229" s="82" t="s">
        <v>45</v>
      </c>
      <c r="C229" s="25">
        <f t="shared" si="43"/>
        <v>0.96910003862495175</v>
      </c>
      <c r="D229" s="25">
        <f t="shared" si="44"/>
        <v>0.97493685642121619</v>
      </c>
      <c r="E229" s="25">
        <f t="shared" si="45"/>
        <v>0.99401313248358436</v>
      </c>
      <c r="F229" s="27">
        <v>5178</v>
      </c>
      <c r="G229" s="27">
        <f t="shared" si="51"/>
        <v>31</v>
      </c>
      <c r="H229" s="27">
        <v>5147</v>
      </c>
      <c r="I229" s="27">
        <v>5018</v>
      </c>
      <c r="J229" s="27">
        <f t="shared" si="50"/>
        <v>129</v>
      </c>
    </row>
    <row r="230" spans="1:10" s="34" customFormat="1" ht="12.95" customHeight="1">
      <c r="A230" s="81">
        <v>2011</v>
      </c>
      <c r="B230" s="82" t="s">
        <v>46</v>
      </c>
      <c r="C230" s="25">
        <f t="shared" si="43"/>
        <v>0.96824774598196783</v>
      </c>
      <c r="D230" s="25">
        <f t="shared" si="44"/>
        <v>0.97551342812006314</v>
      </c>
      <c r="E230" s="25">
        <f t="shared" si="45"/>
        <v>0.9925519404155233</v>
      </c>
      <c r="F230" s="27">
        <v>5102</v>
      </c>
      <c r="G230" s="27">
        <f t="shared" si="51"/>
        <v>38</v>
      </c>
      <c r="H230" s="27">
        <v>5064</v>
      </c>
      <c r="I230" s="27">
        <v>4940</v>
      </c>
      <c r="J230" s="27">
        <f t="shared" si="50"/>
        <v>124</v>
      </c>
    </row>
    <row r="231" spans="1:10" s="34" customFormat="1" ht="12.95" customHeight="1">
      <c r="A231" s="81">
        <v>2011</v>
      </c>
      <c r="B231" s="82" t="s">
        <v>47</v>
      </c>
      <c r="C231" s="25">
        <f t="shared" si="43"/>
        <v>0.98457223001402527</v>
      </c>
      <c r="D231" s="25">
        <f t="shared" si="44"/>
        <v>0.98714343109682601</v>
      </c>
      <c r="E231" s="25">
        <f t="shared" si="45"/>
        <v>0.99739531156080941</v>
      </c>
      <c r="F231" s="27">
        <v>4991</v>
      </c>
      <c r="G231" s="27">
        <f t="shared" si="51"/>
        <v>13</v>
      </c>
      <c r="H231" s="27">
        <v>4978</v>
      </c>
      <c r="I231" s="27">
        <v>4914</v>
      </c>
      <c r="J231" s="27">
        <f t="shared" si="50"/>
        <v>64</v>
      </c>
    </row>
    <row r="232" spans="1:10" s="34" customFormat="1" ht="12.95" customHeight="1">
      <c r="A232" s="81">
        <v>2011</v>
      </c>
      <c r="B232" s="82" t="s">
        <v>48</v>
      </c>
      <c r="C232" s="25">
        <f t="shared" si="43"/>
        <v>0.97993176801123816</v>
      </c>
      <c r="D232" s="25">
        <f t="shared" si="44"/>
        <v>0.98666397251970095</v>
      </c>
      <c r="E232" s="25">
        <f t="shared" si="45"/>
        <v>0.99317680112382101</v>
      </c>
      <c r="F232" s="27">
        <v>4983</v>
      </c>
      <c r="G232" s="27">
        <f t="shared" si="51"/>
        <v>34</v>
      </c>
      <c r="H232" s="27">
        <v>4949</v>
      </c>
      <c r="I232" s="27">
        <v>4883</v>
      </c>
      <c r="J232" s="27">
        <f t="shared" si="50"/>
        <v>66</v>
      </c>
    </row>
    <row r="233" spans="1:10" s="34" customFormat="1" ht="12.95" customHeight="1">
      <c r="A233" s="81">
        <v>2011</v>
      </c>
      <c r="B233" s="82" t="s">
        <v>49</v>
      </c>
      <c r="C233" s="25">
        <f t="shared" si="43"/>
        <v>0.96893291310220619</v>
      </c>
      <c r="D233" s="25">
        <f t="shared" si="44"/>
        <v>0.98287280200959126</v>
      </c>
      <c r="E233" s="25">
        <f t="shared" si="45"/>
        <v>0.98581719945970281</v>
      </c>
      <c r="F233" s="27">
        <v>4442</v>
      </c>
      <c r="G233" s="27">
        <f t="shared" si="51"/>
        <v>63</v>
      </c>
      <c r="H233" s="27">
        <v>4379</v>
      </c>
      <c r="I233" s="27">
        <v>4304</v>
      </c>
      <c r="J233" s="27">
        <f t="shared" si="50"/>
        <v>75</v>
      </c>
    </row>
    <row r="234" spans="1:10" s="34" customFormat="1" ht="12.95" customHeight="1">
      <c r="A234" s="81">
        <v>2012</v>
      </c>
      <c r="B234" s="82" t="s">
        <v>38</v>
      </c>
      <c r="C234" s="25">
        <f t="shared" si="43"/>
        <v>0.8670432326743428</v>
      </c>
      <c r="D234" s="25">
        <f t="shared" si="44"/>
        <v>0.89064940861414865</v>
      </c>
      <c r="E234" s="25">
        <f t="shared" si="45"/>
        <v>0.97349554638279379</v>
      </c>
      <c r="F234" s="27">
        <v>4603</v>
      </c>
      <c r="G234" s="27">
        <f t="shared" ref="G234:G245" si="52">F234-H234</f>
        <v>122</v>
      </c>
      <c r="H234" s="27">
        <v>4481</v>
      </c>
      <c r="I234" s="27">
        <v>3991</v>
      </c>
      <c r="J234" s="27">
        <f t="shared" ref="J234:J245" si="53">H234-I234</f>
        <v>490</v>
      </c>
    </row>
    <row r="235" spans="1:10" s="34" customFormat="1" ht="12.95" customHeight="1">
      <c r="A235" s="81">
        <v>2012</v>
      </c>
      <c r="B235" s="82" t="s">
        <v>39</v>
      </c>
      <c r="C235" s="25">
        <f t="shared" si="43"/>
        <v>0.85763728657129668</v>
      </c>
      <c r="D235" s="25">
        <f t="shared" si="44"/>
        <v>0.86927034611786713</v>
      </c>
      <c r="E235" s="25">
        <f t="shared" si="45"/>
        <v>0.98661744347023539</v>
      </c>
      <c r="F235" s="27">
        <v>4334</v>
      </c>
      <c r="G235" s="27">
        <f t="shared" si="52"/>
        <v>58</v>
      </c>
      <c r="H235" s="27">
        <v>4276</v>
      </c>
      <c r="I235" s="27">
        <v>3717</v>
      </c>
      <c r="J235" s="27">
        <f t="shared" si="53"/>
        <v>559</v>
      </c>
    </row>
    <row r="236" spans="1:10" s="34" customFormat="1" ht="12.95" customHeight="1">
      <c r="A236" s="81">
        <v>2012</v>
      </c>
      <c r="B236" s="82" t="s">
        <v>40</v>
      </c>
      <c r="C236" s="25">
        <f t="shared" si="43"/>
        <v>0.82889146388567014</v>
      </c>
      <c r="D236" s="25">
        <f t="shared" si="44"/>
        <v>0.85006932065755592</v>
      </c>
      <c r="E236" s="25">
        <f t="shared" si="45"/>
        <v>0.97508690614136728</v>
      </c>
      <c r="F236" s="27">
        <v>5178</v>
      </c>
      <c r="G236" s="27">
        <f t="shared" si="52"/>
        <v>129</v>
      </c>
      <c r="H236" s="27">
        <v>5049</v>
      </c>
      <c r="I236" s="27">
        <v>4292</v>
      </c>
      <c r="J236" s="27">
        <f t="shared" si="53"/>
        <v>757</v>
      </c>
    </row>
    <row r="237" spans="1:10" s="34" customFormat="1" ht="12.95" customHeight="1">
      <c r="A237" s="81">
        <v>2012</v>
      </c>
      <c r="B237" s="82" t="s">
        <v>41</v>
      </c>
      <c r="C237" s="25">
        <f t="shared" si="43"/>
        <v>0.89096094778411583</v>
      </c>
      <c r="D237" s="25">
        <f t="shared" si="44"/>
        <v>0.89627013904215402</v>
      </c>
      <c r="E237" s="25">
        <f t="shared" si="45"/>
        <v>0.99407634927599819</v>
      </c>
      <c r="F237" s="27">
        <v>4558</v>
      </c>
      <c r="G237" s="27">
        <f t="shared" si="52"/>
        <v>27</v>
      </c>
      <c r="H237" s="27">
        <v>4531</v>
      </c>
      <c r="I237" s="27">
        <v>4061</v>
      </c>
      <c r="J237" s="27">
        <f t="shared" si="53"/>
        <v>470</v>
      </c>
    </row>
    <row r="238" spans="1:10" s="34" customFormat="1" ht="12.95" customHeight="1">
      <c r="A238" s="81">
        <v>2012</v>
      </c>
      <c r="B238" s="82" t="s">
        <v>42</v>
      </c>
      <c r="C238" s="25">
        <f t="shared" si="43"/>
        <v>0.90927060683929628</v>
      </c>
      <c r="D238" s="25">
        <f t="shared" si="44"/>
        <v>0.91724825523429709</v>
      </c>
      <c r="E238" s="25">
        <f t="shared" si="45"/>
        <v>0.99130262897805888</v>
      </c>
      <c r="F238" s="27">
        <v>5059</v>
      </c>
      <c r="G238" s="27">
        <f t="shared" si="52"/>
        <v>44</v>
      </c>
      <c r="H238" s="27">
        <v>5015</v>
      </c>
      <c r="I238" s="27">
        <v>4600</v>
      </c>
      <c r="J238" s="27">
        <f t="shared" si="53"/>
        <v>415</v>
      </c>
    </row>
    <row r="239" spans="1:10" s="34" customFormat="1" ht="12.95" customHeight="1">
      <c r="A239" s="81">
        <v>2012</v>
      </c>
      <c r="B239" s="82" t="s">
        <v>43</v>
      </c>
      <c r="C239" s="25">
        <f t="shared" si="43"/>
        <v>0.91575091575091572</v>
      </c>
      <c r="D239" s="25">
        <f t="shared" si="44"/>
        <v>0.91930541368743612</v>
      </c>
      <c r="E239" s="25">
        <f t="shared" si="45"/>
        <v>0.99613349613349611</v>
      </c>
      <c r="F239" s="27">
        <v>4914</v>
      </c>
      <c r="G239" s="27">
        <f t="shared" si="52"/>
        <v>19</v>
      </c>
      <c r="H239" s="27">
        <v>4895</v>
      </c>
      <c r="I239" s="27">
        <v>4500</v>
      </c>
      <c r="J239" s="27">
        <f t="shared" si="53"/>
        <v>395</v>
      </c>
    </row>
    <row r="240" spans="1:10" s="34" customFormat="1" ht="12.95" customHeight="1">
      <c r="A240" s="81">
        <v>2012</v>
      </c>
      <c r="B240" s="82" t="s">
        <v>44</v>
      </c>
      <c r="C240" s="25">
        <f t="shared" si="43"/>
        <v>0.95928853754940713</v>
      </c>
      <c r="D240" s="25">
        <f t="shared" si="44"/>
        <v>0.96712492528392113</v>
      </c>
      <c r="E240" s="25">
        <f t="shared" si="45"/>
        <v>0.99189723320158107</v>
      </c>
      <c r="F240" s="27">
        <v>5060</v>
      </c>
      <c r="G240" s="27">
        <f t="shared" si="52"/>
        <v>41</v>
      </c>
      <c r="H240" s="27">
        <v>5019</v>
      </c>
      <c r="I240" s="27">
        <v>4854</v>
      </c>
      <c r="J240" s="27">
        <f t="shared" si="53"/>
        <v>165</v>
      </c>
    </row>
    <row r="241" spans="1:10" s="34" customFormat="1" ht="12.95" customHeight="1">
      <c r="A241" s="81">
        <v>2012</v>
      </c>
      <c r="B241" s="82" t="s">
        <v>45</v>
      </c>
      <c r="C241" s="25">
        <f t="shared" si="43"/>
        <v>0.97064503669370417</v>
      </c>
      <c r="D241" s="25">
        <f t="shared" si="44"/>
        <v>0.97384227862817285</v>
      </c>
      <c r="E241" s="25">
        <f t="shared" si="45"/>
        <v>0.99671687910390117</v>
      </c>
      <c r="F241" s="27">
        <v>5178</v>
      </c>
      <c r="G241" s="27">
        <f t="shared" si="52"/>
        <v>17</v>
      </c>
      <c r="H241" s="27">
        <v>5161</v>
      </c>
      <c r="I241" s="27">
        <v>5026</v>
      </c>
      <c r="J241" s="27">
        <f t="shared" si="53"/>
        <v>135</v>
      </c>
    </row>
    <row r="242" spans="1:10" s="34" customFormat="1" ht="12.95" customHeight="1">
      <c r="A242" s="81">
        <v>2012</v>
      </c>
      <c r="B242" s="82" t="s">
        <v>46</v>
      </c>
      <c r="C242" s="25">
        <f t="shared" si="43"/>
        <v>0.95454545454545459</v>
      </c>
      <c r="D242" s="25">
        <f t="shared" si="44"/>
        <v>0.9690939881456393</v>
      </c>
      <c r="E242" s="25">
        <f t="shared" si="45"/>
        <v>0.98498748957464555</v>
      </c>
      <c r="F242" s="27">
        <v>4796</v>
      </c>
      <c r="G242" s="27">
        <f t="shared" si="52"/>
        <v>72</v>
      </c>
      <c r="H242" s="27">
        <v>4724</v>
      </c>
      <c r="I242" s="27">
        <v>4578</v>
      </c>
      <c r="J242" s="27">
        <f t="shared" si="53"/>
        <v>146</v>
      </c>
    </row>
    <row r="243" spans="1:10" s="34" customFormat="1" ht="12.95" customHeight="1">
      <c r="A243" s="81">
        <v>2012</v>
      </c>
      <c r="B243" s="82" t="s">
        <v>47</v>
      </c>
      <c r="C243" s="25">
        <f t="shared" si="43"/>
        <v>0.95828505214368487</v>
      </c>
      <c r="D243" s="25">
        <f t="shared" si="44"/>
        <v>0.97179788484136309</v>
      </c>
      <c r="E243" s="25">
        <f t="shared" si="45"/>
        <v>0.98609501738122829</v>
      </c>
      <c r="F243" s="27">
        <v>5178</v>
      </c>
      <c r="G243" s="27">
        <f t="shared" si="52"/>
        <v>72</v>
      </c>
      <c r="H243" s="27">
        <v>5106</v>
      </c>
      <c r="I243" s="27">
        <v>4962</v>
      </c>
      <c r="J243" s="27">
        <f t="shared" si="53"/>
        <v>144</v>
      </c>
    </row>
    <row r="244" spans="1:10" s="34" customFormat="1" ht="12.95" customHeight="1">
      <c r="A244" s="81">
        <v>2012</v>
      </c>
      <c r="B244" s="82" t="s">
        <v>48</v>
      </c>
      <c r="C244" s="25">
        <f t="shared" si="43"/>
        <v>0.86293397551675699</v>
      </c>
      <c r="D244" s="25">
        <f t="shared" si="44"/>
        <v>0.94071319186173707</v>
      </c>
      <c r="E244" s="25">
        <f t="shared" si="45"/>
        <v>0.91731888420630148</v>
      </c>
      <c r="F244" s="27">
        <v>4983</v>
      </c>
      <c r="G244" s="27">
        <f t="shared" si="52"/>
        <v>412</v>
      </c>
      <c r="H244" s="27">
        <v>4571</v>
      </c>
      <c r="I244" s="27">
        <v>4300</v>
      </c>
      <c r="J244" s="27">
        <f t="shared" si="53"/>
        <v>271</v>
      </c>
    </row>
    <row r="245" spans="1:10" s="34" customFormat="1" ht="12.95" customHeight="1">
      <c r="A245" s="81">
        <v>2012</v>
      </c>
      <c r="B245" s="82" t="s">
        <v>49</v>
      </c>
      <c r="C245" s="25">
        <f t="shared" si="43"/>
        <v>0.91099476439790572</v>
      </c>
      <c r="D245" s="25">
        <f t="shared" si="44"/>
        <v>0.95558739255014324</v>
      </c>
      <c r="E245" s="25">
        <f t="shared" si="45"/>
        <v>0.9533348508991577</v>
      </c>
      <c r="F245" s="27">
        <v>4393</v>
      </c>
      <c r="G245" s="27">
        <f t="shared" si="52"/>
        <v>205</v>
      </c>
      <c r="H245" s="27">
        <v>4188</v>
      </c>
      <c r="I245" s="27">
        <v>4002</v>
      </c>
      <c r="J245" s="27">
        <f t="shared" si="53"/>
        <v>186</v>
      </c>
    </row>
    <row r="246" spans="1:10" s="34" customFormat="1" ht="12.95" customHeight="1">
      <c r="A246" s="81">
        <v>2013</v>
      </c>
      <c r="B246" s="82" t="s">
        <v>38</v>
      </c>
      <c r="C246" s="25">
        <f t="shared" si="43"/>
        <v>0.96516529842467269</v>
      </c>
      <c r="D246" s="25">
        <f t="shared" si="44"/>
        <v>0.98127678772840066</v>
      </c>
      <c r="E246" s="25">
        <f t="shared" si="45"/>
        <v>0.98358109607277566</v>
      </c>
      <c r="F246" s="27">
        <v>4507</v>
      </c>
      <c r="G246" s="27">
        <f t="shared" ref="G246:G257" si="54">F246-H246</f>
        <v>74</v>
      </c>
      <c r="H246" s="27">
        <v>4433</v>
      </c>
      <c r="I246" s="27">
        <v>4350</v>
      </c>
      <c r="J246" s="27">
        <f t="shared" ref="J246:J257" si="55">H246-I246</f>
        <v>83</v>
      </c>
    </row>
    <row r="247" spans="1:10" s="34" customFormat="1" ht="12.95" customHeight="1">
      <c r="A247" s="81">
        <v>2013</v>
      </c>
      <c r="B247" s="82" t="s">
        <v>39</v>
      </c>
      <c r="C247" s="25">
        <f t="shared" si="43"/>
        <v>0.90327203248149035</v>
      </c>
      <c r="D247" s="25">
        <f t="shared" si="44"/>
        <v>0.96528841245533437</v>
      </c>
      <c r="E247" s="25">
        <f t="shared" si="45"/>
        <v>0.93575352280869362</v>
      </c>
      <c r="F247" s="27">
        <v>4187</v>
      </c>
      <c r="G247" s="27">
        <f t="shared" si="54"/>
        <v>269</v>
      </c>
      <c r="H247" s="27">
        <v>3918</v>
      </c>
      <c r="I247" s="27">
        <v>3782</v>
      </c>
      <c r="J247" s="27">
        <f t="shared" si="55"/>
        <v>136</v>
      </c>
    </row>
    <row r="248" spans="1:10" s="34" customFormat="1" ht="12.95" customHeight="1">
      <c r="A248" s="81">
        <v>2013</v>
      </c>
      <c r="B248" s="82" t="s">
        <v>40</v>
      </c>
      <c r="C248" s="25">
        <f t="shared" si="43"/>
        <v>0.77565535460272306</v>
      </c>
      <c r="D248" s="25">
        <f t="shared" si="44"/>
        <v>0.84577886106802569</v>
      </c>
      <c r="E248" s="25">
        <f t="shared" si="45"/>
        <v>0.91709002235318027</v>
      </c>
      <c r="F248" s="27">
        <v>4921</v>
      </c>
      <c r="G248" s="27">
        <f t="shared" si="54"/>
        <v>408</v>
      </c>
      <c r="H248" s="27">
        <v>4513</v>
      </c>
      <c r="I248" s="27">
        <v>3817</v>
      </c>
      <c r="J248" s="27">
        <f t="shared" si="55"/>
        <v>696</v>
      </c>
    </row>
    <row r="249" spans="1:10" s="34" customFormat="1" ht="12.95" customHeight="1">
      <c r="A249" s="81">
        <v>2013</v>
      </c>
      <c r="B249" s="82" t="s">
        <v>41</v>
      </c>
      <c r="C249" s="25">
        <f t="shared" si="43"/>
        <v>0.91550164473684215</v>
      </c>
      <c r="D249" s="25">
        <f t="shared" si="44"/>
        <v>0.94163670966377666</v>
      </c>
      <c r="E249" s="25">
        <f t="shared" si="45"/>
        <v>0.97224506578947367</v>
      </c>
      <c r="F249" s="27">
        <v>4864</v>
      </c>
      <c r="G249" s="27">
        <f t="shared" si="54"/>
        <v>135</v>
      </c>
      <c r="H249" s="27">
        <v>4729</v>
      </c>
      <c r="I249" s="27">
        <v>4453</v>
      </c>
      <c r="J249" s="27">
        <f t="shared" si="55"/>
        <v>276</v>
      </c>
    </row>
    <row r="250" spans="1:10" s="34" customFormat="1" ht="12.95" customHeight="1">
      <c r="A250" s="81">
        <v>2013</v>
      </c>
      <c r="B250" s="82" t="s">
        <v>42</v>
      </c>
      <c r="C250" s="25">
        <f t="shared" si="43"/>
        <v>0.92901716068642748</v>
      </c>
      <c r="D250" s="25">
        <f t="shared" si="44"/>
        <v>0.93687315634218293</v>
      </c>
      <c r="E250" s="25">
        <f t="shared" si="45"/>
        <v>0.99161466458658343</v>
      </c>
      <c r="F250" s="27">
        <v>5128</v>
      </c>
      <c r="G250" s="27">
        <f t="shared" si="54"/>
        <v>43</v>
      </c>
      <c r="H250" s="27">
        <v>5085</v>
      </c>
      <c r="I250" s="27">
        <v>4764</v>
      </c>
      <c r="J250" s="27">
        <f t="shared" si="55"/>
        <v>321</v>
      </c>
    </row>
    <row r="251" spans="1:10" s="34" customFormat="1" ht="12.95" customHeight="1">
      <c r="A251" s="81">
        <v>2013</v>
      </c>
      <c r="B251" s="82" t="s">
        <v>43</v>
      </c>
      <c r="C251" s="25">
        <f t="shared" si="43"/>
        <v>0.88411374812914256</v>
      </c>
      <c r="D251" s="25">
        <f t="shared" si="44"/>
        <v>0.90699714849747748</v>
      </c>
      <c r="E251" s="25">
        <f t="shared" si="45"/>
        <v>0.97477015180671367</v>
      </c>
      <c r="F251" s="27">
        <v>4677</v>
      </c>
      <c r="G251" s="27">
        <f t="shared" si="54"/>
        <v>118</v>
      </c>
      <c r="H251" s="27">
        <v>4559</v>
      </c>
      <c r="I251" s="27">
        <v>4135</v>
      </c>
      <c r="J251" s="27">
        <f t="shared" si="55"/>
        <v>424</v>
      </c>
    </row>
    <row r="252" spans="1:10" s="34" customFormat="1" ht="12.95" customHeight="1">
      <c r="A252" s="81">
        <v>2013</v>
      </c>
      <c r="B252" s="82" t="s">
        <v>44</v>
      </c>
      <c r="C252" s="25">
        <f t="shared" si="43"/>
        <v>0.90459636925453846</v>
      </c>
      <c r="D252" s="25">
        <f t="shared" si="44"/>
        <v>0.92660731948565778</v>
      </c>
      <c r="E252" s="25">
        <f t="shared" si="45"/>
        <v>0.97624565469293167</v>
      </c>
      <c r="F252" s="27">
        <v>5178</v>
      </c>
      <c r="G252" s="27">
        <f t="shared" si="54"/>
        <v>123</v>
      </c>
      <c r="H252" s="27">
        <v>5055</v>
      </c>
      <c r="I252" s="27">
        <v>4684</v>
      </c>
      <c r="J252" s="27">
        <f t="shared" si="55"/>
        <v>371</v>
      </c>
    </row>
    <row r="253" spans="1:10" s="34" customFormat="1" ht="12.95" customHeight="1">
      <c r="A253" s="81">
        <v>2013</v>
      </c>
      <c r="B253" s="82" t="s">
        <v>45</v>
      </c>
      <c r="C253" s="25">
        <f t="shared" si="43"/>
        <v>0.92190252495596003</v>
      </c>
      <c r="D253" s="25">
        <f t="shared" si="44"/>
        <v>0.93600953895071537</v>
      </c>
      <c r="E253" s="25">
        <f t="shared" si="45"/>
        <v>0.98492855744764141</v>
      </c>
      <c r="F253" s="27">
        <v>5109</v>
      </c>
      <c r="G253" s="27">
        <f t="shared" si="54"/>
        <v>77</v>
      </c>
      <c r="H253" s="27">
        <v>5032</v>
      </c>
      <c r="I253" s="27">
        <v>4710</v>
      </c>
      <c r="J253" s="27">
        <f t="shared" si="55"/>
        <v>322</v>
      </c>
    </row>
    <row r="254" spans="1:10" s="34" customFormat="1" ht="12.95" customHeight="1">
      <c r="A254" s="81">
        <v>2013</v>
      </c>
      <c r="B254" s="82" t="s">
        <v>46</v>
      </c>
      <c r="C254" s="25">
        <f t="shared" si="43"/>
        <v>0.9079052969502408</v>
      </c>
      <c r="D254" s="25">
        <f t="shared" si="44"/>
        <v>0.928395568321707</v>
      </c>
      <c r="E254" s="25">
        <f t="shared" si="45"/>
        <v>0.9779293739967897</v>
      </c>
      <c r="F254" s="27">
        <v>4984</v>
      </c>
      <c r="G254" s="27">
        <f t="shared" si="54"/>
        <v>110</v>
      </c>
      <c r="H254" s="27">
        <v>4874</v>
      </c>
      <c r="I254" s="27">
        <v>4525</v>
      </c>
      <c r="J254" s="27">
        <f t="shared" si="55"/>
        <v>349</v>
      </c>
    </row>
    <row r="255" spans="1:10" s="34" customFormat="1" ht="12.95" customHeight="1">
      <c r="A255" s="81">
        <v>2013</v>
      </c>
      <c r="B255" s="82" t="s">
        <v>47</v>
      </c>
      <c r="C255" s="25">
        <f t="shared" si="43"/>
        <v>0.90556199304750873</v>
      </c>
      <c r="D255" s="25">
        <f t="shared" si="44"/>
        <v>0.92031403336604511</v>
      </c>
      <c r="E255" s="25">
        <f t="shared" si="45"/>
        <v>0.98397064503669374</v>
      </c>
      <c r="F255" s="27">
        <v>5178</v>
      </c>
      <c r="G255" s="27">
        <f t="shared" si="54"/>
        <v>83</v>
      </c>
      <c r="H255" s="27">
        <v>5095</v>
      </c>
      <c r="I255" s="27">
        <v>4689</v>
      </c>
      <c r="J255" s="27">
        <f t="shared" si="55"/>
        <v>406</v>
      </c>
    </row>
    <row r="256" spans="1:10" s="34" customFormat="1" ht="12.95" customHeight="1">
      <c r="A256" s="81">
        <v>2013</v>
      </c>
      <c r="B256" s="82" t="s">
        <v>48</v>
      </c>
      <c r="C256" s="25">
        <f t="shared" si="43"/>
        <v>0.5567765567765568</v>
      </c>
      <c r="D256" s="25">
        <f t="shared" si="44"/>
        <v>0.5802757158006363</v>
      </c>
      <c r="E256" s="25">
        <f t="shared" si="45"/>
        <v>0.9595034595034595</v>
      </c>
      <c r="F256" s="27">
        <v>4914</v>
      </c>
      <c r="G256" s="27">
        <f t="shared" si="54"/>
        <v>199</v>
      </c>
      <c r="H256" s="27">
        <v>4715</v>
      </c>
      <c r="I256" s="27">
        <v>2736</v>
      </c>
      <c r="J256" s="27">
        <f t="shared" si="55"/>
        <v>1979</v>
      </c>
    </row>
    <row r="257" spans="1:10" s="34" customFormat="1" ht="12.95" customHeight="1">
      <c r="A257" s="81">
        <v>2013</v>
      </c>
      <c r="B257" s="82" t="s">
        <v>49</v>
      </c>
      <c r="C257" s="25">
        <f t="shared" si="43"/>
        <v>0.71919278660369257</v>
      </c>
      <c r="D257" s="25">
        <f t="shared" si="44"/>
        <v>0.74676772180115913</v>
      </c>
      <c r="E257" s="25">
        <f t="shared" si="45"/>
        <v>0.96307428080721336</v>
      </c>
      <c r="F257" s="27">
        <v>4658</v>
      </c>
      <c r="G257" s="27">
        <f t="shared" si="54"/>
        <v>172</v>
      </c>
      <c r="H257" s="27">
        <v>4486</v>
      </c>
      <c r="I257" s="27">
        <v>3350</v>
      </c>
      <c r="J257" s="27">
        <f t="shared" si="55"/>
        <v>1136</v>
      </c>
    </row>
    <row r="258" spans="1:10">
      <c r="A258" s="81">
        <v>2014</v>
      </c>
      <c r="B258" s="82" t="s">
        <v>38</v>
      </c>
      <c r="C258" s="25">
        <f t="shared" si="43"/>
        <v>0.90504128639721859</v>
      </c>
      <c r="D258" s="25">
        <f t="shared" si="44"/>
        <v>0.93679712100764734</v>
      </c>
      <c r="E258" s="25">
        <f t="shared" si="45"/>
        <v>0.96610169491525422</v>
      </c>
      <c r="F258" s="27">
        <v>4602</v>
      </c>
      <c r="G258" s="27">
        <f t="shared" ref="G258:G266" si="56">F258-H258</f>
        <v>156</v>
      </c>
      <c r="H258" s="27">
        <v>4446</v>
      </c>
      <c r="I258" s="27">
        <v>4165</v>
      </c>
      <c r="J258" s="27">
        <f t="shared" ref="J258:J269" si="57">H258-I258</f>
        <v>281</v>
      </c>
    </row>
    <row r="259" spans="1:10">
      <c r="A259" s="81">
        <v>2014</v>
      </c>
      <c r="B259" s="82" t="s">
        <v>39</v>
      </c>
      <c r="C259" s="25">
        <f t="shared" si="43"/>
        <v>0.87273991655076499</v>
      </c>
      <c r="D259" s="25">
        <f t="shared" si="44"/>
        <v>0.9223419892209701</v>
      </c>
      <c r="E259" s="25">
        <f t="shared" si="45"/>
        <v>0.94622160407974043</v>
      </c>
      <c r="F259" s="27">
        <v>4314</v>
      </c>
      <c r="G259" s="27">
        <f t="shared" si="56"/>
        <v>232</v>
      </c>
      <c r="H259" s="27">
        <v>4082</v>
      </c>
      <c r="I259" s="27">
        <v>3765</v>
      </c>
      <c r="J259" s="27">
        <f t="shared" si="57"/>
        <v>317</v>
      </c>
    </row>
    <row r="260" spans="1:10">
      <c r="A260" s="81">
        <v>2014</v>
      </c>
      <c r="B260" s="82" t="s">
        <v>40</v>
      </c>
      <c r="C260" s="25">
        <f t="shared" si="43"/>
        <v>0.8835173994582205</v>
      </c>
      <c r="D260" s="25">
        <f t="shared" si="44"/>
        <v>0.94621736219593844</v>
      </c>
      <c r="E260" s="25">
        <f t="shared" si="45"/>
        <v>0.93373619504063343</v>
      </c>
      <c r="F260" s="27">
        <v>4799</v>
      </c>
      <c r="G260" s="27">
        <f t="shared" si="56"/>
        <v>318</v>
      </c>
      <c r="H260" s="27">
        <v>4481</v>
      </c>
      <c r="I260" s="27">
        <v>4240</v>
      </c>
      <c r="J260" s="27">
        <f t="shared" si="57"/>
        <v>241</v>
      </c>
    </row>
    <row r="261" spans="1:10">
      <c r="A261" s="81">
        <v>2014</v>
      </c>
      <c r="B261" s="82" t="s">
        <v>41</v>
      </c>
      <c r="C261" s="25">
        <f t="shared" si="43"/>
        <v>0.86400651465798051</v>
      </c>
      <c r="D261" s="25">
        <f t="shared" si="44"/>
        <v>0.92968236582694419</v>
      </c>
      <c r="E261" s="25">
        <f t="shared" si="45"/>
        <v>0.92935667752442996</v>
      </c>
      <c r="F261" s="27">
        <v>4912</v>
      </c>
      <c r="G261" s="27">
        <f t="shared" si="56"/>
        <v>347</v>
      </c>
      <c r="H261" s="27">
        <v>4565</v>
      </c>
      <c r="I261" s="27">
        <v>4244</v>
      </c>
      <c r="J261" s="27">
        <f t="shared" si="57"/>
        <v>321</v>
      </c>
    </row>
    <row r="262" spans="1:10">
      <c r="A262" s="81">
        <v>2014</v>
      </c>
      <c r="B262" s="82" t="s">
        <v>42</v>
      </c>
      <c r="C262" s="25">
        <f t="shared" ref="C262:C325" si="58">I262/F262</f>
        <v>0.82853740821591582</v>
      </c>
      <c r="D262" s="25">
        <f t="shared" ref="D262:D325" si="59">I262/H262</f>
        <v>0.88565973695375477</v>
      </c>
      <c r="E262" s="25">
        <f t="shared" ref="E262:E325" si="60">H262/F262</f>
        <v>0.93550307600714433</v>
      </c>
      <c r="F262" s="27">
        <v>5039</v>
      </c>
      <c r="G262" s="27">
        <f t="shared" si="56"/>
        <v>325</v>
      </c>
      <c r="H262" s="27">
        <v>4714</v>
      </c>
      <c r="I262" s="27">
        <v>4175</v>
      </c>
      <c r="J262" s="27">
        <f t="shared" si="57"/>
        <v>539</v>
      </c>
    </row>
    <row r="263" spans="1:10">
      <c r="A263" s="81">
        <v>2014</v>
      </c>
      <c r="B263" s="82" t="s">
        <v>43</v>
      </c>
      <c r="C263" s="25">
        <f t="shared" si="58"/>
        <v>0.83391003460207613</v>
      </c>
      <c r="D263" s="25">
        <f t="shared" si="59"/>
        <v>0.91084926634059582</v>
      </c>
      <c r="E263" s="25">
        <f t="shared" si="60"/>
        <v>0.91553022593120292</v>
      </c>
      <c r="F263" s="27">
        <v>4913</v>
      </c>
      <c r="G263" s="27">
        <f t="shared" si="56"/>
        <v>415</v>
      </c>
      <c r="H263" s="27">
        <v>4498</v>
      </c>
      <c r="I263" s="27">
        <v>4097</v>
      </c>
      <c r="J263" s="27">
        <f t="shared" si="57"/>
        <v>401</v>
      </c>
    </row>
    <row r="264" spans="1:10">
      <c r="A264" s="81">
        <v>2014</v>
      </c>
      <c r="B264" s="82" t="s">
        <v>44</v>
      </c>
      <c r="C264" s="25">
        <f t="shared" si="58"/>
        <v>0.84971319311663485</v>
      </c>
      <c r="D264" s="25">
        <f t="shared" si="59"/>
        <v>0.92410064462466213</v>
      </c>
      <c r="E264" s="25">
        <f t="shared" si="60"/>
        <v>0.91950286806883363</v>
      </c>
      <c r="F264" s="27">
        <v>5230</v>
      </c>
      <c r="G264" s="27">
        <f t="shared" si="56"/>
        <v>421</v>
      </c>
      <c r="H264" s="27">
        <v>4809</v>
      </c>
      <c r="I264" s="27">
        <v>4444</v>
      </c>
      <c r="J264" s="27">
        <f t="shared" si="57"/>
        <v>365</v>
      </c>
    </row>
    <row r="265" spans="1:10">
      <c r="A265" s="81">
        <v>2014</v>
      </c>
      <c r="B265" s="82" t="s">
        <v>45</v>
      </c>
      <c r="C265" s="25">
        <f t="shared" si="58"/>
        <v>0.8256298353501289</v>
      </c>
      <c r="D265" s="25">
        <f t="shared" si="59"/>
        <v>0.92901785714285712</v>
      </c>
      <c r="E265" s="25">
        <f t="shared" si="60"/>
        <v>0.88871255703233487</v>
      </c>
      <c r="F265" s="27">
        <v>5041</v>
      </c>
      <c r="G265" s="27">
        <f t="shared" si="56"/>
        <v>561</v>
      </c>
      <c r="H265" s="27">
        <v>4480</v>
      </c>
      <c r="I265" s="27">
        <v>4162</v>
      </c>
      <c r="J265" s="27">
        <f t="shared" si="57"/>
        <v>318</v>
      </c>
    </row>
    <row r="266" spans="1:10">
      <c r="A266" s="81">
        <v>2014</v>
      </c>
      <c r="B266" s="82" t="s">
        <v>46</v>
      </c>
      <c r="C266" s="25">
        <f t="shared" si="58"/>
        <v>0.80791618160651923</v>
      </c>
      <c r="D266" s="25">
        <f t="shared" si="59"/>
        <v>0.87774030354131538</v>
      </c>
      <c r="E266" s="25">
        <f t="shared" si="60"/>
        <v>0.92045013581684132</v>
      </c>
      <c r="F266" s="27">
        <v>5154</v>
      </c>
      <c r="G266" s="27">
        <f t="shared" si="56"/>
        <v>410</v>
      </c>
      <c r="H266" s="27">
        <v>4744</v>
      </c>
      <c r="I266" s="27">
        <v>4164</v>
      </c>
      <c r="J266" s="27">
        <f t="shared" si="57"/>
        <v>580</v>
      </c>
    </row>
    <row r="267" spans="1:10">
      <c r="A267" s="81">
        <v>2014</v>
      </c>
      <c r="B267" s="82" t="s">
        <v>47</v>
      </c>
      <c r="C267" s="25">
        <f t="shared" si="58"/>
        <v>0.66959847036328868</v>
      </c>
      <c r="D267" s="25">
        <f t="shared" si="59"/>
        <v>0.77272727272727271</v>
      </c>
      <c r="E267" s="25">
        <f t="shared" si="60"/>
        <v>0.86653919694072656</v>
      </c>
      <c r="F267" s="27">
        <v>5230</v>
      </c>
      <c r="G267" s="27">
        <f>F267-H267</f>
        <v>698</v>
      </c>
      <c r="H267" s="27">
        <v>4532</v>
      </c>
      <c r="I267" s="27">
        <v>3502</v>
      </c>
      <c r="J267" s="27">
        <f t="shared" si="57"/>
        <v>1030</v>
      </c>
    </row>
    <row r="268" spans="1:10">
      <c r="A268" s="81">
        <v>2014</v>
      </c>
      <c r="B268" s="82" t="s">
        <v>48</v>
      </c>
      <c r="C268" s="25">
        <f t="shared" si="58"/>
        <v>0.64760528488852187</v>
      </c>
      <c r="D268" s="25">
        <f t="shared" si="59"/>
        <v>0.71719250114311839</v>
      </c>
      <c r="E268" s="25">
        <f t="shared" si="60"/>
        <v>0.90297274979355902</v>
      </c>
      <c r="F268" s="27">
        <v>4844</v>
      </c>
      <c r="G268" s="27">
        <f>F268-H268</f>
        <v>470</v>
      </c>
      <c r="H268" s="27">
        <v>4374</v>
      </c>
      <c r="I268" s="27">
        <v>3137</v>
      </c>
      <c r="J268" s="27">
        <f t="shared" si="57"/>
        <v>1237</v>
      </c>
    </row>
    <row r="269" spans="1:10">
      <c r="A269" s="81">
        <v>2014</v>
      </c>
      <c r="B269" s="82" t="s">
        <v>49</v>
      </c>
      <c r="C269" s="25">
        <f t="shared" si="58"/>
        <v>0.77899015832263585</v>
      </c>
      <c r="D269" s="25">
        <f t="shared" si="59"/>
        <v>0.83375314861460958</v>
      </c>
      <c r="E269" s="25">
        <f t="shared" si="60"/>
        <v>0.93431750106974754</v>
      </c>
      <c r="F269" s="27">
        <v>4674</v>
      </c>
      <c r="G269" s="27">
        <f>F269-H269</f>
        <v>307</v>
      </c>
      <c r="H269" s="27">
        <v>4367</v>
      </c>
      <c r="I269" s="27">
        <v>3641</v>
      </c>
      <c r="J269" s="27">
        <f t="shared" si="57"/>
        <v>726</v>
      </c>
    </row>
    <row r="270" spans="1:10">
      <c r="A270" s="81">
        <v>2015</v>
      </c>
      <c r="B270" s="82" t="s">
        <v>38</v>
      </c>
      <c r="C270" s="25">
        <f t="shared" si="58"/>
        <v>0.88524955436720143</v>
      </c>
      <c r="D270" s="25">
        <f t="shared" si="59"/>
        <v>0.89886877828054301</v>
      </c>
      <c r="E270" s="25">
        <f t="shared" si="60"/>
        <v>0.98484848484848486</v>
      </c>
      <c r="F270" s="27">
        <v>4488</v>
      </c>
      <c r="G270" s="27">
        <f>+F270-H270</f>
        <v>68</v>
      </c>
      <c r="H270" s="27">
        <v>4420</v>
      </c>
      <c r="I270" s="27">
        <v>3973</v>
      </c>
      <c r="J270" s="27">
        <f t="shared" ref="J270:J281" si="61">H270-I270</f>
        <v>447</v>
      </c>
    </row>
    <row r="271" spans="1:10">
      <c r="A271" s="81">
        <v>2015</v>
      </c>
      <c r="B271" s="82" t="s">
        <v>39</v>
      </c>
      <c r="C271" s="25">
        <f t="shared" si="58"/>
        <v>0.83450175262894344</v>
      </c>
      <c r="D271" s="25">
        <f t="shared" si="59"/>
        <v>0.85068912710566613</v>
      </c>
      <c r="E271" s="25">
        <f t="shared" si="60"/>
        <v>0.98097145718577872</v>
      </c>
      <c r="F271" s="27">
        <v>3994</v>
      </c>
      <c r="G271" s="27">
        <f t="shared" ref="G271:G278" si="62">F271-H271</f>
        <v>76</v>
      </c>
      <c r="H271" s="27">
        <v>3918</v>
      </c>
      <c r="I271" s="27">
        <v>3333</v>
      </c>
      <c r="J271" s="27">
        <f t="shared" si="61"/>
        <v>585</v>
      </c>
    </row>
    <row r="272" spans="1:10">
      <c r="A272" s="81">
        <v>2015</v>
      </c>
      <c r="B272" s="82" t="s">
        <v>40</v>
      </c>
      <c r="C272" s="25">
        <f t="shared" si="58"/>
        <v>0.72352074120867549</v>
      </c>
      <c r="D272" s="25">
        <f t="shared" si="59"/>
        <v>0.79408366073492032</v>
      </c>
      <c r="E272" s="25">
        <f t="shared" si="60"/>
        <v>0.91113918719730469</v>
      </c>
      <c r="F272" s="27">
        <v>4749</v>
      </c>
      <c r="G272" s="27">
        <f t="shared" si="62"/>
        <v>422</v>
      </c>
      <c r="H272" s="27">
        <v>4327</v>
      </c>
      <c r="I272" s="27">
        <v>3436</v>
      </c>
      <c r="J272" s="27">
        <f t="shared" si="61"/>
        <v>891</v>
      </c>
    </row>
    <row r="273" spans="1:10">
      <c r="A273" s="81">
        <v>2015</v>
      </c>
      <c r="B273" s="82" t="s">
        <v>41</v>
      </c>
      <c r="C273" s="25">
        <f t="shared" si="58"/>
        <v>0.62457191780821919</v>
      </c>
      <c r="D273" s="25">
        <f t="shared" si="59"/>
        <v>0.65869074492099322</v>
      </c>
      <c r="E273" s="25">
        <f t="shared" si="60"/>
        <v>0.94820205479452058</v>
      </c>
      <c r="F273" s="27">
        <v>4672</v>
      </c>
      <c r="G273" s="27">
        <f t="shared" si="62"/>
        <v>242</v>
      </c>
      <c r="H273" s="27">
        <v>4430</v>
      </c>
      <c r="I273" s="27">
        <v>2918</v>
      </c>
      <c r="J273" s="27">
        <f t="shared" si="61"/>
        <v>1512</v>
      </c>
    </row>
    <row r="274" spans="1:10">
      <c r="A274" s="81">
        <v>2015</v>
      </c>
      <c r="B274" s="82" t="s">
        <v>42</v>
      </c>
      <c r="C274" s="25">
        <f t="shared" si="58"/>
        <v>0.56692242114237001</v>
      </c>
      <c r="D274" s="25">
        <f t="shared" si="59"/>
        <v>0.5997745208568207</v>
      </c>
      <c r="E274" s="25">
        <f t="shared" si="60"/>
        <v>0.94522591645353793</v>
      </c>
      <c r="F274" s="27">
        <v>4692</v>
      </c>
      <c r="G274" s="27">
        <f t="shared" si="62"/>
        <v>257</v>
      </c>
      <c r="H274" s="27">
        <v>4435</v>
      </c>
      <c r="I274" s="27">
        <v>2660</v>
      </c>
      <c r="J274" s="27">
        <f t="shared" si="61"/>
        <v>1775</v>
      </c>
    </row>
    <row r="275" spans="1:10">
      <c r="A275" s="81">
        <v>2015</v>
      </c>
      <c r="B275" s="82" t="s">
        <v>43</v>
      </c>
      <c r="C275" s="25">
        <f t="shared" si="58"/>
        <v>0.76002480363786684</v>
      </c>
      <c r="D275" s="25">
        <f t="shared" si="59"/>
        <v>0.80724478594950599</v>
      </c>
      <c r="E275" s="25">
        <f t="shared" si="60"/>
        <v>0.9415047540305912</v>
      </c>
      <c r="F275" s="27">
        <v>4838</v>
      </c>
      <c r="G275" s="27">
        <f t="shared" si="62"/>
        <v>283</v>
      </c>
      <c r="H275" s="27">
        <v>4555</v>
      </c>
      <c r="I275" s="27">
        <v>3677</v>
      </c>
      <c r="J275" s="27">
        <f t="shared" si="61"/>
        <v>878</v>
      </c>
    </row>
    <row r="276" spans="1:10">
      <c r="A276" s="81">
        <v>2015</v>
      </c>
      <c r="B276" s="82" t="s">
        <v>44</v>
      </c>
      <c r="C276" s="25">
        <f t="shared" si="58"/>
        <v>0.80044301248489735</v>
      </c>
      <c r="D276" s="25">
        <f t="shared" si="59"/>
        <v>0.84664536741214058</v>
      </c>
      <c r="E276" s="25">
        <f t="shared" si="60"/>
        <v>0.94542891663310513</v>
      </c>
      <c r="F276" s="27">
        <v>4966</v>
      </c>
      <c r="G276" s="27">
        <f t="shared" si="62"/>
        <v>271</v>
      </c>
      <c r="H276" s="27">
        <v>4695</v>
      </c>
      <c r="I276" s="27">
        <v>3975</v>
      </c>
      <c r="J276" s="27">
        <f t="shared" si="61"/>
        <v>720</v>
      </c>
    </row>
    <row r="277" spans="1:10">
      <c r="A277" s="81">
        <v>2015</v>
      </c>
      <c r="B277" s="82" t="s">
        <v>45</v>
      </c>
      <c r="C277" s="25">
        <f t="shared" si="58"/>
        <v>0.85169756300770671</v>
      </c>
      <c r="D277" s="25">
        <f t="shared" si="59"/>
        <v>0.8590336134453781</v>
      </c>
      <c r="E277" s="25">
        <f t="shared" si="60"/>
        <v>0.9914601124765674</v>
      </c>
      <c r="F277" s="27">
        <v>4801</v>
      </c>
      <c r="G277" s="27">
        <f t="shared" si="62"/>
        <v>41</v>
      </c>
      <c r="H277" s="27">
        <v>4760</v>
      </c>
      <c r="I277" s="27">
        <v>4089</v>
      </c>
      <c r="J277" s="27">
        <f t="shared" si="61"/>
        <v>671</v>
      </c>
    </row>
    <row r="278" spans="1:10">
      <c r="A278" s="81">
        <v>2015</v>
      </c>
      <c r="B278" s="82" t="s">
        <v>46</v>
      </c>
      <c r="C278" s="25">
        <f t="shared" si="58"/>
        <v>0.81329243353783232</v>
      </c>
      <c r="D278" s="25">
        <f t="shared" si="59"/>
        <v>0.82923269391159304</v>
      </c>
      <c r="E278" s="25">
        <f t="shared" si="60"/>
        <v>0.98077709611451946</v>
      </c>
      <c r="F278" s="27">
        <v>4890</v>
      </c>
      <c r="G278" s="27">
        <f t="shared" si="62"/>
        <v>94</v>
      </c>
      <c r="H278" s="27">
        <v>4796</v>
      </c>
      <c r="I278" s="27">
        <v>3977</v>
      </c>
      <c r="J278" s="27">
        <f t="shared" si="61"/>
        <v>819</v>
      </c>
    </row>
    <row r="279" spans="1:10">
      <c r="A279" s="81">
        <v>2015</v>
      </c>
      <c r="B279" s="82" t="s">
        <v>47</v>
      </c>
      <c r="C279" s="25">
        <f t="shared" si="58"/>
        <v>0.78345895294357304</v>
      </c>
      <c r="D279" s="25">
        <f t="shared" si="59"/>
        <v>0.79528535980148884</v>
      </c>
      <c r="E279" s="25">
        <f t="shared" si="60"/>
        <v>0.98512935424730086</v>
      </c>
      <c r="F279" s="27">
        <v>4909</v>
      </c>
      <c r="G279" s="27">
        <f>F279-H279</f>
        <v>73</v>
      </c>
      <c r="H279" s="27">
        <v>4836</v>
      </c>
      <c r="I279" s="27">
        <v>3846</v>
      </c>
      <c r="J279" s="27">
        <f t="shared" si="61"/>
        <v>990</v>
      </c>
    </row>
    <row r="280" spans="1:10">
      <c r="A280" s="81">
        <v>2015</v>
      </c>
      <c r="B280" s="82" t="s">
        <v>48</v>
      </c>
      <c r="C280" s="25">
        <f t="shared" si="58"/>
        <v>0.84913331906698053</v>
      </c>
      <c r="D280" s="25">
        <f t="shared" si="59"/>
        <v>0.86260869565217391</v>
      </c>
      <c r="E280" s="25">
        <f t="shared" si="60"/>
        <v>0.98437834367643917</v>
      </c>
      <c r="F280" s="27">
        <v>4673</v>
      </c>
      <c r="G280" s="27">
        <f>F280-H280</f>
        <v>73</v>
      </c>
      <c r="H280" s="27">
        <v>4600</v>
      </c>
      <c r="I280" s="27">
        <v>3968</v>
      </c>
      <c r="J280" s="27">
        <f t="shared" si="61"/>
        <v>632</v>
      </c>
    </row>
    <row r="281" spans="1:10">
      <c r="A281" s="81">
        <v>2015</v>
      </c>
      <c r="B281" s="82" t="s">
        <v>49</v>
      </c>
      <c r="C281" s="25">
        <f t="shared" si="58"/>
        <v>0.86183340678713094</v>
      </c>
      <c r="D281" s="25">
        <f t="shared" si="59"/>
        <v>0.89210766423357668</v>
      </c>
      <c r="E281" s="25">
        <f t="shared" si="60"/>
        <v>0.96606434552666376</v>
      </c>
      <c r="F281" s="27">
        <v>4538</v>
      </c>
      <c r="G281" s="27">
        <f>F281-H281</f>
        <v>154</v>
      </c>
      <c r="H281" s="27">
        <v>4384</v>
      </c>
      <c r="I281" s="27">
        <v>3911</v>
      </c>
      <c r="J281" s="27">
        <f t="shared" si="61"/>
        <v>473</v>
      </c>
    </row>
    <row r="282" spans="1:10">
      <c r="A282" s="81">
        <v>2016</v>
      </c>
      <c r="B282" s="82" t="s">
        <v>38</v>
      </c>
      <c r="C282" s="25">
        <f t="shared" si="58"/>
        <v>0.7818467760053921</v>
      </c>
      <c r="D282" s="25">
        <f t="shared" si="59"/>
        <v>0.8262108262108262</v>
      </c>
      <c r="E282" s="25">
        <f t="shared" si="60"/>
        <v>0.94630420130307791</v>
      </c>
      <c r="F282" s="27">
        <v>4451</v>
      </c>
      <c r="G282" s="27">
        <f t="shared" ref="G282:G292" si="63">F282-H282</f>
        <v>239</v>
      </c>
      <c r="H282" s="27">
        <v>4212</v>
      </c>
      <c r="I282" s="27">
        <v>3480</v>
      </c>
      <c r="J282" s="27">
        <f t="shared" ref="J282:J293" si="64">H282-I282</f>
        <v>732</v>
      </c>
    </row>
    <row r="283" spans="1:10">
      <c r="A283" s="81">
        <v>2016</v>
      </c>
      <c r="B283" s="82" t="s">
        <v>39</v>
      </c>
      <c r="C283" s="25">
        <f t="shared" si="58"/>
        <v>0.81574539363484089</v>
      </c>
      <c r="D283" s="25">
        <f t="shared" si="59"/>
        <v>0.83288541412167116</v>
      </c>
      <c r="E283" s="25">
        <f t="shared" si="60"/>
        <v>0.97942091409428089</v>
      </c>
      <c r="F283" s="27">
        <v>4179</v>
      </c>
      <c r="G283" s="27">
        <f t="shared" si="63"/>
        <v>86</v>
      </c>
      <c r="H283" s="27">
        <v>4093</v>
      </c>
      <c r="I283" s="27">
        <v>3409</v>
      </c>
      <c r="J283" s="27">
        <f t="shared" si="64"/>
        <v>684</v>
      </c>
    </row>
    <row r="284" spans="1:10">
      <c r="A284" s="81">
        <v>2016</v>
      </c>
      <c r="B284" s="82" t="s">
        <v>40</v>
      </c>
      <c r="C284" s="25">
        <f t="shared" si="58"/>
        <v>0.84084826024294834</v>
      </c>
      <c r="D284" s="25">
        <f t="shared" si="59"/>
        <v>0.85047896709704285</v>
      </c>
      <c r="E284" s="25">
        <f t="shared" si="60"/>
        <v>0.98867613753345684</v>
      </c>
      <c r="F284" s="27">
        <v>4857</v>
      </c>
      <c r="G284" s="27">
        <f t="shared" si="63"/>
        <v>55</v>
      </c>
      <c r="H284" s="27">
        <v>4802</v>
      </c>
      <c r="I284" s="27">
        <v>4084</v>
      </c>
      <c r="J284" s="27">
        <f t="shared" si="64"/>
        <v>718</v>
      </c>
    </row>
    <row r="285" spans="1:10">
      <c r="A285" s="81">
        <v>2016</v>
      </c>
      <c r="B285" s="82" t="s">
        <v>41</v>
      </c>
      <c r="C285" s="25">
        <f t="shared" si="58"/>
        <v>0.77912570591926378</v>
      </c>
      <c r="D285" s="25">
        <f t="shared" si="59"/>
        <v>0.79305939961677663</v>
      </c>
      <c r="E285" s="25">
        <f t="shared" si="60"/>
        <v>0.98243045387994143</v>
      </c>
      <c r="F285" s="27">
        <v>4781</v>
      </c>
      <c r="G285" s="27">
        <f t="shared" si="63"/>
        <v>84</v>
      </c>
      <c r="H285" s="27">
        <v>4697</v>
      </c>
      <c r="I285" s="27">
        <v>3725</v>
      </c>
      <c r="J285" s="27">
        <f t="shared" si="64"/>
        <v>972</v>
      </c>
    </row>
    <row r="286" spans="1:10">
      <c r="A286" s="81">
        <v>2016</v>
      </c>
      <c r="B286" s="82" t="s">
        <v>42</v>
      </c>
      <c r="C286" s="25">
        <f t="shared" si="58"/>
        <v>0.86452542721844761</v>
      </c>
      <c r="D286" s="25">
        <f t="shared" si="59"/>
        <v>0.88811336717428091</v>
      </c>
      <c r="E286" s="25">
        <f t="shared" si="60"/>
        <v>0.97344039530574433</v>
      </c>
      <c r="F286" s="27">
        <v>4857</v>
      </c>
      <c r="G286" s="27">
        <f t="shared" si="63"/>
        <v>129</v>
      </c>
      <c r="H286" s="27">
        <v>4728</v>
      </c>
      <c r="I286" s="27">
        <v>4199</v>
      </c>
      <c r="J286" s="27">
        <f t="shared" si="64"/>
        <v>529</v>
      </c>
    </row>
    <row r="287" spans="1:10">
      <c r="A287" s="81">
        <v>2016</v>
      </c>
      <c r="B287" s="82" t="s">
        <v>43</v>
      </c>
      <c r="C287" s="25">
        <f t="shared" si="58"/>
        <v>0.86665239726027399</v>
      </c>
      <c r="D287" s="25">
        <f t="shared" si="59"/>
        <v>0.90037802979764292</v>
      </c>
      <c r="E287" s="25">
        <f t="shared" si="60"/>
        <v>0.96254280821917804</v>
      </c>
      <c r="F287" s="27">
        <v>4672</v>
      </c>
      <c r="G287" s="27">
        <f t="shared" si="63"/>
        <v>175</v>
      </c>
      <c r="H287" s="27">
        <v>4497</v>
      </c>
      <c r="I287" s="27">
        <v>4049</v>
      </c>
      <c r="J287" s="27">
        <f t="shared" si="64"/>
        <v>448</v>
      </c>
    </row>
    <row r="288" spans="1:10">
      <c r="A288" s="81">
        <v>2016</v>
      </c>
      <c r="B288" s="82" t="s">
        <v>44</v>
      </c>
      <c r="C288" s="25">
        <f t="shared" si="58"/>
        <v>0.85133712360496949</v>
      </c>
      <c r="D288" s="25">
        <f t="shared" si="59"/>
        <v>0.88275109170305677</v>
      </c>
      <c r="E288" s="25">
        <f t="shared" si="60"/>
        <v>0.96441356074963147</v>
      </c>
      <c r="F288" s="27">
        <v>4749</v>
      </c>
      <c r="G288" s="27">
        <f t="shared" si="63"/>
        <v>169</v>
      </c>
      <c r="H288" s="27">
        <v>4580</v>
      </c>
      <c r="I288" s="27">
        <v>4043</v>
      </c>
      <c r="J288" s="27">
        <f t="shared" si="64"/>
        <v>537</v>
      </c>
    </row>
    <row r="289" spans="1:10">
      <c r="A289" s="81">
        <v>2016</v>
      </c>
      <c r="B289" s="82" t="s">
        <v>45</v>
      </c>
      <c r="C289" s="25">
        <f t="shared" si="58"/>
        <v>0.86407571486105517</v>
      </c>
      <c r="D289" s="25">
        <f t="shared" si="59"/>
        <v>0.91570635936833122</v>
      </c>
      <c r="E289" s="25">
        <f t="shared" si="60"/>
        <v>0.94361659283125254</v>
      </c>
      <c r="F289" s="27">
        <v>4966</v>
      </c>
      <c r="G289" s="27">
        <f t="shared" si="63"/>
        <v>280</v>
      </c>
      <c r="H289" s="27">
        <v>4686</v>
      </c>
      <c r="I289" s="27">
        <v>4291</v>
      </c>
      <c r="J289" s="27">
        <f t="shared" si="64"/>
        <v>395</v>
      </c>
    </row>
    <row r="290" spans="1:10">
      <c r="A290" s="81">
        <v>2016</v>
      </c>
      <c r="B290" s="82" t="s">
        <v>46</v>
      </c>
      <c r="C290" s="25">
        <f t="shared" si="58"/>
        <v>0.84089979550102245</v>
      </c>
      <c r="D290" s="25">
        <f t="shared" si="59"/>
        <v>0.86115183246073301</v>
      </c>
      <c r="E290" s="25">
        <f t="shared" si="60"/>
        <v>0.97648261758691202</v>
      </c>
      <c r="F290" s="27">
        <v>4890</v>
      </c>
      <c r="G290" s="27">
        <f t="shared" si="63"/>
        <v>115</v>
      </c>
      <c r="H290" s="27">
        <v>4775</v>
      </c>
      <c r="I290" s="27">
        <v>4112</v>
      </c>
      <c r="J290" s="27">
        <f t="shared" si="64"/>
        <v>663</v>
      </c>
    </row>
    <row r="291" spans="1:10">
      <c r="A291" s="81">
        <v>2016</v>
      </c>
      <c r="B291" s="82" t="s">
        <v>47</v>
      </c>
      <c r="C291" s="25">
        <f t="shared" si="58"/>
        <v>0.84586544469902103</v>
      </c>
      <c r="D291" s="25">
        <f t="shared" si="59"/>
        <v>0.86736437419906021</v>
      </c>
      <c r="E291" s="25">
        <f t="shared" si="60"/>
        <v>0.97521349718808581</v>
      </c>
      <c r="F291" s="27">
        <v>4801</v>
      </c>
      <c r="G291" s="27">
        <f t="shared" si="63"/>
        <v>119</v>
      </c>
      <c r="H291" s="27">
        <v>4682</v>
      </c>
      <c r="I291" s="27">
        <v>4061</v>
      </c>
      <c r="J291" s="27">
        <f t="shared" si="64"/>
        <v>621</v>
      </c>
    </row>
    <row r="292" spans="1:10">
      <c r="A292" s="81">
        <v>2016</v>
      </c>
      <c r="B292" s="82" t="s">
        <v>48</v>
      </c>
      <c r="C292" s="25">
        <f t="shared" si="58"/>
        <v>0.86948337167956491</v>
      </c>
      <c r="D292" s="25">
        <f t="shared" si="59"/>
        <v>0.90448215839860746</v>
      </c>
      <c r="E292" s="25">
        <f t="shared" si="60"/>
        <v>0.96130516628320439</v>
      </c>
      <c r="F292" s="27">
        <v>4781</v>
      </c>
      <c r="G292" s="27">
        <f t="shared" si="63"/>
        <v>185</v>
      </c>
      <c r="H292" s="27">
        <v>4596</v>
      </c>
      <c r="I292" s="27">
        <v>4157</v>
      </c>
      <c r="J292" s="27">
        <f t="shared" si="64"/>
        <v>439</v>
      </c>
    </row>
    <row r="293" spans="1:10">
      <c r="A293" s="81">
        <v>2016</v>
      </c>
      <c r="B293" s="82" t="s">
        <v>49</v>
      </c>
      <c r="C293" s="25">
        <f t="shared" si="58"/>
        <v>0.85575469660980352</v>
      </c>
      <c r="D293" s="25">
        <f t="shared" si="59"/>
        <v>0.89317106152805947</v>
      </c>
      <c r="E293" s="25">
        <f t="shared" si="60"/>
        <v>0.95810839991362562</v>
      </c>
      <c r="F293" s="27">
        <v>4631</v>
      </c>
      <c r="G293" s="27">
        <f>F293-H293</f>
        <v>194</v>
      </c>
      <c r="H293" s="27">
        <v>4437</v>
      </c>
      <c r="I293" s="27">
        <v>3963</v>
      </c>
      <c r="J293" s="27">
        <f t="shared" si="64"/>
        <v>474</v>
      </c>
    </row>
    <row r="294" spans="1:10">
      <c r="A294" s="81">
        <v>2017</v>
      </c>
      <c r="B294" s="82" t="s">
        <v>38</v>
      </c>
      <c r="C294" s="25">
        <f t="shared" si="58"/>
        <v>0.9254671881790526</v>
      </c>
      <c r="D294" s="25">
        <f t="shared" si="59"/>
        <v>0.94749721913236928</v>
      </c>
      <c r="E294" s="25">
        <f t="shared" si="60"/>
        <v>0.97674923946110381</v>
      </c>
      <c r="F294" s="27">
        <v>4602</v>
      </c>
      <c r="G294" s="27">
        <f t="shared" ref="G294:G304" si="65">F294-H294</f>
        <v>107</v>
      </c>
      <c r="H294" s="27">
        <v>4495</v>
      </c>
      <c r="I294" s="27">
        <v>4259</v>
      </c>
      <c r="J294" s="27">
        <f t="shared" ref="J294:J305" si="66">H294-I294</f>
        <v>236</v>
      </c>
    </row>
    <row r="295" spans="1:10">
      <c r="A295" s="81">
        <v>2017</v>
      </c>
      <c r="B295" s="82" t="s">
        <v>39</v>
      </c>
      <c r="C295" s="25">
        <f t="shared" si="58"/>
        <v>0.914121181772659</v>
      </c>
      <c r="D295" s="25">
        <f t="shared" si="59"/>
        <v>0.92995415180845642</v>
      </c>
      <c r="E295" s="25">
        <f t="shared" si="60"/>
        <v>0.98297446169253877</v>
      </c>
      <c r="F295" s="27">
        <v>3994</v>
      </c>
      <c r="G295" s="27">
        <f t="shared" si="65"/>
        <v>68</v>
      </c>
      <c r="H295" s="27">
        <v>3926</v>
      </c>
      <c r="I295" s="27">
        <v>3651</v>
      </c>
      <c r="J295" s="27">
        <f t="shared" si="66"/>
        <v>275</v>
      </c>
    </row>
    <row r="296" spans="1:10">
      <c r="A296" s="81">
        <v>2017</v>
      </c>
      <c r="B296" s="82" t="s">
        <v>40</v>
      </c>
      <c r="C296" s="25">
        <f t="shared" si="58"/>
        <v>0.89790575916230364</v>
      </c>
      <c r="D296" s="25">
        <f t="shared" si="59"/>
        <v>0.9174897119341564</v>
      </c>
      <c r="E296" s="25">
        <f t="shared" si="60"/>
        <v>0.97865485300040278</v>
      </c>
      <c r="F296" s="27">
        <v>4966</v>
      </c>
      <c r="G296" s="27">
        <f t="shared" si="65"/>
        <v>106</v>
      </c>
      <c r="H296" s="27">
        <v>4860</v>
      </c>
      <c r="I296" s="27">
        <v>4459</v>
      </c>
      <c r="J296" s="27">
        <f t="shared" si="66"/>
        <v>401</v>
      </c>
    </row>
    <row r="297" spans="1:10">
      <c r="A297" s="81">
        <v>2017</v>
      </c>
      <c r="B297" s="82" t="s">
        <v>41</v>
      </c>
      <c r="C297" s="25">
        <f t="shared" si="58"/>
        <v>0.85695480473892061</v>
      </c>
      <c r="D297" s="25">
        <f t="shared" si="59"/>
        <v>0.90605427974947805</v>
      </c>
      <c r="E297" s="25">
        <f t="shared" si="60"/>
        <v>0.94580956559894691</v>
      </c>
      <c r="F297" s="27">
        <v>4558</v>
      </c>
      <c r="G297" s="27">
        <f t="shared" si="65"/>
        <v>247</v>
      </c>
      <c r="H297" s="27">
        <v>4311</v>
      </c>
      <c r="I297" s="27">
        <v>3906</v>
      </c>
      <c r="J297" s="27">
        <f t="shared" si="66"/>
        <v>405</v>
      </c>
    </row>
    <row r="298" spans="1:10">
      <c r="A298" s="81">
        <v>2017</v>
      </c>
      <c r="B298" s="82" t="s">
        <v>42</v>
      </c>
      <c r="C298" s="25">
        <f t="shared" si="58"/>
        <v>0.89149680872966852</v>
      </c>
      <c r="D298" s="25">
        <f t="shared" si="59"/>
        <v>0.91234723978086807</v>
      </c>
      <c r="E298" s="25">
        <f t="shared" si="60"/>
        <v>0.97714638665843112</v>
      </c>
      <c r="F298" s="27">
        <v>4857</v>
      </c>
      <c r="G298" s="27">
        <f t="shared" si="65"/>
        <v>111</v>
      </c>
      <c r="H298" s="27">
        <v>4746</v>
      </c>
      <c r="I298" s="27">
        <v>4330</v>
      </c>
      <c r="J298" s="27">
        <f t="shared" si="66"/>
        <v>416</v>
      </c>
    </row>
    <row r="299" spans="1:10">
      <c r="A299" s="81">
        <v>2017</v>
      </c>
      <c r="B299" s="82" t="s">
        <v>43</v>
      </c>
      <c r="C299" s="25">
        <f t="shared" si="58"/>
        <v>0.92894903785155425</v>
      </c>
      <c r="D299" s="25">
        <f t="shared" si="59"/>
        <v>0.9425016090967604</v>
      </c>
      <c r="E299" s="25">
        <f t="shared" si="60"/>
        <v>0.98562063861281457</v>
      </c>
      <c r="F299" s="27">
        <v>4729</v>
      </c>
      <c r="G299" s="27">
        <f t="shared" si="65"/>
        <v>68</v>
      </c>
      <c r="H299" s="27">
        <v>4661</v>
      </c>
      <c r="I299" s="27">
        <v>4393</v>
      </c>
      <c r="J299" s="27">
        <f t="shared" si="66"/>
        <v>268</v>
      </c>
    </row>
    <row r="300" spans="1:10">
      <c r="A300" s="81">
        <v>2017</v>
      </c>
      <c r="B300" s="82" t="s">
        <v>44</v>
      </c>
      <c r="C300" s="25">
        <f t="shared" si="58"/>
        <v>0.9282949684253412</v>
      </c>
      <c r="D300" s="25">
        <f t="shared" si="59"/>
        <v>0.94937499999999997</v>
      </c>
      <c r="E300" s="25">
        <f t="shared" si="60"/>
        <v>0.97779588510898352</v>
      </c>
      <c r="F300" s="27">
        <v>4909</v>
      </c>
      <c r="G300" s="27">
        <f t="shared" si="65"/>
        <v>109</v>
      </c>
      <c r="H300" s="27">
        <v>4800</v>
      </c>
      <c r="I300" s="27">
        <v>4557</v>
      </c>
      <c r="J300" s="27">
        <f t="shared" si="66"/>
        <v>243</v>
      </c>
    </row>
    <row r="301" spans="1:10">
      <c r="A301" s="81">
        <v>2017</v>
      </c>
      <c r="B301" s="82" t="s">
        <v>45</v>
      </c>
      <c r="C301" s="25">
        <f t="shared" si="58"/>
        <v>0.91784132098268223</v>
      </c>
      <c r="D301" s="25">
        <f t="shared" si="59"/>
        <v>0.92473118279569888</v>
      </c>
      <c r="E301" s="25">
        <f t="shared" si="60"/>
        <v>0.99254933548127267</v>
      </c>
      <c r="F301" s="27">
        <v>4966</v>
      </c>
      <c r="G301" s="27">
        <f t="shared" si="65"/>
        <v>37</v>
      </c>
      <c r="H301" s="27">
        <v>4929</v>
      </c>
      <c r="I301" s="27">
        <v>4558</v>
      </c>
      <c r="J301" s="27">
        <f t="shared" si="66"/>
        <v>371</v>
      </c>
    </row>
    <row r="302" spans="1:10">
      <c r="A302" s="81">
        <v>2017</v>
      </c>
      <c r="B302" s="82" t="s">
        <v>46</v>
      </c>
      <c r="C302" s="25">
        <f t="shared" si="58"/>
        <v>0.89613076763914756</v>
      </c>
      <c r="D302" s="25">
        <f t="shared" si="59"/>
        <v>0.90587743149968625</v>
      </c>
      <c r="E302" s="25">
        <f t="shared" si="60"/>
        <v>0.98924063728533007</v>
      </c>
      <c r="F302" s="27">
        <v>4833</v>
      </c>
      <c r="G302" s="27">
        <f t="shared" si="65"/>
        <v>52</v>
      </c>
      <c r="H302" s="27">
        <v>4781</v>
      </c>
      <c r="I302" s="27">
        <v>4331</v>
      </c>
      <c r="J302" s="27">
        <f t="shared" si="66"/>
        <v>450</v>
      </c>
    </row>
    <row r="303" spans="1:10">
      <c r="A303" s="81">
        <v>2017</v>
      </c>
      <c r="B303" s="82" t="s">
        <v>47</v>
      </c>
      <c r="C303" s="25">
        <f t="shared" si="58"/>
        <v>0.88019761218608483</v>
      </c>
      <c r="D303" s="25">
        <f t="shared" si="59"/>
        <v>0.88916614680806816</v>
      </c>
      <c r="E303" s="25">
        <f t="shared" si="60"/>
        <v>0.98991354466858794</v>
      </c>
      <c r="F303" s="27">
        <v>4858</v>
      </c>
      <c r="G303" s="27">
        <f t="shared" si="65"/>
        <v>49</v>
      </c>
      <c r="H303" s="27">
        <v>4809</v>
      </c>
      <c r="I303" s="27">
        <v>4276</v>
      </c>
      <c r="J303" s="27">
        <f t="shared" si="66"/>
        <v>533</v>
      </c>
    </row>
    <row r="304" spans="1:10">
      <c r="A304" s="81">
        <v>2017</v>
      </c>
      <c r="B304" s="82" t="s">
        <v>48</v>
      </c>
      <c r="C304" s="25">
        <f t="shared" si="58"/>
        <v>0.80108763856933696</v>
      </c>
      <c r="D304" s="25">
        <f t="shared" si="59"/>
        <v>0.80955400549566692</v>
      </c>
      <c r="E304" s="25">
        <f t="shared" si="60"/>
        <v>0.9895419368332985</v>
      </c>
      <c r="F304" s="27">
        <v>4781</v>
      </c>
      <c r="G304" s="27">
        <f t="shared" si="65"/>
        <v>50</v>
      </c>
      <c r="H304" s="27">
        <v>4731</v>
      </c>
      <c r="I304" s="27">
        <v>3830</v>
      </c>
      <c r="J304" s="27">
        <f t="shared" si="66"/>
        <v>901</v>
      </c>
    </row>
    <row r="305" spans="1:10">
      <c r="A305" s="81">
        <v>2017</v>
      </c>
      <c r="B305" s="82" t="s">
        <v>49</v>
      </c>
      <c r="C305" s="25">
        <f t="shared" si="58"/>
        <v>0.85412075804319088</v>
      </c>
      <c r="D305" s="25">
        <f t="shared" si="59"/>
        <v>0.87831407205982326</v>
      </c>
      <c r="E305" s="25">
        <f t="shared" si="60"/>
        <v>0.97245482591449983</v>
      </c>
      <c r="F305" s="27">
        <v>4538</v>
      </c>
      <c r="G305" s="27">
        <f>F305-H305</f>
        <v>125</v>
      </c>
      <c r="H305" s="27">
        <v>4413</v>
      </c>
      <c r="I305" s="27">
        <v>3876</v>
      </c>
      <c r="J305" s="27">
        <f t="shared" si="66"/>
        <v>537</v>
      </c>
    </row>
    <row r="306" spans="1:10">
      <c r="A306" s="81">
        <v>2018</v>
      </c>
      <c r="B306" s="82" t="s">
        <v>38</v>
      </c>
      <c r="C306" s="25">
        <f t="shared" si="58"/>
        <v>0.92981312472837896</v>
      </c>
      <c r="D306" s="25">
        <f t="shared" si="59"/>
        <v>0.94251101321585906</v>
      </c>
      <c r="E306" s="25">
        <f t="shared" si="60"/>
        <v>0.98652759669708823</v>
      </c>
      <c r="F306" s="27">
        <v>4602</v>
      </c>
      <c r="G306" s="27">
        <f t="shared" ref="G306" si="67">F306-H306</f>
        <v>62</v>
      </c>
      <c r="H306" s="27">
        <v>4540</v>
      </c>
      <c r="I306" s="27">
        <v>4279</v>
      </c>
      <c r="J306" s="27">
        <f t="shared" ref="J306:J317" si="68">H306-I306</f>
        <v>261</v>
      </c>
    </row>
    <row r="307" spans="1:10">
      <c r="A307" s="81">
        <v>2018</v>
      </c>
      <c r="B307" s="82" t="s">
        <v>39</v>
      </c>
      <c r="C307" s="25">
        <f t="shared" si="58"/>
        <v>0.91451932606541131</v>
      </c>
      <c r="D307" s="25">
        <f t="shared" si="59"/>
        <v>0.92067847343477172</v>
      </c>
      <c r="E307" s="25">
        <f t="shared" si="60"/>
        <v>0.99331020812685833</v>
      </c>
      <c r="F307" s="27">
        <v>4036</v>
      </c>
      <c r="G307" s="27">
        <f t="shared" ref="G307:G314" si="69">+F307-H307</f>
        <v>27</v>
      </c>
      <c r="H307" s="27">
        <v>4009</v>
      </c>
      <c r="I307" s="27">
        <v>3691</v>
      </c>
      <c r="J307" s="27">
        <f t="shared" si="68"/>
        <v>318</v>
      </c>
    </row>
    <row r="308" spans="1:10">
      <c r="A308" s="81">
        <v>2018</v>
      </c>
      <c r="B308" s="82" t="s">
        <v>40</v>
      </c>
      <c r="C308" s="25">
        <f t="shared" si="58"/>
        <v>0.89583333333333337</v>
      </c>
      <c r="D308" s="25">
        <f t="shared" si="59"/>
        <v>0.90507261629130709</v>
      </c>
      <c r="E308" s="25">
        <f t="shared" si="60"/>
        <v>0.98979166666666663</v>
      </c>
      <c r="F308" s="27">
        <v>4800</v>
      </c>
      <c r="G308" s="27">
        <f t="shared" si="69"/>
        <v>49</v>
      </c>
      <c r="H308" s="27">
        <v>4751</v>
      </c>
      <c r="I308" s="27">
        <v>4300</v>
      </c>
      <c r="J308" s="27">
        <f t="shared" si="68"/>
        <v>451</v>
      </c>
    </row>
    <row r="309" spans="1:10">
      <c r="A309" s="81">
        <v>2018</v>
      </c>
      <c r="B309" s="82" t="s">
        <v>41</v>
      </c>
      <c r="C309" s="25">
        <f t="shared" si="58"/>
        <v>0.85376949740034658</v>
      </c>
      <c r="D309" s="25">
        <f t="shared" si="59"/>
        <v>0.87228862328463919</v>
      </c>
      <c r="E309" s="25">
        <f t="shared" si="60"/>
        <v>0.97876949740034658</v>
      </c>
      <c r="F309" s="27">
        <v>4616</v>
      </c>
      <c r="G309" s="27">
        <f t="shared" si="69"/>
        <v>98</v>
      </c>
      <c r="H309" s="27">
        <v>4518</v>
      </c>
      <c r="I309" s="27">
        <v>3941</v>
      </c>
      <c r="J309" s="27">
        <f t="shared" si="68"/>
        <v>577</v>
      </c>
    </row>
    <row r="310" spans="1:10">
      <c r="A310" s="81">
        <v>2018</v>
      </c>
      <c r="B310" s="82" t="s">
        <v>42</v>
      </c>
      <c r="C310" s="25">
        <f t="shared" si="58"/>
        <v>0.80317068149063209</v>
      </c>
      <c r="D310" s="25">
        <f t="shared" si="59"/>
        <v>0.84055160525748762</v>
      </c>
      <c r="E310" s="25">
        <f t="shared" si="60"/>
        <v>0.95552810376775787</v>
      </c>
      <c r="F310" s="27">
        <v>4857</v>
      </c>
      <c r="G310" s="27">
        <f t="shared" si="69"/>
        <v>216</v>
      </c>
      <c r="H310" s="27">
        <v>4641</v>
      </c>
      <c r="I310" s="27">
        <v>3901</v>
      </c>
      <c r="J310" s="27">
        <f t="shared" si="68"/>
        <v>740</v>
      </c>
    </row>
    <row r="311" spans="1:10">
      <c r="A311" s="81">
        <v>2018</v>
      </c>
      <c r="B311" s="82" t="s">
        <v>43</v>
      </c>
      <c r="C311" s="25">
        <f t="shared" si="58"/>
        <v>0.73851365657421131</v>
      </c>
      <c r="D311" s="25">
        <f t="shared" si="59"/>
        <v>0.78399640368622159</v>
      </c>
      <c r="E311" s="25">
        <f t="shared" si="60"/>
        <v>0.94198602583103963</v>
      </c>
      <c r="F311" s="27">
        <v>4723</v>
      </c>
      <c r="G311" s="27">
        <f t="shared" si="69"/>
        <v>274</v>
      </c>
      <c r="H311" s="27">
        <v>4449</v>
      </c>
      <c r="I311" s="27">
        <v>3488</v>
      </c>
      <c r="J311" s="27">
        <f t="shared" si="68"/>
        <v>961</v>
      </c>
    </row>
    <row r="312" spans="1:10">
      <c r="A312" s="81">
        <v>2018</v>
      </c>
      <c r="B312" s="82" t="s">
        <v>44</v>
      </c>
      <c r="C312" s="25">
        <f t="shared" si="58"/>
        <v>0.8670234664470976</v>
      </c>
      <c r="D312" s="25">
        <f t="shared" si="59"/>
        <v>0.88338926174496646</v>
      </c>
      <c r="E312" s="25">
        <f t="shared" si="60"/>
        <v>0.98147385755454919</v>
      </c>
      <c r="F312" s="27">
        <v>4858</v>
      </c>
      <c r="G312" s="27">
        <f t="shared" si="69"/>
        <v>90</v>
      </c>
      <c r="H312" s="27">
        <v>4768</v>
      </c>
      <c r="I312" s="27">
        <v>4212</v>
      </c>
      <c r="J312" s="27">
        <f t="shared" si="68"/>
        <v>556</v>
      </c>
    </row>
    <row r="313" spans="1:10">
      <c r="A313" s="81">
        <v>2018</v>
      </c>
      <c r="B313" s="82" t="s">
        <v>45</v>
      </c>
      <c r="C313" s="25">
        <f t="shared" si="58"/>
        <v>0.84877164720096654</v>
      </c>
      <c r="D313" s="25">
        <f t="shared" si="59"/>
        <v>0.85531655844155841</v>
      </c>
      <c r="E313" s="25">
        <f t="shared" si="60"/>
        <v>0.99234796616995569</v>
      </c>
      <c r="F313" s="27">
        <v>4966</v>
      </c>
      <c r="G313" s="27">
        <f t="shared" si="69"/>
        <v>38</v>
      </c>
      <c r="H313" s="27">
        <v>4928</v>
      </c>
      <c r="I313" s="27">
        <v>4215</v>
      </c>
      <c r="J313" s="27">
        <f t="shared" si="68"/>
        <v>713</v>
      </c>
    </row>
    <row r="314" spans="1:10">
      <c r="A314" s="81">
        <v>2018</v>
      </c>
      <c r="B314" s="82" t="s">
        <v>46</v>
      </c>
      <c r="C314" s="25">
        <f t="shared" si="58"/>
        <v>0.79746031746031742</v>
      </c>
      <c r="D314" s="25">
        <f t="shared" si="59"/>
        <v>0.83547671840354765</v>
      </c>
      <c r="E314" s="25">
        <f t="shared" si="60"/>
        <v>0.95449735449735451</v>
      </c>
      <c r="F314" s="27">
        <v>4725</v>
      </c>
      <c r="G314" s="27">
        <f t="shared" si="69"/>
        <v>215</v>
      </c>
      <c r="H314" s="27">
        <v>4510</v>
      </c>
      <c r="I314" s="27">
        <v>3768</v>
      </c>
      <c r="J314" s="27">
        <f t="shared" si="68"/>
        <v>742</v>
      </c>
    </row>
    <row r="315" spans="1:10">
      <c r="A315" s="81">
        <v>2018</v>
      </c>
      <c r="B315" s="82" t="s">
        <v>47</v>
      </c>
      <c r="C315" s="25">
        <f t="shared" si="58"/>
        <v>0.81071284736206206</v>
      </c>
      <c r="D315" s="25">
        <f t="shared" si="59"/>
        <v>0.84704397222806649</v>
      </c>
      <c r="E315" s="25">
        <f t="shared" si="60"/>
        <v>0.95710833668948847</v>
      </c>
      <c r="F315" s="27">
        <v>4966</v>
      </c>
      <c r="G315" s="27">
        <f t="shared" ref="G315:G317" si="70">F315-H315</f>
        <v>213</v>
      </c>
      <c r="H315" s="27">
        <v>4753</v>
      </c>
      <c r="I315" s="27">
        <v>4026</v>
      </c>
      <c r="J315" s="27">
        <f t="shared" si="68"/>
        <v>727</v>
      </c>
    </row>
    <row r="316" spans="1:10">
      <c r="A316" s="81">
        <v>2018</v>
      </c>
      <c r="B316" s="82" t="s">
        <v>48</v>
      </c>
      <c r="C316" s="25">
        <f t="shared" si="58"/>
        <v>0.77640660949592133</v>
      </c>
      <c r="D316" s="25">
        <f t="shared" si="59"/>
        <v>0.82838652086587816</v>
      </c>
      <c r="E316" s="25">
        <f t="shared" si="60"/>
        <v>0.93725162099979087</v>
      </c>
      <c r="F316" s="27">
        <v>4781</v>
      </c>
      <c r="G316" s="27">
        <f t="shared" si="70"/>
        <v>300</v>
      </c>
      <c r="H316" s="27">
        <v>4481</v>
      </c>
      <c r="I316" s="27">
        <v>3712</v>
      </c>
      <c r="J316" s="27">
        <f t="shared" si="68"/>
        <v>769</v>
      </c>
    </row>
    <row r="317" spans="1:10">
      <c r="A317" s="81">
        <v>2018</v>
      </c>
      <c r="B317" s="82" t="s">
        <v>49</v>
      </c>
      <c r="C317" s="25">
        <f t="shared" si="58"/>
        <v>0.82092772384034518</v>
      </c>
      <c r="D317" s="25">
        <f t="shared" si="59"/>
        <v>0.86694007746639323</v>
      </c>
      <c r="E317" s="25">
        <f t="shared" si="60"/>
        <v>0.94692556634304204</v>
      </c>
      <c r="F317" s="27">
        <v>4635</v>
      </c>
      <c r="G317" s="27">
        <f t="shared" si="70"/>
        <v>246</v>
      </c>
      <c r="H317" s="27">
        <v>4389</v>
      </c>
      <c r="I317" s="27">
        <v>3805</v>
      </c>
      <c r="J317" s="27">
        <f t="shared" si="68"/>
        <v>584</v>
      </c>
    </row>
    <row r="318" spans="1:10">
      <c r="A318" s="81">
        <v>2019</v>
      </c>
      <c r="B318" s="82" t="s">
        <v>38</v>
      </c>
      <c r="C318" s="25">
        <f t="shared" si="58"/>
        <v>0.91945227547321784</v>
      </c>
      <c r="D318" s="25">
        <f t="shared" si="59"/>
        <v>0.93815492089582908</v>
      </c>
      <c r="E318" s="25">
        <f t="shared" si="60"/>
        <v>0.98006443817962141</v>
      </c>
      <c r="F318" s="27">
        <v>4966</v>
      </c>
      <c r="G318" s="27">
        <f t="shared" ref="G318" si="71">F318-H318</f>
        <v>99</v>
      </c>
      <c r="H318" s="27">
        <v>4867</v>
      </c>
      <c r="I318" s="27">
        <v>4566</v>
      </c>
      <c r="J318" s="27">
        <f t="shared" ref="J318:J334" si="72">H318-I318</f>
        <v>301</v>
      </c>
    </row>
    <row r="319" spans="1:10">
      <c r="A319" s="81">
        <v>2019</v>
      </c>
      <c r="B319" s="82" t="s">
        <v>39</v>
      </c>
      <c r="C319" s="25">
        <f t="shared" si="58"/>
        <v>0.90309734513274331</v>
      </c>
      <c r="D319" s="25">
        <f t="shared" si="59"/>
        <v>0.91504147052230445</v>
      </c>
      <c r="E319" s="25">
        <f t="shared" si="60"/>
        <v>0.98694690265486729</v>
      </c>
      <c r="F319" s="27">
        <v>4520</v>
      </c>
      <c r="G319" s="27">
        <f t="shared" ref="G319:G329" si="73">+F319-H319</f>
        <v>59</v>
      </c>
      <c r="H319" s="27">
        <v>4461</v>
      </c>
      <c r="I319" s="27">
        <v>4082</v>
      </c>
      <c r="J319" s="27">
        <f t="shared" si="72"/>
        <v>379</v>
      </c>
    </row>
    <row r="320" spans="1:10">
      <c r="A320" s="81">
        <v>2019</v>
      </c>
      <c r="B320" s="82" t="s">
        <v>40</v>
      </c>
      <c r="C320" s="25">
        <f t="shared" si="58"/>
        <v>0.84694095075676823</v>
      </c>
      <c r="D320" s="25">
        <f t="shared" si="59"/>
        <v>0.86765669360122299</v>
      </c>
      <c r="E320" s="25">
        <f t="shared" si="60"/>
        <v>0.97612449371136223</v>
      </c>
      <c r="F320" s="27">
        <v>4691</v>
      </c>
      <c r="G320" s="27">
        <f t="shared" si="73"/>
        <v>112</v>
      </c>
      <c r="H320" s="27">
        <v>4579</v>
      </c>
      <c r="I320" s="27">
        <v>3973</v>
      </c>
      <c r="J320" s="27">
        <f t="shared" si="72"/>
        <v>606</v>
      </c>
    </row>
    <row r="321" spans="1:11">
      <c r="A321" s="81">
        <v>2019</v>
      </c>
      <c r="B321" s="82" t="s">
        <v>41</v>
      </c>
      <c r="C321" s="25">
        <f t="shared" si="58"/>
        <v>0.82426868905742146</v>
      </c>
      <c r="D321" s="25">
        <f t="shared" si="59"/>
        <v>0.83751651254953763</v>
      </c>
      <c r="E321" s="25">
        <f t="shared" si="60"/>
        <v>0.98418201516793069</v>
      </c>
      <c r="F321" s="27">
        <v>4615</v>
      </c>
      <c r="G321" s="27">
        <f t="shared" si="73"/>
        <v>73</v>
      </c>
      <c r="H321" s="27">
        <v>4542</v>
      </c>
      <c r="I321" s="27">
        <v>3804</v>
      </c>
      <c r="J321" s="27">
        <f t="shared" si="72"/>
        <v>738</v>
      </c>
    </row>
    <row r="322" spans="1:11">
      <c r="A322" s="81">
        <v>2019</v>
      </c>
      <c r="B322" s="82" t="s">
        <v>42</v>
      </c>
      <c r="C322" s="25">
        <f t="shared" si="58"/>
        <v>0.74501424501424507</v>
      </c>
      <c r="D322" s="25">
        <f t="shared" si="59"/>
        <v>0.79604261796042619</v>
      </c>
      <c r="E322" s="25">
        <f t="shared" si="60"/>
        <v>0.9358974358974359</v>
      </c>
      <c r="F322" s="27">
        <v>4914</v>
      </c>
      <c r="G322" s="27">
        <f t="shared" si="73"/>
        <v>315</v>
      </c>
      <c r="H322" s="27">
        <v>4599</v>
      </c>
      <c r="I322" s="27">
        <v>3661</v>
      </c>
      <c r="J322" s="27">
        <f t="shared" si="72"/>
        <v>938</v>
      </c>
    </row>
    <row r="323" spans="1:11">
      <c r="A323" s="81">
        <v>2019</v>
      </c>
      <c r="B323" s="82" t="s">
        <v>43</v>
      </c>
      <c r="C323" s="25">
        <f t="shared" si="58"/>
        <v>0.79321056134901269</v>
      </c>
      <c r="D323" s="25">
        <f t="shared" si="59"/>
        <v>0.81213084961381188</v>
      </c>
      <c r="E323" s="25">
        <f t="shared" si="60"/>
        <v>0.97670290658974923</v>
      </c>
      <c r="F323" s="27">
        <v>4507</v>
      </c>
      <c r="G323" s="27">
        <f t="shared" si="73"/>
        <v>105</v>
      </c>
      <c r="H323" s="27">
        <v>4402</v>
      </c>
      <c r="I323" s="27">
        <v>3575</v>
      </c>
      <c r="J323" s="27">
        <f t="shared" si="72"/>
        <v>827</v>
      </c>
    </row>
    <row r="324" spans="1:11">
      <c r="A324" s="81">
        <v>2019</v>
      </c>
      <c r="B324" s="82" t="s">
        <v>44</v>
      </c>
      <c r="C324" s="25">
        <f t="shared" si="58"/>
        <v>0.85740476675493993</v>
      </c>
      <c r="D324" s="25">
        <f t="shared" si="59"/>
        <v>0.86604938271604937</v>
      </c>
      <c r="E324" s="25">
        <f t="shared" si="60"/>
        <v>0.99001833367284575</v>
      </c>
      <c r="F324" s="27">
        <v>4909</v>
      </c>
      <c r="G324" s="27">
        <f t="shared" si="73"/>
        <v>49</v>
      </c>
      <c r="H324" s="27">
        <v>4860</v>
      </c>
      <c r="I324" s="27">
        <v>4209</v>
      </c>
      <c r="J324" s="27">
        <f t="shared" si="72"/>
        <v>651</v>
      </c>
    </row>
    <row r="325" spans="1:11">
      <c r="A325" s="81">
        <v>2019</v>
      </c>
      <c r="B325" s="82" t="s">
        <v>45</v>
      </c>
      <c r="C325" s="25">
        <f t="shared" si="58"/>
        <v>0.87003463027093098</v>
      </c>
      <c r="D325" s="25">
        <f t="shared" si="59"/>
        <v>0.8916492693110647</v>
      </c>
      <c r="E325" s="25">
        <f t="shared" si="60"/>
        <v>0.97575881034833978</v>
      </c>
      <c r="F325" s="27">
        <v>4909</v>
      </c>
      <c r="G325" s="27">
        <f t="shared" si="73"/>
        <v>119</v>
      </c>
      <c r="H325" s="27">
        <v>4790</v>
      </c>
      <c r="I325" s="27">
        <v>4271</v>
      </c>
      <c r="J325" s="27">
        <f t="shared" si="72"/>
        <v>519</v>
      </c>
    </row>
    <row r="326" spans="1:11">
      <c r="A326" s="81">
        <v>2019</v>
      </c>
      <c r="B326" s="82" t="s">
        <v>46</v>
      </c>
      <c r="C326" s="25">
        <f t="shared" ref="C326:C334" si="74">I326/F326</f>
        <v>0.91718946047678795</v>
      </c>
      <c r="D326" s="25">
        <f t="shared" ref="D326:D334" si="75">I326/H326</f>
        <v>0.92648922686945501</v>
      </c>
      <c r="E326" s="25">
        <f t="shared" ref="E326:E334" si="76">H326/F326</f>
        <v>0.9899623588456713</v>
      </c>
      <c r="F326" s="27">
        <v>4782</v>
      </c>
      <c r="G326" s="27">
        <f t="shared" si="73"/>
        <v>48</v>
      </c>
      <c r="H326" s="27">
        <v>4734</v>
      </c>
      <c r="I326" s="27">
        <v>4386</v>
      </c>
      <c r="J326" s="27">
        <f t="shared" si="72"/>
        <v>348</v>
      </c>
    </row>
    <row r="327" spans="1:11">
      <c r="A327" s="81">
        <v>2019</v>
      </c>
      <c r="B327" s="82" t="s">
        <v>47</v>
      </c>
      <c r="C327" s="25">
        <f t="shared" si="74"/>
        <v>0.85521546516310909</v>
      </c>
      <c r="D327" s="25">
        <f t="shared" si="75"/>
        <v>0.9111778588285776</v>
      </c>
      <c r="E327" s="25">
        <f t="shared" si="76"/>
        <v>0.93858236004832862</v>
      </c>
      <c r="F327" s="27">
        <v>4966</v>
      </c>
      <c r="G327" s="27">
        <f t="shared" si="73"/>
        <v>305</v>
      </c>
      <c r="H327" s="27">
        <v>4661</v>
      </c>
      <c r="I327" s="27">
        <v>4247</v>
      </c>
      <c r="J327" s="27">
        <f t="shared" si="72"/>
        <v>414</v>
      </c>
    </row>
    <row r="328" spans="1:11">
      <c r="A328" s="81">
        <v>2019</v>
      </c>
      <c r="B328" s="82" t="s">
        <v>48</v>
      </c>
      <c r="C328" s="25">
        <f t="shared" si="74"/>
        <v>0.78302286198137172</v>
      </c>
      <c r="D328" s="25">
        <f t="shared" si="75"/>
        <v>0.90043816942551125</v>
      </c>
      <c r="E328" s="25">
        <f t="shared" si="76"/>
        <v>0.86960203217612198</v>
      </c>
      <c r="F328" s="27">
        <v>4724</v>
      </c>
      <c r="G328" s="27">
        <f t="shared" si="73"/>
        <v>616</v>
      </c>
      <c r="H328" s="27">
        <v>4108</v>
      </c>
      <c r="I328" s="27">
        <v>3699</v>
      </c>
      <c r="J328" s="27">
        <f t="shared" si="72"/>
        <v>409</v>
      </c>
    </row>
    <row r="329" spans="1:11">
      <c r="A329" s="81">
        <v>2019</v>
      </c>
      <c r="B329" s="82" t="s">
        <v>49</v>
      </c>
      <c r="C329" s="25">
        <f t="shared" si="74"/>
        <v>0.84081804764916723</v>
      </c>
      <c r="D329" s="25">
        <f t="shared" si="75"/>
        <v>0.9167816091954023</v>
      </c>
      <c r="E329" s="25">
        <f t="shared" si="76"/>
        <v>0.91714104996837442</v>
      </c>
      <c r="F329" s="27">
        <v>4743</v>
      </c>
      <c r="G329" s="27">
        <f t="shared" si="73"/>
        <v>393</v>
      </c>
      <c r="H329" s="27">
        <v>4350</v>
      </c>
      <c r="I329" s="27">
        <v>3988</v>
      </c>
      <c r="J329" s="27">
        <f t="shared" si="72"/>
        <v>362</v>
      </c>
    </row>
    <row r="330" spans="1:11">
      <c r="A330" s="83">
        <v>2020</v>
      </c>
      <c r="B330" s="84" t="s">
        <v>38</v>
      </c>
      <c r="C330" s="25">
        <f t="shared" si="74"/>
        <v>0.94703987112364074</v>
      </c>
      <c r="D330" s="25">
        <f t="shared" si="75"/>
        <v>0.95376191441898195</v>
      </c>
      <c r="E330" s="25">
        <f t="shared" si="76"/>
        <v>0.99295207410390651</v>
      </c>
      <c r="F330" s="27">
        <v>4966</v>
      </c>
      <c r="G330" s="27">
        <f t="shared" ref="G330" si="77">F330-H330</f>
        <v>35</v>
      </c>
      <c r="H330" s="27">
        <v>4931</v>
      </c>
      <c r="I330" s="27">
        <v>4703</v>
      </c>
      <c r="J330" s="27">
        <f t="shared" si="72"/>
        <v>228</v>
      </c>
    </row>
    <row r="331" spans="1:11">
      <c r="A331" s="83">
        <v>2020</v>
      </c>
      <c r="B331" s="84" t="s">
        <v>39</v>
      </c>
      <c r="C331" s="25">
        <f t="shared" si="74"/>
        <v>0.93860045146726867</v>
      </c>
      <c r="D331" s="25">
        <f t="shared" si="75"/>
        <v>0.94866529774127306</v>
      </c>
      <c r="E331" s="25">
        <f t="shared" si="76"/>
        <v>0.98939051918735887</v>
      </c>
      <c r="F331" s="27">
        <v>4430</v>
      </c>
      <c r="G331" s="27">
        <f t="shared" ref="G331:G334" si="78">+F331-H331</f>
        <v>47</v>
      </c>
      <c r="H331" s="27">
        <v>4383</v>
      </c>
      <c r="I331" s="27">
        <v>4158</v>
      </c>
      <c r="J331" s="27">
        <f t="shared" si="72"/>
        <v>225</v>
      </c>
    </row>
    <row r="332" spans="1:11">
      <c r="A332" s="83">
        <v>2020</v>
      </c>
      <c r="B332" s="84" t="s">
        <v>40</v>
      </c>
      <c r="C332" s="25">
        <f t="shared" si="74"/>
        <v>0.93258426966292129</v>
      </c>
      <c r="D332" s="25">
        <f t="shared" si="75"/>
        <v>0.96098665995469423</v>
      </c>
      <c r="E332" s="25">
        <f t="shared" si="76"/>
        <v>0.97044455300439669</v>
      </c>
      <c r="F332" s="27">
        <v>4094</v>
      </c>
      <c r="G332" s="27">
        <f t="shared" si="78"/>
        <v>121</v>
      </c>
      <c r="H332" s="27">
        <v>3973</v>
      </c>
      <c r="I332" s="27">
        <v>3818</v>
      </c>
      <c r="J332" s="27">
        <f t="shared" si="72"/>
        <v>155</v>
      </c>
    </row>
    <row r="333" spans="1:11">
      <c r="A333" s="83">
        <v>2020</v>
      </c>
      <c r="B333" s="84" t="s">
        <v>41</v>
      </c>
      <c r="C333" s="25">
        <f t="shared" si="74"/>
        <v>0.95729435368300375</v>
      </c>
      <c r="D333" s="25">
        <f t="shared" si="75"/>
        <v>0.98758131283264339</v>
      </c>
      <c r="E333" s="25">
        <f t="shared" si="76"/>
        <v>0.96933218687302947</v>
      </c>
      <c r="F333" s="27">
        <v>3489</v>
      </c>
      <c r="G333" s="27">
        <f t="shared" si="78"/>
        <v>107</v>
      </c>
      <c r="H333" s="27">
        <v>3382</v>
      </c>
      <c r="I333" s="27">
        <v>3340</v>
      </c>
      <c r="J333" s="27">
        <f t="shared" si="72"/>
        <v>42</v>
      </c>
    </row>
    <row r="334" spans="1:11">
      <c r="A334" s="83">
        <v>2020</v>
      </c>
      <c r="B334" s="84" t="s">
        <v>42</v>
      </c>
      <c r="C334" s="25">
        <f t="shared" si="74"/>
        <v>0.93737463784265651</v>
      </c>
      <c r="D334" s="25">
        <f t="shared" si="75"/>
        <v>0.98964705882352944</v>
      </c>
      <c r="E334" s="25">
        <f t="shared" si="76"/>
        <v>0.947180744372632</v>
      </c>
      <c r="F334" s="27">
        <v>4487</v>
      </c>
      <c r="G334" s="27">
        <f t="shared" si="78"/>
        <v>237</v>
      </c>
      <c r="H334" s="27">
        <v>4250</v>
      </c>
      <c r="I334" s="27">
        <v>4206</v>
      </c>
      <c r="J334" s="27">
        <f t="shared" si="72"/>
        <v>44</v>
      </c>
    </row>
    <row r="335" spans="1:11">
      <c r="A335" s="83">
        <v>2020</v>
      </c>
      <c r="B335" s="84" t="s">
        <v>43</v>
      </c>
      <c r="C335" s="55">
        <f t="shared" ref="C335:C341" si="79">I335/F335</f>
        <v>0.91330090928314656</v>
      </c>
      <c r="D335" s="55">
        <f t="shared" ref="D335:D341" si="80">I335/H335</f>
        <v>0.99014213663457129</v>
      </c>
      <c r="E335" s="55">
        <f t="shared" ref="E335:E341" si="81">H335/F335</f>
        <v>0.92239374074857261</v>
      </c>
      <c r="F335" s="56">
        <v>4729</v>
      </c>
      <c r="G335" s="56">
        <f t="shared" ref="G335:G349" si="82">+F335-H335</f>
        <v>367</v>
      </c>
      <c r="H335" s="56">
        <v>4362</v>
      </c>
      <c r="I335" s="56">
        <v>4319</v>
      </c>
      <c r="J335" s="56">
        <f t="shared" ref="J335:J341" si="83">H335-I335</f>
        <v>43</v>
      </c>
      <c r="K335" s="57"/>
    </row>
    <row r="336" spans="1:11">
      <c r="A336" s="83">
        <v>2020</v>
      </c>
      <c r="B336" s="84" t="s">
        <v>44</v>
      </c>
      <c r="C336" s="55">
        <f t="shared" si="79"/>
        <v>0.84887790817376985</v>
      </c>
      <c r="D336" s="55">
        <f t="shared" si="80"/>
        <v>0.97309417040358748</v>
      </c>
      <c r="E336" s="55">
        <f t="shared" si="81"/>
        <v>0.87234918674078654</v>
      </c>
      <c r="F336" s="56">
        <v>4857</v>
      </c>
      <c r="G336" s="56">
        <f t="shared" si="82"/>
        <v>620</v>
      </c>
      <c r="H336" s="56">
        <v>4237</v>
      </c>
      <c r="I336" s="56">
        <v>4123</v>
      </c>
      <c r="J336" s="56">
        <f t="shared" si="83"/>
        <v>114</v>
      </c>
      <c r="K336" s="57"/>
    </row>
    <row r="337" spans="1:11">
      <c r="A337" s="83">
        <v>2020</v>
      </c>
      <c r="B337" s="84" t="s">
        <v>45</v>
      </c>
      <c r="C337" s="55">
        <f t="shared" si="79"/>
        <v>0.92439075192668196</v>
      </c>
      <c r="D337" s="55">
        <f t="shared" si="80"/>
        <v>0.9842537147926369</v>
      </c>
      <c r="E337" s="55">
        <f t="shared" si="81"/>
        <v>0.93917933763799211</v>
      </c>
      <c r="F337" s="56">
        <v>4801</v>
      </c>
      <c r="G337" s="56">
        <f t="shared" si="82"/>
        <v>292</v>
      </c>
      <c r="H337" s="56">
        <v>4509</v>
      </c>
      <c r="I337" s="56">
        <v>4438</v>
      </c>
      <c r="J337" s="56">
        <f t="shared" si="83"/>
        <v>71</v>
      </c>
      <c r="K337" s="57"/>
    </row>
    <row r="338" spans="1:11">
      <c r="A338" s="83">
        <v>2020</v>
      </c>
      <c r="B338" s="84" t="s">
        <v>46</v>
      </c>
      <c r="C338" s="55">
        <f t="shared" si="79"/>
        <v>0.92106339468302656</v>
      </c>
      <c r="D338" s="55">
        <f t="shared" si="80"/>
        <v>0.98469610843900302</v>
      </c>
      <c r="E338" s="55">
        <f t="shared" si="81"/>
        <v>0.93537832310838442</v>
      </c>
      <c r="F338" s="56">
        <v>4890</v>
      </c>
      <c r="G338" s="56">
        <f t="shared" si="82"/>
        <v>316</v>
      </c>
      <c r="H338" s="56">
        <v>4574</v>
      </c>
      <c r="I338" s="56">
        <v>4504</v>
      </c>
      <c r="J338" s="56">
        <f t="shared" si="83"/>
        <v>70</v>
      </c>
      <c r="K338" s="57"/>
    </row>
    <row r="339" spans="1:11">
      <c r="A339" s="83">
        <v>2020</v>
      </c>
      <c r="B339" s="84" t="s">
        <v>47</v>
      </c>
      <c r="C339" s="55">
        <f t="shared" si="79"/>
        <v>0.92198003666734574</v>
      </c>
      <c r="D339" s="55">
        <f t="shared" si="80"/>
        <v>0.98434101783384076</v>
      </c>
      <c r="E339" s="55">
        <f t="shared" si="81"/>
        <v>0.93664697494398041</v>
      </c>
      <c r="F339" s="56">
        <v>4909</v>
      </c>
      <c r="G339" s="56">
        <f t="shared" si="82"/>
        <v>311</v>
      </c>
      <c r="H339" s="56">
        <v>4598</v>
      </c>
      <c r="I339" s="56">
        <v>4526</v>
      </c>
      <c r="J339" s="56">
        <f t="shared" si="83"/>
        <v>72</v>
      </c>
      <c r="K339" s="57"/>
    </row>
    <row r="340" spans="1:11">
      <c r="A340" s="83">
        <v>2020</v>
      </c>
      <c r="B340" s="84" t="s">
        <v>48</v>
      </c>
      <c r="C340" s="55">
        <f t="shared" si="79"/>
        <v>0.92017975604536695</v>
      </c>
      <c r="D340" s="55">
        <f t="shared" si="80"/>
        <v>0.98398169336384445</v>
      </c>
      <c r="E340" s="55">
        <f t="shared" si="81"/>
        <v>0.93515942649261719</v>
      </c>
      <c r="F340" s="56">
        <v>4673</v>
      </c>
      <c r="G340" s="56">
        <f t="shared" si="82"/>
        <v>303</v>
      </c>
      <c r="H340" s="56">
        <v>4370</v>
      </c>
      <c r="I340" s="56">
        <v>4300</v>
      </c>
      <c r="J340" s="56">
        <f t="shared" si="83"/>
        <v>70</v>
      </c>
      <c r="K340" s="57"/>
    </row>
    <row r="341" spans="1:11">
      <c r="A341" s="83">
        <v>2020</v>
      </c>
      <c r="B341" s="84" t="s">
        <v>49</v>
      </c>
      <c r="C341" s="55">
        <f t="shared" si="79"/>
        <v>0.8642641346568839</v>
      </c>
      <c r="D341" s="55">
        <f t="shared" si="80"/>
        <v>0.93881856540084385</v>
      </c>
      <c r="E341" s="55">
        <f t="shared" si="81"/>
        <v>0.92058696590418643</v>
      </c>
      <c r="F341" s="56">
        <v>4634</v>
      </c>
      <c r="G341" s="56">
        <f t="shared" si="82"/>
        <v>368</v>
      </c>
      <c r="H341" s="56">
        <v>4266</v>
      </c>
      <c r="I341" s="56">
        <v>4005</v>
      </c>
      <c r="J341" s="56">
        <f t="shared" si="83"/>
        <v>261</v>
      </c>
      <c r="K341" s="57"/>
    </row>
    <row r="342" spans="1:11">
      <c r="A342" s="83">
        <v>2021</v>
      </c>
      <c r="B342" s="84" t="s">
        <v>38</v>
      </c>
      <c r="C342" s="55">
        <f t="shared" ref="C342:C343" si="84">I342/F342</f>
        <v>0.86711101853780459</v>
      </c>
      <c r="D342" s="55">
        <f t="shared" ref="D342:D343" si="85">I342/H342</f>
        <v>0.9329896907216495</v>
      </c>
      <c r="E342" s="55">
        <f t="shared" ref="E342:E343" si="86">H342/F342</f>
        <v>0.92938971047698393</v>
      </c>
      <c r="F342" s="56">
        <v>4801</v>
      </c>
      <c r="G342" s="56">
        <f t="shared" si="82"/>
        <v>339</v>
      </c>
      <c r="H342" s="56">
        <v>4462</v>
      </c>
      <c r="I342" s="56">
        <v>4163</v>
      </c>
      <c r="J342" s="56">
        <f t="shared" ref="J342:J343" si="87">H342-I342</f>
        <v>299</v>
      </c>
      <c r="K342" s="57"/>
    </row>
    <row r="343" spans="1:11">
      <c r="A343" s="83">
        <v>2021</v>
      </c>
      <c r="B343" s="84" t="s">
        <v>39</v>
      </c>
      <c r="C343" s="55">
        <f t="shared" si="84"/>
        <v>0.79056252905625291</v>
      </c>
      <c r="D343" s="55">
        <f t="shared" si="85"/>
        <v>0.87272260713369254</v>
      </c>
      <c r="E343" s="55">
        <f t="shared" si="86"/>
        <v>0.90585774058577406</v>
      </c>
      <c r="F343" s="56">
        <v>4302</v>
      </c>
      <c r="G343" s="56">
        <f t="shared" si="82"/>
        <v>405</v>
      </c>
      <c r="H343" s="56">
        <v>3897</v>
      </c>
      <c r="I343" s="56">
        <v>3401</v>
      </c>
      <c r="J343" s="56">
        <f t="shared" si="87"/>
        <v>496</v>
      </c>
      <c r="K343" s="57"/>
    </row>
    <row r="344" spans="1:11">
      <c r="A344" s="83">
        <v>2021</v>
      </c>
      <c r="B344" s="84" t="s">
        <v>40</v>
      </c>
      <c r="C344" s="55">
        <f t="shared" ref="C344:C345" si="88">I344/F344</f>
        <v>0.74466371325010072</v>
      </c>
      <c r="D344" s="55">
        <f t="shared" ref="D344:D345" si="89">I344/H344</f>
        <v>0.82031943212067437</v>
      </c>
      <c r="E344" s="55">
        <f t="shared" ref="E344:E345" si="90">H344/F344</f>
        <v>0.9077728554168345</v>
      </c>
      <c r="F344" s="56">
        <v>4966</v>
      </c>
      <c r="G344" s="56">
        <f t="shared" si="82"/>
        <v>458</v>
      </c>
      <c r="H344" s="56">
        <v>4508</v>
      </c>
      <c r="I344" s="56">
        <v>3698</v>
      </c>
      <c r="J344" s="56">
        <f t="shared" ref="J344:J345" si="91">H344-I344</f>
        <v>810</v>
      </c>
      <c r="K344" s="57"/>
    </row>
    <row r="345" spans="1:11">
      <c r="A345" s="83">
        <v>2021</v>
      </c>
      <c r="B345" s="84" t="s">
        <v>41</v>
      </c>
      <c r="C345" s="55">
        <f t="shared" si="88"/>
        <v>0.5355630821337849</v>
      </c>
      <c r="D345" s="55">
        <f t="shared" si="89"/>
        <v>0.59029398040130654</v>
      </c>
      <c r="E345" s="55">
        <f t="shared" si="90"/>
        <v>0.90728196443691789</v>
      </c>
      <c r="F345" s="56">
        <v>4724</v>
      </c>
      <c r="G345" s="56">
        <f t="shared" si="82"/>
        <v>438</v>
      </c>
      <c r="H345" s="56">
        <v>4286</v>
      </c>
      <c r="I345" s="56">
        <v>2530</v>
      </c>
      <c r="J345" s="56">
        <f t="shared" si="91"/>
        <v>1756</v>
      </c>
      <c r="K345" s="57"/>
    </row>
    <row r="346" spans="1:11">
      <c r="A346" s="83">
        <v>2021</v>
      </c>
      <c r="B346" s="84" t="s">
        <v>42</v>
      </c>
      <c r="C346" s="55">
        <f t="shared" ref="C346:C347" si="92">I346/F346</f>
        <v>0.68017241379310345</v>
      </c>
      <c r="D346" s="55">
        <f t="shared" ref="D346:D347" si="93">I346/H346</f>
        <v>0.76434972148219904</v>
      </c>
      <c r="E346" s="55">
        <f t="shared" ref="E346:E347" si="94">H346/F346</f>
        <v>0.88987068965517246</v>
      </c>
      <c r="F346" s="56">
        <v>4640</v>
      </c>
      <c r="G346" s="56">
        <f t="shared" si="82"/>
        <v>511</v>
      </c>
      <c r="H346" s="56">
        <v>4129</v>
      </c>
      <c r="I346" s="56">
        <v>3156</v>
      </c>
      <c r="J346" s="56">
        <f t="shared" ref="J346:J347" si="95">H346-I346</f>
        <v>973</v>
      </c>
      <c r="K346" s="57"/>
    </row>
    <row r="347" spans="1:11">
      <c r="A347" s="83">
        <v>2021</v>
      </c>
      <c r="B347" s="84" t="s">
        <v>43</v>
      </c>
      <c r="C347" s="55">
        <f t="shared" si="92"/>
        <v>0.66338912133891215</v>
      </c>
      <c r="D347" s="55">
        <f t="shared" si="93"/>
        <v>0.72596153846153844</v>
      </c>
      <c r="E347" s="55">
        <f t="shared" si="94"/>
        <v>0.9138075313807531</v>
      </c>
      <c r="F347" s="56">
        <v>4780</v>
      </c>
      <c r="G347" s="56">
        <f t="shared" si="82"/>
        <v>412</v>
      </c>
      <c r="H347" s="56">
        <v>4368</v>
      </c>
      <c r="I347" s="56">
        <v>3171</v>
      </c>
      <c r="J347" s="56">
        <f t="shared" si="95"/>
        <v>1197</v>
      </c>
      <c r="K347" s="57"/>
    </row>
    <row r="348" spans="1:11">
      <c r="A348" s="83">
        <v>2021</v>
      </c>
      <c r="B348" s="84" t="s">
        <v>44</v>
      </c>
      <c r="C348" s="55">
        <f>I348/F348</f>
        <v>0.61254838052556526</v>
      </c>
      <c r="D348" s="55">
        <f>I348/H348</f>
        <v>0.71323529411764708</v>
      </c>
      <c r="E348" s="55">
        <f>H348/F348</f>
        <v>0.8588307190873905</v>
      </c>
      <c r="F348" s="56">
        <v>4909</v>
      </c>
      <c r="G348" s="56">
        <f t="shared" si="82"/>
        <v>693</v>
      </c>
      <c r="H348" s="56">
        <v>4216</v>
      </c>
      <c r="I348" s="56">
        <v>3007</v>
      </c>
      <c r="J348" s="56">
        <f>H348-I348</f>
        <v>1209</v>
      </c>
      <c r="K348" s="57"/>
    </row>
    <row r="349" spans="1:11">
      <c r="A349" s="83">
        <v>2021</v>
      </c>
      <c r="B349" s="84" t="s">
        <v>45</v>
      </c>
      <c r="C349" s="55">
        <f>I349/F349</f>
        <v>0.48888431453272951</v>
      </c>
      <c r="D349" s="55">
        <f>I349/H349</f>
        <v>0.60850627722264927</v>
      </c>
      <c r="E349" s="55">
        <f>H349/F349</f>
        <v>0.80341704405104986</v>
      </c>
      <c r="F349" s="56">
        <v>4858</v>
      </c>
      <c r="G349" s="56">
        <f t="shared" si="82"/>
        <v>955</v>
      </c>
      <c r="H349" s="56">
        <v>3903</v>
      </c>
      <c r="I349" s="56">
        <v>2375</v>
      </c>
      <c r="J349" s="56">
        <f>H349-I349</f>
        <v>1528</v>
      </c>
      <c r="K349" s="57"/>
    </row>
    <row r="350" spans="1:11">
      <c r="A350" s="138" t="s">
        <v>93</v>
      </c>
      <c r="B350" s="126"/>
      <c r="C350" s="122">
        <f t="shared" ref="C350" si="96">I350/F350</f>
        <v>0.90956411501067447</v>
      </c>
      <c r="D350" s="122">
        <f t="shared" ref="D350" si="97">I350/H350</f>
        <v>0.94112871126596154</v>
      </c>
      <c r="E350" s="122">
        <f t="shared" ref="E350" si="98">H350/F350</f>
        <v>0.96646091456201777</v>
      </c>
      <c r="F350" s="121">
        <f>SUBTOTAL(109,URQ[Trenes Programados])</f>
        <v>1697512</v>
      </c>
      <c r="G350" s="121">
        <f>SUBTOTAL(109,URQ[Trenes Cancelados])</f>
        <v>57110</v>
      </c>
      <c r="H350" s="121">
        <f>SUBTOTAL(109,URQ[Trenes Corridos])</f>
        <v>1640579</v>
      </c>
      <c r="I350" s="121">
        <f>SUBTOTAL(109,URQ[Trenes Puntuales])</f>
        <v>1543996</v>
      </c>
      <c r="J350" s="121">
        <f>SUBTOTAL(109,URQ[Trenes Atrasados])</f>
        <v>97289</v>
      </c>
      <c r="K350" s="127">
        <f>SUBTOTAL(103,URQ[Observaciones])</f>
        <v>0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ignoredErrors>
    <ignoredError sqref="G6:G333" calculatedColumn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EL362"/>
  <sheetViews>
    <sheetView showGridLines="0" zoomScale="80" zoomScaleNormal="80" workbookViewId="0">
      <pane ySplit="5" topLeftCell="A331" activePane="bottomLeft" state="frozen"/>
      <selection pane="bottomLeft" activeCell="N354" sqref="N354:N355"/>
    </sheetView>
  </sheetViews>
  <sheetFormatPr baseColWidth="10" defaultColWidth="11.5546875" defaultRowHeight="15"/>
  <cols>
    <col min="1" max="1" width="5.77734375" style="32" customWidth="1"/>
    <col min="2" max="131" width="8.77734375" style="32" customWidth="1"/>
    <col min="132" max="132" width="7.77734375" style="32" customWidth="1"/>
    <col min="133" max="16384" width="11.5546875" style="32"/>
  </cols>
  <sheetData>
    <row r="1" spans="1:132" s="70" customFormat="1" ht="20.25">
      <c r="A1" s="70" t="s">
        <v>7</v>
      </c>
      <c r="J1" s="71"/>
      <c r="K1" s="71"/>
      <c r="L1" s="71"/>
      <c r="M1" s="70" t="s">
        <v>7</v>
      </c>
      <c r="V1" s="71"/>
      <c r="W1" s="71"/>
      <c r="X1" s="71"/>
      <c r="Y1" s="70" t="s">
        <v>7</v>
      </c>
      <c r="AH1" s="71"/>
      <c r="AI1" s="71"/>
      <c r="AJ1" s="71"/>
      <c r="AK1" s="70" t="s">
        <v>7</v>
      </c>
      <c r="AT1" s="71"/>
      <c r="AU1" s="71"/>
      <c r="AV1" s="71"/>
      <c r="AW1" s="70" t="s">
        <v>7</v>
      </c>
      <c r="BF1" s="71"/>
      <c r="BG1" s="71"/>
      <c r="BH1" s="71"/>
      <c r="BI1" s="70" t="s">
        <v>7</v>
      </c>
      <c r="BR1" s="71"/>
      <c r="BS1" s="71"/>
      <c r="BT1" s="71"/>
      <c r="BU1" s="70" t="s">
        <v>7</v>
      </c>
      <c r="CD1" s="71"/>
      <c r="CE1" s="71"/>
      <c r="CF1" s="71"/>
      <c r="CG1" s="70" t="s">
        <v>7</v>
      </c>
      <c r="CP1" s="71"/>
      <c r="CQ1" s="71"/>
      <c r="CR1" s="71"/>
      <c r="CS1" s="70" t="s">
        <v>7</v>
      </c>
      <c r="DB1" s="71"/>
      <c r="DC1" s="71"/>
      <c r="DD1" s="71"/>
      <c r="DE1" s="70" t="s">
        <v>7</v>
      </c>
      <c r="DN1" s="71"/>
      <c r="DO1" s="71"/>
      <c r="DP1" s="71"/>
      <c r="DQ1" s="70" t="s">
        <v>7</v>
      </c>
      <c r="DZ1" s="71"/>
      <c r="EA1" s="71"/>
      <c r="EB1" s="71"/>
    </row>
    <row r="2" spans="1:132" s="70" customFormat="1" ht="20.25">
      <c r="A2" s="70" t="s">
        <v>4</v>
      </c>
      <c r="J2" s="71"/>
      <c r="K2" s="71"/>
      <c r="L2" s="71"/>
      <c r="M2" s="70" t="s">
        <v>4</v>
      </c>
      <c r="V2" s="71"/>
      <c r="W2" s="71"/>
      <c r="X2" s="71"/>
      <c r="Y2" s="70" t="s">
        <v>4</v>
      </c>
      <c r="AH2" s="71"/>
      <c r="AI2" s="71"/>
      <c r="AJ2" s="71"/>
      <c r="AK2" s="70" t="s">
        <v>4</v>
      </c>
      <c r="AT2" s="71"/>
      <c r="AU2" s="71"/>
      <c r="AV2" s="71"/>
      <c r="AW2" s="70" t="s">
        <v>4</v>
      </c>
      <c r="BF2" s="71"/>
      <c r="BG2" s="71"/>
      <c r="BH2" s="71"/>
      <c r="BI2" s="70" t="s">
        <v>4</v>
      </c>
      <c r="BR2" s="71"/>
      <c r="BS2" s="71"/>
      <c r="BT2" s="71"/>
      <c r="BU2" s="70" t="s">
        <v>4</v>
      </c>
      <c r="CD2" s="71"/>
      <c r="CE2" s="71"/>
      <c r="CF2" s="71"/>
      <c r="CG2" s="70" t="s">
        <v>4</v>
      </c>
      <c r="CP2" s="71"/>
      <c r="CQ2" s="71"/>
      <c r="CR2" s="71"/>
      <c r="CS2" s="70" t="s">
        <v>4</v>
      </c>
      <c r="DB2" s="71"/>
      <c r="DC2" s="71"/>
      <c r="DD2" s="71"/>
      <c r="DE2" s="70" t="s">
        <v>4</v>
      </c>
      <c r="DN2" s="71"/>
      <c r="DO2" s="71"/>
      <c r="DP2" s="71"/>
      <c r="DQ2" s="70" t="s">
        <v>4</v>
      </c>
      <c r="DZ2" s="71"/>
      <c r="EA2" s="71"/>
      <c r="EB2" s="71"/>
    </row>
    <row r="3" spans="1:132" s="144" customFormat="1" ht="46.5" customHeight="1">
      <c r="A3" s="141" t="s">
        <v>37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68" t="s">
        <v>59</v>
      </c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37"/>
      <c r="Y3" s="168" t="s">
        <v>59</v>
      </c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42"/>
      <c r="AK3" s="143" t="s">
        <v>19</v>
      </c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68" t="s">
        <v>31</v>
      </c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42"/>
      <c r="BI3" s="143" t="s">
        <v>69</v>
      </c>
      <c r="BJ3" s="142"/>
      <c r="BK3" s="142"/>
      <c r="BL3" s="142"/>
      <c r="BM3" s="142"/>
      <c r="BN3" s="142"/>
      <c r="BO3" s="142"/>
      <c r="BP3" s="142"/>
      <c r="BQ3" s="142"/>
      <c r="BR3" s="142"/>
      <c r="BS3" s="142"/>
      <c r="BT3" s="142"/>
      <c r="BU3" s="143" t="s">
        <v>68</v>
      </c>
      <c r="BV3" s="142"/>
      <c r="BW3" s="142"/>
      <c r="BX3" s="142"/>
      <c r="BY3" s="142"/>
      <c r="BZ3" s="142"/>
      <c r="CA3" s="142"/>
      <c r="CB3" s="142"/>
      <c r="CC3" s="142"/>
      <c r="CD3" s="142"/>
      <c r="CE3" s="142"/>
      <c r="CF3" s="142"/>
      <c r="CG3" s="168" t="s">
        <v>97</v>
      </c>
      <c r="CH3" s="168"/>
      <c r="CI3" s="168"/>
      <c r="CJ3" s="168"/>
      <c r="CK3" s="168"/>
      <c r="CL3" s="168"/>
      <c r="CM3" s="168"/>
      <c r="CN3" s="168"/>
      <c r="CO3" s="168"/>
      <c r="CP3" s="137"/>
      <c r="CQ3" s="137"/>
      <c r="CR3" s="142"/>
      <c r="CS3" s="143" t="s">
        <v>20</v>
      </c>
      <c r="CT3" s="142"/>
      <c r="CU3" s="142"/>
      <c r="CV3" s="142"/>
      <c r="CW3" s="142"/>
      <c r="CX3" s="142"/>
      <c r="CY3" s="142"/>
      <c r="CZ3" s="142"/>
      <c r="DA3" s="142"/>
      <c r="DB3" s="142"/>
      <c r="DC3" s="142"/>
      <c r="DD3" s="142"/>
      <c r="DE3" s="168" t="s">
        <v>32</v>
      </c>
      <c r="DF3" s="168"/>
      <c r="DG3" s="168"/>
      <c r="DH3" s="168"/>
      <c r="DI3" s="168"/>
      <c r="DJ3" s="168"/>
      <c r="DK3" s="168"/>
      <c r="DL3" s="168"/>
      <c r="DM3" s="168"/>
      <c r="DN3" s="137"/>
      <c r="DO3" s="137"/>
      <c r="DP3" s="142"/>
      <c r="DQ3" s="143" t="s">
        <v>29</v>
      </c>
      <c r="DR3" s="142"/>
      <c r="DS3" s="142"/>
      <c r="DT3" s="142"/>
      <c r="DU3" s="142"/>
      <c r="DV3" s="142"/>
      <c r="DW3" s="142"/>
      <c r="DX3" s="142"/>
      <c r="DY3" s="142"/>
      <c r="DZ3" s="142"/>
      <c r="EA3" s="142"/>
      <c r="EB3" s="142"/>
    </row>
    <row r="4" spans="1:132" s="29" customFormat="1" ht="15.75">
      <c r="B4" s="80"/>
      <c r="C4" s="24"/>
      <c r="D4" s="24"/>
      <c r="E4" s="24"/>
      <c r="F4" s="24"/>
      <c r="G4" s="24"/>
      <c r="H4" s="24"/>
      <c r="I4" s="24"/>
      <c r="J4" s="24"/>
      <c r="K4" s="24"/>
      <c r="L4" s="24"/>
      <c r="M4" s="167" t="s">
        <v>95</v>
      </c>
      <c r="N4" s="167"/>
      <c r="O4" s="167"/>
      <c r="P4" s="167"/>
      <c r="Q4" s="24"/>
      <c r="R4" s="24"/>
      <c r="S4" s="24"/>
      <c r="T4" s="24"/>
      <c r="U4" s="24"/>
      <c r="V4" s="24"/>
      <c r="W4" s="24"/>
      <c r="X4" s="24"/>
      <c r="Y4" s="167" t="s">
        <v>94</v>
      </c>
      <c r="Z4" s="167"/>
      <c r="AA4" s="167"/>
      <c r="AB4" s="167"/>
      <c r="AC4" s="24"/>
      <c r="AD4" s="24"/>
      <c r="AE4" s="24"/>
      <c r="AF4" s="24"/>
      <c r="AG4" s="24"/>
      <c r="AH4" s="24"/>
      <c r="AI4" s="24"/>
      <c r="AJ4" s="24"/>
      <c r="AK4" s="24"/>
      <c r="AL4" s="80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80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80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80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80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80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80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80"/>
      <c r="DS4" s="24"/>
      <c r="DT4" s="24"/>
      <c r="DU4" s="24"/>
      <c r="DV4" s="24"/>
      <c r="DW4" s="24"/>
      <c r="DX4" s="24"/>
      <c r="DY4" s="24"/>
      <c r="DZ4" s="24"/>
      <c r="EA4" s="24"/>
      <c r="EB4" s="24"/>
    </row>
    <row r="5" spans="1:132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  <c r="L5" s="24"/>
      <c r="M5" s="44" t="s">
        <v>34</v>
      </c>
      <c r="N5" s="42" t="s">
        <v>33</v>
      </c>
      <c r="O5" s="42" t="s">
        <v>8</v>
      </c>
      <c r="P5" s="42" t="s">
        <v>10</v>
      </c>
      <c r="Q5" s="42" t="s">
        <v>9</v>
      </c>
      <c r="R5" s="42" t="s">
        <v>54</v>
      </c>
      <c r="S5" s="42" t="s">
        <v>55</v>
      </c>
      <c r="T5" s="42" t="s">
        <v>27</v>
      </c>
      <c r="U5" s="42" t="s">
        <v>56</v>
      </c>
      <c r="V5" s="42" t="s">
        <v>57</v>
      </c>
      <c r="W5" s="43" t="s">
        <v>36</v>
      </c>
      <c r="X5" s="128"/>
      <c r="Y5" s="44" t="s">
        <v>34</v>
      </c>
      <c r="Z5" s="42" t="s">
        <v>33</v>
      </c>
      <c r="AA5" s="42" t="s">
        <v>8</v>
      </c>
      <c r="AB5" s="42" t="s">
        <v>10</v>
      </c>
      <c r="AC5" s="42" t="s">
        <v>9</v>
      </c>
      <c r="AD5" s="42" t="s">
        <v>54</v>
      </c>
      <c r="AE5" s="42" t="s">
        <v>55</v>
      </c>
      <c r="AF5" s="42" t="s">
        <v>27</v>
      </c>
      <c r="AG5" s="42" t="s">
        <v>56</v>
      </c>
      <c r="AH5" s="42" t="s">
        <v>57</v>
      </c>
      <c r="AI5" s="43" t="s">
        <v>36</v>
      </c>
      <c r="AJ5" s="24"/>
      <c r="AK5" s="44" t="s">
        <v>34</v>
      </c>
      <c r="AL5" s="42" t="s">
        <v>33</v>
      </c>
      <c r="AM5" s="42" t="s">
        <v>8</v>
      </c>
      <c r="AN5" s="42" t="s">
        <v>10</v>
      </c>
      <c r="AO5" s="42" t="s">
        <v>9</v>
      </c>
      <c r="AP5" s="42" t="s">
        <v>54</v>
      </c>
      <c r="AQ5" s="42" t="s">
        <v>55</v>
      </c>
      <c r="AR5" s="42" t="s">
        <v>27</v>
      </c>
      <c r="AS5" s="42" t="s">
        <v>56</v>
      </c>
      <c r="AT5" s="42" t="s">
        <v>57</v>
      </c>
      <c r="AU5" s="43" t="s">
        <v>36</v>
      </c>
      <c r="AV5" s="24"/>
      <c r="AW5" s="44" t="s">
        <v>34</v>
      </c>
      <c r="AX5" s="42" t="s">
        <v>33</v>
      </c>
      <c r="AY5" s="42" t="s">
        <v>8</v>
      </c>
      <c r="AZ5" s="42" t="s">
        <v>10</v>
      </c>
      <c r="BA5" s="42" t="s">
        <v>9</v>
      </c>
      <c r="BB5" s="42" t="s">
        <v>54</v>
      </c>
      <c r="BC5" s="42" t="s">
        <v>55</v>
      </c>
      <c r="BD5" s="42" t="s">
        <v>27</v>
      </c>
      <c r="BE5" s="42" t="s">
        <v>56</v>
      </c>
      <c r="BF5" s="42" t="s">
        <v>57</v>
      </c>
      <c r="BG5" s="43" t="s">
        <v>36</v>
      </c>
      <c r="BH5" s="24"/>
      <c r="BI5" s="44" t="s">
        <v>34</v>
      </c>
      <c r="BJ5" s="42" t="s">
        <v>33</v>
      </c>
      <c r="BK5" s="42" t="s">
        <v>8</v>
      </c>
      <c r="BL5" s="42" t="s">
        <v>10</v>
      </c>
      <c r="BM5" s="42" t="s">
        <v>9</v>
      </c>
      <c r="BN5" s="42" t="s">
        <v>54</v>
      </c>
      <c r="BO5" s="42" t="s">
        <v>55</v>
      </c>
      <c r="BP5" s="42" t="s">
        <v>27</v>
      </c>
      <c r="BQ5" s="42" t="s">
        <v>56</v>
      </c>
      <c r="BR5" s="42" t="s">
        <v>57</v>
      </c>
      <c r="BS5" s="43" t="s">
        <v>36</v>
      </c>
      <c r="BT5" s="24"/>
      <c r="BU5" s="44" t="s">
        <v>34</v>
      </c>
      <c r="BV5" s="42" t="s">
        <v>33</v>
      </c>
      <c r="BW5" s="42" t="s">
        <v>8</v>
      </c>
      <c r="BX5" s="42" t="s">
        <v>10</v>
      </c>
      <c r="BY5" s="42" t="s">
        <v>9</v>
      </c>
      <c r="BZ5" s="42" t="s">
        <v>54</v>
      </c>
      <c r="CA5" s="42" t="s">
        <v>55</v>
      </c>
      <c r="CB5" s="42" t="s">
        <v>27</v>
      </c>
      <c r="CC5" s="42" t="s">
        <v>56</v>
      </c>
      <c r="CD5" s="42" t="s">
        <v>57</v>
      </c>
      <c r="CE5" s="43" t="s">
        <v>36</v>
      </c>
      <c r="CF5" s="24"/>
      <c r="CG5" s="44" t="s">
        <v>34</v>
      </c>
      <c r="CH5" s="42" t="s">
        <v>33</v>
      </c>
      <c r="CI5" s="42" t="s">
        <v>8</v>
      </c>
      <c r="CJ5" s="42" t="s">
        <v>10</v>
      </c>
      <c r="CK5" s="42" t="s">
        <v>9</v>
      </c>
      <c r="CL5" s="42" t="s">
        <v>54</v>
      </c>
      <c r="CM5" s="42" t="s">
        <v>55</v>
      </c>
      <c r="CN5" s="42" t="s">
        <v>27</v>
      </c>
      <c r="CO5" s="42" t="s">
        <v>56</v>
      </c>
      <c r="CP5" s="42" t="s">
        <v>57</v>
      </c>
      <c r="CQ5" s="43" t="s">
        <v>36</v>
      </c>
      <c r="CR5" s="24"/>
      <c r="CS5" s="44" t="s">
        <v>34</v>
      </c>
      <c r="CT5" s="42" t="s">
        <v>33</v>
      </c>
      <c r="CU5" s="42" t="s">
        <v>8</v>
      </c>
      <c r="CV5" s="42" t="s">
        <v>10</v>
      </c>
      <c r="CW5" s="42" t="s">
        <v>9</v>
      </c>
      <c r="CX5" s="42" t="s">
        <v>54</v>
      </c>
      <c r="CY5" s="42" t="s">
        <v>55</v>
      </c>
      <c r="CZ5" s="42" t="s">
        <v>27</v>
      </c>
      <c r="DA5" s="42" t="s">
        <v>56</v>
      </c>
      <c r="DB5" s="42" t="s">
        <v>57</v>
      </c>
      <c r="DC5" s="43" t="s">
        <v>36</v>
      </c>
      <c r="DD5" s="24"/>
      <c r="DE5" s="44" t="s">
        <v>34</v>
      </c>
      <c r="DF5" s="42" t="s">
        <v>33</v>
      </c>
      <c r="DG5" s="42" t="s">
        <v>8</v>
      </c>
      <c r="DH5" s="42" t="s">
        <v>10</v>
      </c>
      <c r="DI5" s="42" t="s">
        <v>9</v>
      </c>
      <c r="DJ5" s="42" t="s">
        <v>54</v>
      </c>
      <c r="DK5" s="42" t="s">
        <v>55</v>
      </c>
      <c r="DL5" s="42" t="s">
        <v>27</v>
      </c>
      <c r="DM5" s="42" t="s">
        <v>56</v>
      </c>
      <c r="DN5" s="42" t="s">
        <v>57</v>
      </c>
      <c r="DO5" s="43" t="s">
        <v>36</v>
      </c>
      <c r="DP5" s="24"/>
      <c r="DQ5" s="44" t="s">
        <v>34</v>
      </c>
      <c r="DR5" s="42" t="s">
        <v>33</v>
      </c>
      <c r="DS5" s="42" t="s">
        <v>8</v>
      </c>
      <c r="DT5" s="42" t="s">
        <v>10</v>
      </c>
      <c r="DU5" s="42" t="s">
        <v>9</v>
      </c>
      <c r="DV5" s="42" t="s">
        <v>54</v>
      </c>
      <c r="DW5" s="42" t="s">
        <v>55</v>
      </c>
      <c r="DX5" s="42" t="s">
        <v>27</v>
      </c>
      <c r="DY5" s="42" t="s">
        <v>56</v>
      </c>
      <c r="DZ5" s="42" t="s">
        <v>57</v>
      </c>
      <c r="EA5" s="43" t="s">
        <v>36</v>
      </c>
      <c r="EB5" s="24"/>
    </row>
    <row r="6" spans="1:132" s="29" customFormat="1" ht="13.5" thickTop="1">
      <c r="A6" s="45">
        <v>1993</v>
      </c>
      <c r="B6" s="48" t="s">
        <v>38</v>
      </c>
      <c r="C6" s="35">
        <f>I6/F6</f>
        <v>0.8594345421020283</v>
      </c>
      <c r="D6" s="35">
        <f>I6/H6</f>
        <v>0.94774298495323306</v>
      </c>
      <c r="E6" s="35">
        <f>H6/F6</f>
        <v>0.90682237246465891</v>
      </c>
      <c r="F6" s="20">
        <v>16270</v>
      </c>
      <c r="G6" s="20">
        <f t="shared" ref="G6:G17" si="0">F6-H6</f>
        <v>1516</v>
      </c>
      <c r="H6" s="20">
        <v>14754</v>
      </c>
      <c r="I6" s="20">
        <v>13983</v>
      </c>
      <c r="J6" s="20">
        <f t="shared" ref="J6:J17" si="1">H6-I6</f>
        <v>771</v>
      </c>
      <c r="K6" s="20"/>
      <c r="L6" s="20"/>
      <c r="M6" s="45"/>
      <c r="N6" s="48"/>
      <c r="O6" s="30"/>
      <c r="P6" s="30"/>
      <c r="Q6" s="30"/>
      <c r="R6" s="20"/>
      <c r="S6" s="20"/>
      <c r="T6" s="20"/>
      <c r="U6" s="20"/>
      <c r="V6" s="20"/>
      <c r="W6" s="20"/>
      <c r="X6" s="20"/>
      <c r="Y6" s="45"/>
      <c r="Z6" s="48"/>
      <c r="AA6" s="30"/>
      <c r="AB6" s="30"/>
      <c r="AC6" s="30"/>
      <c r="AD6" s="20"/>
      <c r="AE6" s="20"/>
      <c r="AF6" s="20"/>
      <c r="AG6" s="20"/>
      <c r="AH6" s="20"/>
      <c r="AI6" s="20"/>
      <c r="AJ6" s="20"/>
      <c r="AK6" s="45"/>
      <c r="AL6" s="48"/>
      <c r="AM6" s="30"/>
      <c r="AN6" s="30"/>
      <c r="AO6" s="30"/>
      <c r="AP6" s="20"/>
      <c r="AQ6" s="20"/>
      <c r="AR6" s="20"/>
      <c r="AS6" s="20"/>
      <c r="AT6" s="20"/>
      <c r="AU6" s="20"/>
      <c r="AV6" s="20"/>
      <c r="AW6" s="45"/>
      <c r="AX6" s="48"/>
      <c r="AY6" s="30"/>
      <c r="AZ6" s="30"/>
      <c r="BA6" s="30"/>
      <c r="BB6" s="20"/>
      <c r="BC6" s="20"/>
      <c r="BD6" s="20"/>
      <c r="BE6" s="20"/>
      <c r="BF6" s="20"/>
      <c r="BG6" s="20"/>
      <c r="BH6" s="20"/>
      <c r="BI6" s="45"/>
      <c r="BJ6" s="48"/>
      <c r="BK6" s="30"/>
      <c r="BL6" s="30"/>
      <c r="BM6" s="30"/>
      <c r="BN6" s="20"/>
      <c r="BO6" s="20"/>
      <c r="BP6" s="20"/>
      <c r="BQ6" s="20"/>
      <c r="BR6" s="20"/>
      <c r="BS6" s="20"/>
      <c r="BT6" s="20"/>
      <c r="BU6" s="45"/>
      <c r="BV6" s="48"/>
      <c r="BW6" s="30"/>
      <c r="BX6" s="30"/>
      <c r="BY6" s="30"/>
      <c r="BZ6" s="20"/>
      <c r="CA6" s="20"/>
      <c r="CB6" s="20"/>
      <c r="CC6" s="20"/>
      <c r="CD6" s="20"/>
      <c r="CE6" s="20"/>
      <c r="CF6" s="20"/>
      <c r="CG6" s="45"/>
      <c r="CH6" s="48"/>
      <c r="CI6" s="30"/>
      <c r="CJ6" s="30"/>
      <c r="CK6" s="30"/>
      <c r="CL6" s="20"/>
      <c r="CM6" s="20"/>
      <c r="CN6" s="20"/>
      <c r="CO6" s="20"/>
      <c r="CP6" s="20"/>
      <c r="CQ6" s="20"/>
      <c r="CR6" s="20"/>
      <c r="CS6" s="45"/>
      <c r="CT6" s="48"/>
      <c r="CU6" s="30"/>
      <c r="CV6" s="30"/>
      <c r="CW6" s="30"/>
      <c r="CX6" s="20"/>
      <c r="CY6" s="20"/>
      <c r="CZ6" s="20"/>
      <c r="DA6" s="20"/>
      <c r="DB6" s="20"/>
      <c r="DC6" s="20"/>
      <c r="DD6" s="20"/>
      <c r="DE6" s="45"/>
      <c r="DF6" s="48"/>
      <c r="DG6" s="30"/>
      <c r="DH6" s="30"/>
      <c r="DI6" s="30"/>
      <c r="DJ6" s="20"/>
      <c r="DK6" s="20"/>
      <c r="DL6" s="20"/>
      <c r="DM6" s="20"/>
      <c r="DN6" s="20"/>
      <c r="DO6" s="20"/>
      <c r="DP6" s="20"/>
      <c r="DQ6" s="45"/>
      <c r="DR6" s="48"/>
      <c r="DS6" s="20"/>
      <c r="DT6" s="20"/>
      <c r="DU6" s="20"/>
      <c r="DV6" s="20"/>
      <c r="DW6" s="20"/>
      <c r="DX6" s="20"/>
      <c r="DY6" s="20"/>
      <c r="DZ6" s="20"/>
      <c r="EA6" s="20"/>
      <c r="EB6" s="20"/>
    </row>
    <row r="7" spans="1:132" s="29" customFormat="1" ht="12.75">
      <c r="A7" s="46">
        <v>1993</v>
      </c>
      <c r="B7" s="47" t="s">
        <v>39</v>
      </c>
      <c r="C7" s="35">
        <f t="shared" ref="C7:C70" si="2">I7/F7</f>
        <v>0.80690151911995811</v>
      </c>
      <c r="D7" s="35">
        <f t="shared" ref="D7:D70" si="3">I7/H7</f>
        <v>0.9260539565642143</v>
      </c>
      <c r="E7" s="35">
        <f t="shared" ref="E7:E70" si="4">H7/F7</f>
        <v>0.87133315872184391</v>
      </c>
      <c r="F7" s="20">
        <v>15272</v>
      </c>
      <c r="G7" s="20">
        <f t="shared" si="0"/>
        <v>1965</v>
      </c>
      <c r="H7" s="20">
        <v>13307</v>
      </c>
      <c r="I7" s="20">
        <v>12323</v>
      </c>
      <c r="J7" s="20">
        <f t="shared" si="1"/>
        <v>984</v>
      </c>
      <c r="K7" s="20"/>
      <c r="L7" s="20"/>
      <c r="M7" s="46"/>
      <c r="N7" s="47"/>
      <c r="O7" s="30"/>
      <c r="P7" s="30"/>
      <c r="Q7" s="30"/>
      <c r="R7" s="20"/>
      <c r="S7" s="20"/>
      <c r="T7" s="20"/>
      <c r="U7" s="20"/>
      <c r="V7" s="20"/>
      <c r="W7" s="20"/>
      <c r="X7" s="20"/>
      <c r="Y7" s="46"/>
      <c r="Z7" s="47"/>
      <c r="AA7" s="30"/>
      <c r="AB7" s="30"/>
      <c r="AC7" s="30"/>
      <c r="AD7" s="20"/>
      <c r="AE7" s="20"/>
      <c r="AF7" s="20"/>
      <c r="AG7" s="20"/>
      <c r="AH7" s="20"/>
      <c r="AI7" s="20"/>
      <c r="AJ7" s="20"/>
      <c r="AK7" s="46"/>
      <c r="AL7" s="47"/>
      <c r="AM7" s="30"/>
      <c r="AN7" s="30"/>
      <c r="AO7" s="30"/>
      <c r="AP7" s="20"/>
      <c r="AQ7" s="20"/>
      <c r="AR7" s="20"/>
      <c r="AS7" s="20"/>
      <c r="AT7" s="20"/>
      <c r="AU7" s="20"/>
      <c r="AV7" s="20"/>
      <c r="AW7" s="46"/>
      <c r="AX7" s="47"/>
      <c r="AY7" s="30"/>
      <c r="AZ7" s="30"/>
      <c r="BA7" s="30"/>
      <c r="BB7" s="20"/>
      <c r="BC7" s="20"/>
      <c r="BD7" s="20"/>
      <c r="BE7" s="20"/>
      <c r="BF7" s="20"/>
      <c r="BG7" s="20"/>
      <c r="BH7" s="20"/>
      <c r="BI7" s="46"/>
      <c r="BJ7" s="47"/>
      <c r="BK7" s="30"/>
      <c r="BL7" s="30"/>
      <c r="BM7" s="30"/>
      <c r="BN7" s="20"/>
      <c r="BO7" s="20"/>
      <c r="BP7" s="20"/>
      <c r="BQ7" s="20"/>
      <c r="BR7" s="20"/>
      <c r="BS7" s="20"/>
      <c r="BT7" s="20"/>
      <c r="BU7" s="46"/>
      <c r="BV7" s="47"/>
      <c r="BW7" s="30"/>
      <c r="BX7" s="30"/>
      <c r="BY7" s="30"/>
      <c r="BZ7" s="20"/>
      <c r="CA7" s="20"/>
      <c r="CB7" s="20"/>
      <c r="CC7" s="20"/>
      <c r="CD7" s="20"/>
      <c r="CE7" s="20"/>
      <c r="CF7" s="20"/>
      <c r="CG7" s="46"/>
      <c r="CH7" s="47"/>
      <c r="CI7" s="30"/>
      <c r="CJ7" s="30"/>
      <c r="CK7" s="30"/>
      <c r="CL7" s="20"/>
      <c r="CM7" s="20"/>
      <c r="CN7" s="20"/>
      <c r="CO7" s="20"/>
      <c r="CP7" s="20"/>
      <c r="CQ7" s="20"/>
      <c r="CR7" s="20"/>
      <c r="CS7" s="46"/>
      <c r="CT7" s="47"/>
      <c r="CU7" s="30"/>
      <c r="CV7" s="30"/>
      <c r="CW7" s="30"/>
      <c r="CX7" s="20"/>
      <c r="CY7" s="20"/>
      <c r="CZ7" s="20"/>
      <c r="DA7" s="20"/>
      <c r="DB7" s="20"/>
      <c r="DC7" s="20"/>
      <c r="DD7" s="20"/>
      <c r="DE7" s="46"/>
      <c r="DF7" s="47"/>
      <c r="DG7" s="30"/>
      <c r="DH7" s="30"/>
      <c r="DI7" s="30"/>
      <c r="DJ7" s="20"/>
      <c r="DK7" s="20"/>
      <c r="DL7" s="20"/>
      <c r="DM7" s="20"/>
      <c r="DN7" s="20"/>
      <c r="DO7" s="20"/>
      <c r="DP7" s="20"/>
      <c r="DQ7" s="46"/>
      <c r="DR7" s="47"/>
      <c r="DS7" s="20"/>
      <c r="DT7" s="20"/>
      <c r="DU7" s="20"/>
      <c r="DV7" s="20"/>
      <c r="DW7" s="20"/>
      <c r="DX7" s="20"/>
      <c r="DY7" s="20"/>
      <c r="DZ7" s="20"/>
      <c r="EA7" s="20"/>
      <c r="EB7" s="20"/>
    </row>
    <row r="8" spans="1:132" s="29" customFormat="1" ht="12.75">
      <c r="A8" s="45">
        <v>1993</v>
      </c>
      <c r="B8" s="48" t="s">
        <v>40</v>
      </c>
      <c r="C8" s="35">
        <f t="shared" si="2"/>
        <v>0.80901887671871364</v>
      </c>
      <c r="D8" s="35">
        <f t="shared" si="3"/>
        <v>0.94526889040163375</v>
      </c>
      <c r="E8" s="35">
        <f t="shared" si="4"/>
        <v>0.85586110463761356</v>
      </c>
      <c r="F8" s="20">
        <v>17164</v>
      </c>
      <c r="G8" s="20">
        <f t="shared" si="0"/>
        <v>2474</v>
      </c>
      <c r="H8" s="20">
        <v>14690</v>
      </c>
      <c r="I8" s="20">
        <v>13886</v>
      </c>
      <c r="J8" s="20">
        <f t="shared" si="1"/>
        <v>804</v>
      </c>
      <c r="K8" s="20"/>
      <c r="L8" s="20"/>
      <c r="M8" s="45"/>
      <c r="N8" s="48"/>
      <c r="O8" s="30"/>
      <c r="P8" s="30"/>
      <c r="Q8" s="30"/>
      <c r="R8" s="20"/>
      <c r="S8" s="20"/>
      <c r="T8" s="20"/>
      <c r="U8" s="20"/>
      <c r="V8" s="20"/>
      <c r="W8" s="20"/>
      <c r="X8" s="20"/>
      <c r="Y8" s="45"/>
      <c r="Z8" s="48"/>
      <c r="AA8" s="30"/>
      <c r="AB8" s="30"/>
      <c r="AC8" s="30"/>
      <c r="AD8" s="20"/>
      <c r="AE8" s="20"/>
      <c r="AF8" s="20"/>
      <c r="AG8" s="20"/>
      <c r="AH8" s="20"/>
      <c r="AI8" s="20"/>
      <c r="AJ8" s="20"/>
      <c r="AK8" s="45"/>
      <c r="AL8" s="48"/>
      <c r="AM8" s="30"/>
      <c r="AN8" s="30"/>
      <c r="AO8" s="30"/>
      <c r="AP8" s="20"/>
      <c r="AQ8" s="20"/>
      <c r="AR8" s="20"/>
      <c r="AS8" s="20"/>
      <c r="AT8" s="20"/>
      <c r="AU8" s="20"/>
      <c r="AV8" s="20"/>
      <c r="AW8" s="45"/>
      <c r="AX8" s="48"/>
      <c r="AY8" s="30"/>
      <c r="AZ8" s="30"/>
      <c r="BA8" s="30"/>
      <c r="BB8" s="20"/>
      <c r="BC8" s="20"/>
      <c r="BD8" s="20"/>
      <c r="BE8" s="20"/>
      <c r="BF8" s="20"/>
      <c r="BG8" s="20"/>
      <c r="BH8" s="20"/>
      <c r="BI8" s="45"/>
      <c r="BJ8" s="48"/>
      <c r="BK8" s="30"/>
      <c r="BL8" s="30"/>
      <c r="BM8" s="30"/>
      <c r="BN8" s="20"/>
      <c r="BO8" s="20"/>
      <c r="BP8" s="20"/>
      <c r="BQ8" s="20"/>
      <c r="BR8" s="20"/>
      <c r="BS8" s="20"/>
      <c r="BT8" s="20"/>
      <c r="BU8" s="45"/>
      <c r="BV8" s="48"/>
      <c r="BW8" s="30"/>
      <c r="BX8" s="30"/>
      <c r="BY8" s="30"/>
      <c r="BZ8" s="20"/>
      <c r="CA8" s="20"/>
      <c r="CB8" s="20"/>
      <c r="CC8" s="20"/>
      <c r="CD8" s="20"/>
      <c r="CE8" s="20"/>
      <c r="CF8" s="20"/>
      <c r="CG8" s="45"/>
      <c r="CH8" s="48"/>
      <c r="CI8" s="30"/>
      <c r="CJ8" s="30"/>
      <c r="CK8" s="30"/>
      <c r="CL8" s="20"/>
      <c r="CM8" s="20"/>
      <c r="CN8" s="20"/>
      <c r="CO8" s="20"/>
      <c r="CP8" s="20"/>
      <c r="CQ8" s="20"/>
      <c r="CR8" s="20"/>
      <c r="CS8" s="45"/>
      <c r="CT8" s="48"/>
      <c r="CU8" s="30"/>
      <c r="CV8" s="30"/>
      <c r="CW8" s="30"/>
      <c r="CX8" s="20"/>
      <c r="CY8" s="20"/>
      <c r="CZ8" s="20"/>
      <c r="DA8" s="20"/>
      <c r="DB8" s="20"/>
      <c r="DC8" s="20"/>
      <c r="DD8" s="20"/>
      <c r="DE8" s="45"/>
      <c r="DF8" s="48"/>
      <c r="DG8" s="30"/>
      <c r="DH8" s="30"/>
      <c r="DI8" s="30"/>
      <c r="DJ8" s="20"/>
      <c r="DK8" s="20"/>
      <c r="DL8" s="20"/>
      <c r="DM8" s="20"/>
      <c r="DN8" s="20"/>
      <c r="DO8" s="20"/>
      <c r="DP8" s="20"/>
      <c r="DQ8" s="45"/>
      <c r="DR8" s="48"/>
      <c r="DS8" s="20"/>
      <c r="DT8" s="20"/>
      <c r="DU8" s="20"/>
      <c r="DV8" s="20"/>
      <c r="DW8" s="20"/>
      <c r="DX8" s="20"/>
      <c r="DY8" s="20"/>
      <c r="DZ8" s="20"/>
      <c r="EA8" s="20"/>
      <c r="EB8" s="20"/>
    </row>
    <row r="9" spans="1:132" s="29" customFormat="1" ht="12.75">
      <c r="A9" s="46">
        <v>1993</v>
      </c>
      <c r="B9" s="47" t="s">
        <v>41</v>
      </c>
      <c r="C9" s="35">
        <f t="shared" si="2"/>
        <v>0.81981981981981977</v>
      </c>
      <c r="D9" s="35">
        <f t="shared" si="3"/>
        <v>0.94764805894020965</v>
      </c>
      <c r="E9" s="35">
        <f t="shared" si="4"/>
        <v>0.86511000796715087</v>
      </c>
      <c r="F9" s="20">
        <v>16317</v>
      </c>
      <c r="G9" s="20">
        <f t="shared" si="0"/>
        <v>2201</v>
      </c>
      <c r="H9" s="20">
        <v>14116</v>
      </c>
      <c r="I9" s="20">
        <v>13377</v>
      </c>
      <c r="J9" s="20">
        <f t="shared" si="1"/>
        <v>739</v>
      </c>
      <c r="K9" s="20"/>
      <c r="L9" s="20"/>
      <c r="M9" s="46"/>
      <c r="N9" s="47"/>
      <c r="O9" s="30"/>
      <c r="P9" s="30"/>
      <c r="Q9" s="30"/>
      <c r="R9" s="20"/>
      <c r="S9" s="20"/>
      <c r="T9" s="20"/>
      <c r="U9" s="20"/>
      <c r="V9" s="20"/>
      <c r="W9" s="20"/>
      <c r="X9" s="20"/>
      <c r="Y9" s="46"/>
      <c r="Z9" s="47"/>
      <c r="AA9" s="30"/>
      <c r="AB9" s="30"/>
      <c r="AC9" s="30"/>
      <c r="AD9" s="20"/>
      <c r="AE9" s="20"/>
      <c r="AF9" s="20"/>
      <c r="AG9" s="20"/>
      <c r="AH9" s="20"/>
      <c r="AI9" s="20"/>
      <c r="AJ9" s="20"/>
      <c r="AK9" s="46"/>
      <c r="AL9" s="47"/>
      <c r="AM9" s="30"/>
      <c r="AN9" s="30"/>
      <c r="AO9" s="30"/>
      <c r="AP9" s="20"/>
      <c r="AQ9" s="20"/>
      <c r="AR9" s="20"/>
      <c r="AS9" s="20"/>
      <c r="AT9" s="20"/>
      <c r="AU9" s="20"/>
      <c r="AV9" s="20"/>
      <c r="AW9" s="46"/>
      <c r="AX9" s="47"/>
      <c r="AY9" s="30"/>
      <c r="AZ9" s="30"/>
      <c r="BA9" s="30"/>
      <c r="BB9" s="20"/>
      <c r="BC9" s="20"/>
      <c r="BD9" s="20"/>
      <c r="BE9" s="20"/>
      <c r="BF9" s="20"/>
      <c r="BG9" s="20"/>
      <c r="BH9" s="20"/>
      <c r="BI9" s="46"/>
      <c r="BJ9" s="47"/>
      <c r="BK9" s="30"/>
      <c r="BL9" s="30"/>
      <c r="BM9" s="30"/>
      <c r="BN9" s="20"/>
      <c r="BO9" s="20"/>
      <c r="BP9" s="20"/>
      <c r="BQ9" s="20"/>
      <c r="BR9" s="20"/>
      <c r="BS9" s="20"/>
      <c r="BT9" s="20"/>
      <c r="BU9" s="46"/>
      <c r="BV9" s="47"/>
      <c r="BW9" s="30"/>
      <c r="BX9" s="30"/>
      <c r="BY9" s="30"/>
      <c r="BZ9" s="20"/>
      <c r="CA9" s="20"/>
      <c r="CB9" s="20"/>
      <c r="CC9" s="20"/>
      <c r="CD9" s="20"/>
      <c r="CE9" s="20"/>
      <c r="CF9" s="20"/>
      <c r="CG9" s="46"/>
      <c r="CH9" s="47"/>
      <c r="CI9" s="30"/>
      <c r="CJ9" s="30"/>
      <c r="CK9" s="30"/>
      <c r="CL9" s="20"/>
      <c r="CM9" s="20"/>
      <c r="CN9" s="20"/>
      <c r="CO9" s="20"/>
      <c r="CP9" s="20"/>
      <c r="CQ9" s="20"/>
      <c r="CR9" s="20"/>
      <c r="CS9" s="46"/>
      <c r="CT9" s="47"/>
      <c r="CU9" s="30"/>
      <c r="CV9" s="30"/>
      <c r="CW9" s="30"/>
      <c r="CX9" s="20"/>
      <c r="CY9" s="20"/>
      <c r="CZ9" s="20"/>
      <c r="DA9" s="20"/>
      <c r="DB9" s="20"/>
      <c r="DC9" s="20"/>
      <c r="DD9" s="20"/>
      <c r="DE9" s="46"/>
      <c r="DF9" s="47"/>
      <c r="DG9" s="30"/>
      <c r="DH9" s="30"/>
      <c r="DI9" s="30"/>
      <c r="DJ9" s="20"/>
      <c r="DK9" s="20"/>
      <c r="DL9" s="20"/>
      <c r="DM9" s="20"/>
      <c r="DN9" s="20"/>
      <c r="DO9" s="20"/>
      <c r="DP9" s="20"/>
      <c r="DQ9" s="46"/>
      <c r="DR9" s="47"/>
      <c r="DS9" s="20"/>
      <c r="DT9" s="20"/>
      <c r="DU9" s="20"/>
      <c r="DV9" s="20"/>
      <c r="DW9" s="20"/>
      <c r="DX9" s="20"/>
      <c r="DY9" s="20"/>
      <c r="DZ9" s="20"/>
      <c r="EA9" s="20"/>
      <c r="EB9" s="20"/>
    </row>
    <row r="10" spans="1:132" s="29" customFormat="1" ht="12.75">
      <c r="A10" s="45">
        <v>1993</v>
      </c>
      <c r="B10" s="48" t="s">
        <v>42</v>
      </c>
      <c r="C10" s="35">
        <f t="shared" si="2"/>
        <v>0.79655950710669188</v>
      </c>
      <c r="D10" s="35">
        <f t="shared" si="3"/>
        <v>0.93398183248694655</v>
      </c>
      <c r="E10" s="35">
        <f t="shared" si="4"/>
        <v>0.85286402732873789</v>
      </c>
      <c r="F10" s="20">
        <v>16393</v>
      </c>
      <c r="G10" s="20">
        <f t="shared" si="0"/>
        <v>2412</v>
      </c>
      <c r="H10" s="20">
        <v>13981</v>
      </c>
      <c r="I10" s="20">
        <v>13058</v>
      </c>
      <c r="J10" s="20">
        <f t="shared" si="1"/>
        <v>923</v>
      </c>
      <c r="K10" s="20"/>
      <c r="L10" s="20"/>
      <c r="M10" s="45"/>
      <c r="N10" s="48"/>
      <c r="O10" s="30"/>
      <c r="P10" s="30"/>
      <c r="Q10" s="30"/>
      <c r="R10" s="20"/>
      <c r="S10" s="20"/>
      <c r="T10" s="20"/>
      <c r="U10" s="20"/>
      <c r="V10" s="20"/>
      <c r="W10" s="20"/>
      <c r="X10" s="20"/>
      <c r="Y10" s="45"/>
      <c r="Z10" s="48"/>
      <c r="AA10" s="30"/>
      <c r="AB10" s="30"/>
      <c r="AC10" s="30"/>
      <c r="AD10" s="20"/>
      <c r="AE10" s="20"/>
      <c r="AF10" s="20"/>
      <c r="AG10" s="20"/>
      <c r="AH10" s="20"/>
      <c r="AI10" s="20"/>
      <c r="AJ10" s="20"/>
      <c r="AK10" s="45"/>
      <c r="AL10" s="48"/>
      <c r="AM10" s="30"/>
      <c r="AN10" s="30"/>
      <c r="AO10" s="30"/>
      <c r="AP10" s="20"/>
      <c r="AQ10" s="20"/>
      <c r="AR10" s="20"/>
      <c r="AS10" s="20"/>
      <c r="AT10" s="20"/>
      <c r="AU10" s="20"/>
      <c r="AV10" s="20"/>
      <c r="AW10" s="45"/>
      <c r="AX10" s="48"/>
      <c r="AY10" s="30"/>
      <c r="AZ10" s="30"/>
      <c r="BA10" s="30"/>
      <c r="BB10" s="20"/>
      <c r="BC10" s="20"/>
      <c r="BD10" s="20"/>
      <c r="BE10" s="20"/>
      <c r="BF10" s="20"/>
      <c r="BG10" s="20"/>
      <c r="BH10" s="20"/>
      <c r="BI10" s="45"/>
      <c r="BJ10" s="48"/>
      <c r="BK10" s="30"/>
      <c r="BL10" s="30"/>
      <c r="BM10" s="30"/>
      <c r="BN10" s="20"/>
      <c r="BO10" s="20"/>
      <c r="BP10" s="20"/>
      <c r="BQ10" s="20"/>
      <c r="BR10" s="20"/>
      <c r="BS10" s="20"/>
      <c r="BT10" s="20"/>
      <c r="BU10" s="45"/>
      <c r="BV10" s="48"/>
      <c r="BW10" s="30"/>
      <c r="BX10" s="30"/>
      <c r="BY10" s="30"/>
      <c r="BZ10" s="20"/>
      <c r="CA10" s="20"/>
      <c r="CB10" s="20"/>
      <c r="CC10" s="20"/>
      <c r="CD10" s="20"/>
      <c r="CE10" s="20"/>
      <c r="CF10" s="20"/>
      <c r="CG10" s="45"/>
      <c r="CH10" s="48"/>
      <c r="CI10" s="30"/>
      <c r="CJ10" s="30"/>
      <c r="CK10" s="30"/>
      <c r="CL10" s="20"/>
      <c r="CM10" s="20"/>
      <c r="CN10" s="20"/>
      <c r="CO10" s="20"/>
      <c r="CP10" s="20"/>
      <c r="CQ10" s="20"/>
      <c r="CR10" s="20"/>
      <c r="CS10" s="45"/>
      <c r="CT10" s="48"/>
      <c r="CU10" s="30"/>
      <c r="CV10" s="30"/>
      <c r="CW10" s="30"/>
      <c r="CX10" s="20"/>
      <c r="CY10" s="20"/>
      <c r="CZ10" s="20"/>
      <c r="DA10" s="20"/>
      <c r="DB10" s="20"/>
      <c r="DC10" s="20"/>
      <c r="DD10" s="20"/>
      <c r="DE10" s="45"/>
      <c r="DF10" s="48"/>
      <c r="DG10" s="30"/>
      <c r="DH10" s="30"/>
      <c r="DI10" s="30"/>
      <c r="DJ10" s="20"/>
      <c r="DK10" s="20"/>
      <c r="DL10" s="20"/>
      <c r="DM10" s="20"/>
      <c r="DN10" s="20"/>
      <c r="DO10" s="20"/>
      <c r="DP10" s="20"/>
      <c r="DQ10" s="45"/>
      <c r="DR10" s="48"/>
      <c r="DS10" s="20"/>
      <c r="DT10" s="20"/>
      <c r="DU10" s="20"/>
      <c r="DV10" s="20"/>
      <c r="DW10" s="20"/>
      <c r="DX10" s="20"/>
      <c r="DY10" s="20"/>
      <c r="DZ10" s="20"/>
      <c r="EA10" s="20"/>
      <c r="EB10" s="20"/>
    </row>
    <row r="11" spans="1:132" s="29" customFormat="1" ht="12.75">
      <c r="A11" s="46">
        <v>1993</v>
      </c>
      <c r="B11" s="47" t="s">
        <v>43</v>
      </c>
      <c r="C11" s="35">
        <f t="shared" si="2"/>
        <v>0.79262164480941288</v>
      </c>
      <c r="D11" s="35">
        <f t="shared" si="3"/>
        <v>0.91438670908448216</v>
      </c>
      <c r="E11" s="35">
        <f t="shared" si="4"/>
        <v>0.86683417085427139</v>
      </c>
      <c r="F11" s="20">
        <v>16318</v>
      </c>
      <c r="G11" s="20">
        <f t="shared" si="0"/>
        <v>2173</v>
      </c>
      <c r="H11" s="20">
        <v>14145</v>
      </c>
      <c r="I11" s="20">
        <v>12934</v>
      </c>
      <c r="J11" s="20">
        <f t="shared" si="1"/>
        <v>1211</v>
      </c>
      <c r="K11" s="20"/>
      <c r="L11" s="20"/>
      <c r="M11" s="46"/>
      <c r="N11" s="47"/>
      <c r="O11" s="30"/>
      <c r="P11" s="30"/>
      <c r="Q11" s="30"/>
      <c r="R11" s="20"/>
      <c r="S11" s="20"/>
      <c r="T11" s="20"/>
      <c r="U11" s="20"/>
      <c r="V11" s="20"/>
      <c r="W11" s="20"/>
      <c r="X11" s="20"/>
      <c r="Y11" s="46"/>
      <c r="Z11" s="47"/>
      <c r="AA11" s="30"/>
      <c r="AB11" s="30"/>
      <c r="AC11" s="30"/>
      <c r="AD11" s="20"/>
      <c r="AE11" s="20"/>
      <c r="AF11" s="20"/>
      <c r="AG11" s="20"/>
      <c r="AH11" s="20"/>
      <c r="AI11" s="20"/>
      <c r="AJ11" s="20"/>
      <c r="AK11" s="46"/>
      <c r="AL11" s="47"/>
      <c r="AM11" s="30"/>
      <c r="AN11" s="30"/>
      <c r="AO11" s="30"/>
      <c r="AP11" s="20"/>
      <c r="AQ11" s="20"/>
      <c r="AR11" s="20"/>
      <c r="AS11" s="20"/>
      <c r="AT11" s="20"/>
      <c r="AU11" s="20"/>
      <c r="AV11" s="20"/>
      <c r="AW11" s="46"/>
      <c r="AX11" s="47"/>
      <c r="AY11" s="30"/>
      <c r="AZ11" s="30"/>
      <c r="BA11" s="30"/>
      <c r="BB11" s="20"/>
      <c r="BC11" s="20"/>
      <c r="BD11" s="20"/>
      <c r="BE11" s="20"/>
      <c r="BF11" s="20"/>
      <c r="BG11" s="20"/>
      <c r="BH11" s="20"/>
      <c r="BI11" s="46"/>
      <c r="BJ11" s="47"/>
      <c r="BK11" s="30"/>
      <c r="BL11" s="30"/>
      <c r="BM11" s="30"/>
      <c r="BN11" s="20"/>
      <c r="BO11" s="20"/>
      <c r="BP11" s="20"/>
      <c r="BQ11" s="20"/>
      <c r="BR11" s="20"/>
      <c r="BS11" s="20"/>
      <c r="BT11" s="20"/>
      <c r="BU11" s="46"/>
      <c r="BV11" s="47"/>
      <c r="BW11" s="30"/>
      <c r="BX11" s="30"/>
      <c r="BY11" s="30"/>
      <c r="BZ11" s="20"/>
      <c r="CA11" s="20"/>
      <c r="CB11" s="20"/>
      <c r="CC11" s="20"/>
      <c r="CD11" s="20"/>
      <c r="CE11" s="20"/>
      <c r="CF11" s="20"/>
      <c r="CG11" s="46"/>
      <c r="CH11" s="47"/>
      <c r="CI11" s="30"/>
      <c r="CJ11" s="30"/>
      <c r="CK11" s="30"/>
      <c r="CL11" s="20"/>
      <c r="CM11" s="20"/>
      <c r="CN11" s="20"/>
      <c r="CO11" s="20"/>
      <c r="CP11" s="20"/>
      <c r="CQ11" s="20"/>
      <c r="CR11" s="20"/>
      <c r="CS11" s="46"/>
      <c r="CT11" s="47"/>
      <c r="CU11" s="30"/>
      <c r="CV11" s="30"/>
      <c r="CW11" s="30"/>
      <c r="CX11" s="20"/>
      <c r="CY11" s="20"/>
      <c r="CZ11" s="20"/>
      <c r="DA11" s="20"/>
      <c r="DB11" s="20"/>
      <c r="DC11" s="20"/>
      <c r="DD11" s="20"/>
      <c r="DE11" s="46"/>
      <c r="DF11" s="47"/>
      <c r="DG11" s="30"/>
      <c r="DH11" s="30"/>
      <c r="DI11" s="30"/>
      <c r="DJ11" s="20"/>
      <c r="DK11" s="20"/>
      <c r="DL11" s="20"/>
      <c r="DM11" s="20"/>
      <c r="DN11" s="20"/>
      <c r="DO11" s="20"/>
      <c r="DP11" s="20"/>
      <c r="DQ11" s="46"/>
      <c r="DR11" s="47"/>
      <c r="DS11" s="20"/>
      <c r="DT11" s="20"/>
      <c r="DU11" s="20"/>
      <c r="DV11" s="20"/>
      <c r="DW11" s="20"/>
      <c r="DX11" s="20"/>
      <c r="DY11" s="20"/>
      <c r="DZ11" s="20"/>
      <c r="EA11" s="20"/>
      <c r="EB11" s="20"/>
    </row>
    <row r="12" spans="1:132" s="29" customFormat="1" ht="12.75">
      <c r="A12" s="45">
        <v>1993</v>
      </c>
      <c r="B12" s="48" t="s">
        <v>44</v>
      </c>
      <c r="C12" s="35">
        <f t="shared" si="2"/>
        <v>0.79713321092222944</v>
      </c>
      <c r="D12" s="35">
        <f t="shared" si="3"/>
        <v>0.93070539419087139</v>
      </c>
      <c r="E12" s="35">
        <f t="shared" si="4"/>
        <v>0.85648285257359469</v>
      </c>
      <c r="F12" s="20">
        <v>16883</v>
      </c>
      <c r="G12" s="20">
        <f t="shared" si="0"/>
        <v>2423</v>
      </c>
      <c r="H12" s="20">
        <v>14460</v>
      </c>
      <c r="I12" s="20">
        <v>13458</v>
      </c>
      <c r="J12" s="20">
        <f t="shared" si="1"/>
        <v>1002</v>
      </c>
      <c r="K12" s="20"/>
      <c r="L12" s="20"/>
      <c r="M12" s="45"/>
      <c r="N12" s="48"/>
      <c r="O12" s="30"/>
      <c r="P12" s="30"/>
      <c r="Q12" s="30"/>
      <c r="R12" s="20"/>
      <c r="S12" s="20"/>
      <c r="T12" s="20"/>
      <c r="U12" s="20"/>
      <c r="V12" s="20"/>
      <c r="W12" s="20"/>
      <c r="X12" s="20"/>
      <c r="Y12" s="45"/>
      <c r="Z12" s="48"/>
      <c r="AA12" s="30"/>
      <c r="AB12" s="30"/>
      <c r="AC12" s="30"/>
      <c r="AD12" s="20"/>
      <c r="AE12" s="20"/>
      <c r="AF12" s="20"/>
      <c r="AG12" s="20"/>
      <c r="AH12" s="20"/>
      <c r="AI12" s="20"/>
      <c r="AJ12" s="20"/>
      <c r="AK12" s="45"/>
      <c r="AL12" s="48"/>
      <c r="AM12" s="30"/>
      <c r="AN12" s="30"/>
      <c r="AO12" s="30"/>
      <c r="AP12" s="20"/>
      <c r="AQ12" s="20"/>
      <c r="AR12" s="20"/>
      <c r="AS12" s="20"/>
      <c r="AT12" s="20"/>
      <c r="AU12" s="20"/>
      <c r="AV12" s="20"/>
      <c r="AW12" s="45"/>
      <c r="AX12" s="48"/>
      <c r="AY12" s="30"/>
      <c r="AZ12" s="30"/>
      <c r="BA12" s="30"/>
      <c r="BB12" s="20"/>
      <c r="BC12" s="20"/>
      <c r="BD12" s="20"/>
      <c r="BE12" s="20"/>
      <c r="BF12" s="20"/>
      <c r="BG12" s="20"/>
      <c r="BH12" s="20"/>
      <c r="BI12" s="45"/>
      <c r="BJ12" s="48"/>
      <c r="BK12" s="30"/>
      <c r="BL12" s="30"/>
      <c r="BM12" s="30"/>
      <c r="BN12" s="20"/>
      <c r="BO12" s="20"/>
      <c r="BP12" s="20"/>
      <c r="BQ12" s="20"/>
      <c r="BR12" s="20"/>
      <c r="BS12" s="20"/>
      <c r="BT12" s="20"/>
      <c r="BU12" s="45"/>
      <c r="BV12" s="48"/>
      <c r="BW12" s="30"/>
      <c r="BX12" s="30"/>
      <c r="BY12" s="30"/>
      <c r="BZ12" s="20"/>
      <c r="CA12" s="20"/>
      <c r="CB12" s="20"/>
      <c r="CC12" s="20"/>
      <c r="CD12" s="20"/>
      <c r="CE12" s="20"/>
      <c r="CF12" s="20"/>
      <c r="CG12" s="45"/>
      <c r="CH12" s="48"/>
      <c r="CI12" s="30"/>
      <c r="CJ12" s="30"/>
      <c r="CK12" s="30"/>
      <c r="CL12" s="20"/>
      <c r="CM12" s="20"/>
      <c r="CN12" s="20"/>
      <c r="CO12" s="20"/>
      <c r="CP12" s="20"/>
      <c r="CQ12" s="20"/>
      <c r="CR12" s="20"/>
      <c r="CS12" s="45"/>
      <c r="CT12" s="48"/>
      <c r="CU12" s="30"/>
      <c r="CV12" s="30"/>
      <c r="CW12" s="30"/>
      <c r="CX12" s="20"/>
      <c r="CY12" s="20"/>
      <c r="CZ12" s="20"/>
      <c r="DA12" s="20"/>
      <c r="DB12" s="20"/>
      <c r="DC12" s="20"/>
      <c r="DD12" s="20"/>
      <c r="DE12" s="45"/>
      <c r="DF12" s="48"/>
      <c r="DG12" s="30"/>
      <c r="DH12" s="30"/>
      <c r="DI12" s="30"/>
      <c r="DJ12" s="20"/>
      <c r="DK12" s="20"/>
      <c r="DL12" s="20"/>
      <c r="DM12" s="20"/>
      <c r="DN12" s="20"/>
      <c r="DO12" s="20"/>
      <c r="DP12" s="20"/>
      <c r="DQ12" s="45"/>
      <c r="DR12" s="48"/>
      <c r="DS12" s="20"/>
      <c r="DT12" s="20"/>
      <c r="DU12" s="20"/>
      <c r="DV12" s="20"/>
      <c r="DW12" s="20"/>
      <c r="DX12" s="20"/>
      <c r="DY12" s="20"/>
      <c r="DZ12" s="20"/>
      <c r="EA12" s="20"/>
      <c r="EB12" s="20"/>
    </row>
    <row r="13" spans="1:132" s="29" customFormat="1" ht="12.75">
      <c r="A13" s="46">
        <v>1993</v>
      </c>
      <c r="B13" s="47" t="s">
        <v>45</v>
      </c>
      <c r="C13" s="35">
        <f t="shared" si="2"/>
        <v>0.80787467739031271</v>
      </c>
      <c r="D13" s="35">
        <f t="shared" si="3"/>
        <v>0.92610430714187419</v>
      </c>
      <c r="E13" s="35">
        <f t="shared" si="4"/>
        <v>0.87233659444211031</v>
      </c>
      <c r="F13" s="20">
        <v>16661</v>
      </c>
      <c r="G13" s="20">
        <f t="shared" si="0"/>
        <v>2127</v>
      </c>
      <c r="H13" s="20">
        <v>14534</v>
      </c>
      <c r="I13" s="20">
        <v>13460</v>
      </c>
      <c r="J13" s="20">
        <f t="shared" si="1"/>
        <v>1074</v>
      </c>
      <c r="K13" s="20"/>
      <c r="L13" s="20"/>
      <c r="M13" s="46"/>
      <c r="N13" s="47"/>
      <c r="O13" s="30"/>
      <c r="P13" s="30"/>
      <c r="Q13" s="30"/>
      <c r="R13" s="20"/>
      <c r="S13" s="20"/>
      <c r="T13" s="20"/>
      <c r="U13" s="20"/>
      <c r="V13" s="20"/>
      <c r="W13" s="20"/>
      <c r="X13" s="20"/>
      <c r="Y13" s="46"/>
      <c r="Z13" s="47"/>
      <c r="AA13" s="30"/>
      <c r="AB13" s="30"/>
      <c r="AC13" s="30"/>
      <c r="AD13" s="20"/>
      <c r="AE13" s="20"/>
      <c r="AF13" s="20"/>
      <c r="AG13" s="20"/>
      <c r="AH13" s="20"/>
      <c r="AI13" s="20"/>
      <c r="AJ13" s="20"/>
      <c r="AK13" s="46"/>
      <c r="AL13" s="47"/>
      <c r="AM13" s="30"/>
      <c r="AN13" s="30"/>
      <c r="AO13" s="30"/>
      <c r="AP13" s="20"/>
      <c r="AQ13" s="20"/>
      <c r="AR13" s="20"/>
      <c r="AS13" s="20"/>
      <c r="AT13" s="20"/>
      <c r="AU13" s="20"/>
      <c r="AV13" s="20"/>
      <c r="AW13" s="46"/>
      <c r="AX13" s="47"/>
      <c r="AY13" s="30"/>
      <c r="AZ13" s="30"/>
      <c r="BA13" s="30"/>
      <c r="BB13" s="20"/>
      <c r="BC13" s="20"/>
      <c r="BD13" s="20"/>
      <c r="BE13" s="20"/>
      <c r="BF13" s="20"/>
      <c r="BG13" s="20"/>
      <c r="BH13" s="20"/>
      <c r="BI13" s="46"/>
      <c r="BJ13" s="47"/>
      <c r="BK13" s="30"/>
      <c r="BL13" s="30"/>
      <c r="BM13" s="30"/>
      <c r="BN13" s="20"/>
      <c r="BO13" s="20"/>
      <c r="BP13" s="20"/>
      <c r="BQ13" s="20"/>
      <c r="BR13" s="20"/>
      <c r="BS13" s="20"/>
      <c r="BT13" s="20"/>
      <c r="BU13" s="46"/>
      <c r="BV13" s="47"/>
      <c r="BW13" s="30"/>
      <c r="BX13" s="30"/>
      <c r="BY13" s="30"/>
      <c r="BZ13" s="20"/>
      <c r="CA13" s="20"/>
      <c r="CB13" s="20"/>
      <c r="CC13" s="20"/>
      <c r="CD13" s="20"/>
      <c r="CE13" s="20"/>
      <c r="CF13" s="20"/>
      <c r="CG13" s="46"/>
      <c r="CH13" s="47"/>
      <c r="CI13" s="30"/>
      <c r="CJ13" s="30"/>
      <c r="CK13" s="30"/>
      <c r="CL13" s="20"/>
      <c r="CM13" s="20"/>
      <c r="CN13" s="20"/>
      <c r="CO13" s="20"/>
      <c r="CP13" s="20"/>
      <c r="CQ13" s="20"/>
      <c r="CR13" s="20"/>
      <c r="CS13" s="46"/>
      <c r="CT13" s="47"/>
      <c r="CU13" s="30"/>
      <c r="CV13" s="30"/>
      <c r="CW13" s="30"/>
      <c r="CX13" s="20"/>
      <c r="CY13" s="20"/>
      <c r="CZ13" s="20"/>
      <c r="DA13" s="20"/>
      <c r="DB13" s="20"/>
      <c r="DC13" s="20"/>
      <c r="DD13" s="20"/>
      <c r="DE13" s="46"/>
      <c r="DF13" s="47"/>
      <c r="DG13" s="30"/>
      <c r="DH13" s="30"/>
      <c r="DI13" s="30"/>
      <c r="DJ13" s="20"/>
      <c r="DK13" s="20"/>
      <c r="DL13" s="20"/>
      <c r="DM13" s="20"/>
      <c r="DN13" s="20"/>
      <c r="DO13" s="20"/>
      <c r="DP13" s="20"/>
      <c r="DQ13" s="46"/>
      <c r="DR13" s="47"/>
      <c r="DS13" s="20"/>
      <c r="DT13" s="20"/>
      <c r="DU13" s="20"/>
      <c r="DV13" s="20"/>
      <c r="DW13" s="20"/>
      <c r="DX13" s="20"/>
      <c r="DY13" s="20"/>
      <c r="DZ13" s="20"/>
      <c r="EA13" s="20"/>
      <c r="EB13" s="20"/>
    </row>
    <row r="14" spans="1:132" s="29" customFormat="1" ht="12.75">
      <c r="A14" s="45">
        <v>1993</v>
      </c>
      <c r="B14" s="48" t="s">
        <v>46</v>
      </c>
      <c r="C14" s="35">
        <f t="shared" si="2"/>
        <v>0.7758412736702448</v>
      </c>
      <c r="D14" s="35">
        <f t="shared" si="3"/>
        <v>0.88975724462272632</v>
      </c>
      <c r="E14" s="35">
        <f t="shared" si="4"/>
        <v>0.87196960559642989</v>
      </c>
      <c r="F14" s="20">
        <v>16582</v>
      </c>
      <c r="G14" s="20">
        <f t="shared" si="0"/>
        <v>2123</v>
      </c>
      <c r="H14" s="20">
        <v>14459</v>
      </c>
      <c r="I14" s="20">
        <v>12865</v>
      </c>
      <c r="J14" s="20">
        <f t="shared" si="1"/>
        <v>1594</v>
      </c>
      <c r="K14" s="20"/>
      <c r="L14" s="20"/>
      <c r="M14" s="45"/>
      <c r="N14" s="48"/>
      <c r="O14" s="30"/>
      <c r="P14" s="30"/>
      <c r="Q14" s="30"/>
      <c r="R14" s="20"/>
      <c r="S14" s="20"/>
      <c r="T14" s="20"/>
      <c r="U14" s="20"/>
      <c r="V14" s="20"/>
      <c r="W14" s="20"/>
      <c r="X14" s="20"/>
      <c r="Y14" s="45"/>
      <c r="Z14" s="48"/>
      <c r="AA14" s="30"/>
      <c r="AB14" s="30"/>
      <c r="AC14" s="30"/>
      <c r="AD14" s="20"/>
      <c r="AE14" s="20"/>
      <c r="AF14" s="20"/>
      <c r="AG14" s="20"/>
      <c r="AH14" s="20"/>
      <c r="AI14" s="20"/>
      <c r="AJ14" s="20"/>
      <c r="AK14" s="45"/>
      <c r="AL14" s="48"/>
      <c r="AM14" s="30"/>
      <c r="AN14" s="30"/>
      <c r="AO14" s="30"/>
      <c r="AP14" s="20"/>
      <c r="AQ14" s="20"/>
      <c r="AR14" s="20"/>
      <c r="AS14" s="20"/>
      <c r="AT14" s="20"/>
      <c r="AU14" s="20"/>
      <c r="AV14" s="20"/>
      <c r="AW14" s="45"/>
      <c r="AX14" s="48"/>
      <c r="AY14" s="30"/>
      <c r="AZ14" s="30"/>
      <c r="BA14" s="30"/>
      <c r="BB14" s="20"/>
      <c r="BC14" s="20"/>
      <c r="BD14" s="20"/>
      <c r="BE14" s="20"/>
      <c r="BF14" s="20"/>
      <c r="BG14" s="20"/>
      <c r="BH14" s="20"/>
      <c r="BI14" s="45"/>
      <c r="BJ14" s="48"/>
      <c r="BK14" s="30"/>
      <c r="BL14" s="30"/>
      <c r="BM14" s="30"/>
      <c r="BN14" s="20"/>
      <c r="BO14" s="20"/>
      <c r="BP14" s="20"/>
      <c r="BQ14" s="20"/>
      <c r="BR14" s="20"/>
      <c r="BS14" s="20"/>
      <c r="BT14" s="20"/>
      <c r="BU14" s="45"/>
      <c r="BV14" s="48"/>
      <c r="BW14" s="30"/>
      <c r="BX14" s="30"/>
      <c r="BY14" s="30"/>
      <c r="BZ14" s="20"/>
      <c r="CA14" s="20"/>
      <c r="CB14" s="20"/>
      <c r="CC14" s="20"/>
      <c r="CD14" s="20"/>
      <c r="CE14" s="20"/>
      <c r="CF14" s="20"/>
      <c r="CG14" s="45"/>
      <c r="CH14" s="48"/>
      <c r="CI14" s="30"/>
      <c r="CJ14" s="30"/>
      <c r="CK14" s="30"/>
      <c r="CL14" s="20"/>
      <c r="CM14" s="20"/>
      <c r="CN14" s="20"/>
      <c r="CO14" s="20"/>
      <c r="CP14" s="20"/>
      <c r="CQ14" s="20"/>
      <c r="CR14" s="20"/>
      <c r="CS14" s="45"/>
      <c r="CT14" s="48"/>
      <c r="CU14" s="30"/>
      <c r="CV14" s="30"/>
      <c r="CW14" s="30"/>
      <c r="CX14" s="20"/>
      <c r="CY14" s="20"/>
      <c r="CZ14" s="20"/>
      <c r="DA14" s="20"/>
      <c r="DB14" s="20"/>
      <c r="DC14" s="20"/>
      <c r="DD14" s="20"/>
      <c r="DE14" s="45"/>
      <c r="DF14" s="48"/>
      <c r="DG14" s="30"/>
      <c r="DH14" s="30"/>
      <c r="DI14" s="30"/>
      <c r="DJ14" s="20"/>
      <c r="DK14" s="20"/>
      <c r="DL14" s="20"/>
      <c r="DM14" s="20"/>
      <c r="DN14" s="20"/>
      <c r="DO14" s="20"/>
      <c r="DP14" s="20"/>
      <c r="DQ14" s="45"/>
      <c r="DR14" s="48"/>
      <c r="DS14" s="20"/>
      <c r="DT14" s="20"/>
      <c r="DU14" s="20"/>
      <c r="DV14" s="20"/>
      <c r="DW14" s="20"/>
      <c r="DX14" s="20"/>
      <c r="DY14" s="20"/>
      <c r="DZ14" s="20"/>
      <c r="EA14" s="20"/>
      <c r="EB14" s="20"/>
    </row>
    <row r="15" spans="1:132" s="29" customFormat="1" ht="12.75">
      <c r="A15" s="46">
        <v>1993</v>
      </c>
      <c r="B15" s="47" t="s">
        <v>47</v>
      </c>
      <c r="C15" s="35">
        <f t="shared" si="2"/>
        <v>0.82159822019120921</v>
      </c>
      <c r="D15" s="35">
        <f t="shared" si="3"/>
        <v>0.92255755857133215</v>
      </c>
      <c r="E15" s="35">
        <f t="shared" si="4"/>
        <v>0.89056581083518727</v>
      </c>
      <c r="F15" s="20">
        <v>16631</v>
      </c>
      <c r="G15" s="20">
        <f t="shared" si="0"/>
        <v>1820</v>
      </c>
      <c r="H15" s="20">
        <v>14811</v>
      </c>
      <c r="I15" s="20">
        <v>13664</v>
      </c>
      <c r="J15" s="20">
        <f t="shared" si="1"/>
        <v>1147</v>
      </c>
      <c r="K15" s="20"/>
      <c r="L15" s="20"/>
      <c r="M15" s="46"/>
      <c r="N15" s="47"/>
      <c r="O15" s="30"/>
      <c r="P15" s="30"/>
      <c r="Q15" s="30"/>
      <c r="R15" s="20"/>
      <c r="S15" s="20"/>
      <c r="T15" s="20"/>
      <c r="U15" s="20"/>
      <c r="V15" s="20"/>
      <c r="W15" s="20"/>
      <c r="X15" s="20"/>
      <c r="Y15" s="46"/>
      <c r="Z15" s="47"/>
      <c r="AA15" s="30"/>
      <c r="AB15" s="30"/>
      <c r="AC15" s="30"/>
      <c r="AD15" s="20"/>
      <c r="AE15" s="20"/>
      <c r="AF15" s="20"/>
      <c r="AG15" s="20"/>
      <c r="AH15" s="20"/>
      <c r="AI15" s="20"/>
      <c r="AJ15" s="20"/>
      <c r="AK15" s="46"/>
      <c r="AL15" s="47"/>
      <c r="AM15" s="30"/>
      <c r="AN15" s="30"/>
      <c r="AO15" s="30"/>
      <c r="AP15" s="20"/>
      <c r="AQ15" s="20"/>
      <c r="AR15" s="20"/>
      <c r="AS15" s="20"/>
      <c r="AT15" s="20"/>
      <c r="AU15" s="20"/>
      <c r="AV15" s="20"/>
      <c r="AW15" s="46"/>
      <c r="AX15" s="47"/>
      <c r="AY15" s="30"/>
      <c r="AZ15" s="30"/>
      <c r="BA15" s="30"/>
      <c r="BB15" s="20"/>
      <c r="BC15" s="20"/>
      <c r="BD15" s="20"/>
      <c r="BE15" s="20"/>
      <c r="BF15" s="20"/>
      <c r="BG15" s="20"/>
      <c r="BH15" s="20"/>
      <c r="BI15" s="46"/>
      <c r="BJ15" s="47"/>
      <c r="BK15" s="30"/>
      <c r="BL15" s="30"/>
      <c r="BM15" s="30"/>
      <c r="BN15" s="20"/>
      <c r="BO15" s="20"/>
      <c r="BP15" s="20"/>
      <c r="BQ15" s="20"/>
      <c r="BR15" s="20"/>
      <c r="BS15" s="20"/>
      <c r="BT15" s="20"/>
      <c r="BU15" s="46"/>
      <c r="BV15" s="47"/>
      <c r="BW15" s="30"/>
      <c r="BX15" s="30"/>
      <c r="BY15" s="30"/>
      <c r="BZ15" s="20"/>
      <c r="CA15" s="20"/>
      <c r="CB15" s="20"/>
      <c r="CC15" s="20"/>
      <c r="CD15" s="20"/>
      <c r="CE15" s="20"/>
      <c r="CF15" s="20"/>
      <c r="CG15" s="46"/>
      <c r="CH15" s="47"/>
      <c r="CI15" s="30"/>
      <c r="CJ15" s="30"/>
      <c r="CK15" s="30"/>
      <c r="CL15" s="20"/>
      <c r="CM15" s="20"/>
      <c r="CN15" s="20"/>
      <c r="CO15" s="20"/>
      <c r="CP15" s="20"/>
      <c r="CQ15" s="20"/>
      <c r="CR15" s="20"/>
      <c r="CS15" s="46"/>
      <c r="CT15" s="47"/>
      <c r="CU15" s="30"/>
      <c r="CV15" s="30"/>
      <c r="CW15" s="30"/>
      <c r="CX15" s="20"/>
      <c r="CY15" s="20"/>
      <c r="CZ15" s="20"/>
      <c r="DA15" s="20"/>
      <c r="DB15" s="20"/>
      <c r="DC15" s="20"/>
      <c r="DD15" s="20"/>
      <c r="DE15" s="46"/>
      <c r="DF15" s="47"/>
      <c r="DG15" s="30"/>
      <c r="DH15" s="30"/>
      <c r="DI15" s="30"/>
      <c r="DJ15" s="20"/>
      <c r="DK15" s="20"/>
      <c r="DL15" s="20"/>
      <c r="DM15" s="20"/>
      <c r="DN15" s="20"/>
      <c r="DO15" s="20"/>
      <c r="DP15" s="20"/>
      <c r="DQ15" s="46"/>
      <c r="DR15" s="47"/>
      <c r="DS15" s="20"/>
      <c r="DT15" s="20"/>
      <c r="DU15" s="20"/>
      <c r="DV15" s="20"/>
      <c r="DW15" s="20"/>
      <c r="DX15" s="20"/>
      <c r="DY15" s="20"/>
      <c r="DZ15" s="20"/>
      <c r="EA15" s="20"/>
      <c r="EB15" s="20"/>
    </row>
    <row r="16" spans="1:132" s="29" customFormat="1" ht="12.75">
      <c r="A16" s="45">
        <v>1993</v>
      </c>
      <c r="B16" s="48" t="s">
        <v>48</v>
      </c>
      <c r="C16" s="35">
        <f t="shared" si="2"/>
        <v>0.79464447258910798</v>
      </c>
      <c r="D16" s="35">
        <f t="shared" si="3"/>
        <v>0.91882845188284523</v>
      </c>
      <c r="E16" s="35">
        <f t="shared" si="4"/>
        <v>0.8648453048670165</v>
      </c>
      <c r="F16" s="20">
        <v>16581</v>
      </c>
      <c r="G16" s="20">
        <f t="shared" si="0"/>
        <v>2241</v>
      </c>
      <c r="H16" s="20">
        <v>14340</v>
      </c>
      <c r="I16" s="20">
        <v>13176</v>
      </c>
      <c r="J16" s="20">
        <f t="shared" si="1"/>
        <v>1164</v>
      </c>
      <c r="K16" s="20"/>
      <c r="L16" s="20"/>
      <c r="M16" s="45"/>
      <c r="N16" s="48"/>
      <c r="O16" s="30"/>
      <c r="P16" s="30"/>
      <c r="Q16" s="30"/>
      <c r="R16" s="20"/>
      <c r="S16" s="20"/>
      <c r="T16" s="20"/>
      <c r="U16" s="20"/>
      <c r="V16" s="20"/>
      <c r="W16" s="20"/>
      <c r="X16" s="20"/>
      <c r="Y16" s="45"/>
      <c r="Z16" s="48"/>
      <c r="AA16" s="30"/>
      <c r="AB16" s="30"/>
      <c r="AC16" s="30"/>
      <c r="AD16" s="20"/>
      <c r="AE16" s="20"/>
      <c r="AF16" s="20"/>
      <c r="AG16" s="20"/>
      <c r="AH16" s="20"/>
      <c r="AI16" s="20"/>
      <c r="AJ16" s="20"/>
      <c r="AK16" s="45"/>
      <c r="AL16" s="48"/>
      <c r="AM16" s="30"/>
      <c r="AN16" s="30"/>
      <c r="AO16" s="30"/>
      <c r="AP16" s="20"/>
      <c r="AQ16" s="20"/>
      <c r="AR16" s="20"/>
      <c r="AS16" s="20"/>
      <c r="AT16" s="20"/>
      <c r="AU16" s="20"/>
      <c r="AV16" s="20"/>
      <c r="AW16" s="45"/>
      <c r="AX16" s="48"/>
      <c r="AY16" s="30"/>
      <c r="AZ16" s="30"/>
      <c r="BA16" s="30"/>
      <c r="BB16" s="20"/>
      <c r="BC16" s="20"/>
      <c r="BD16" s="20"/>
      <c r="BE16" s="20"/>
      <c r="BF16" s="20"/>
      <c r="BG16" s="20"/>
      <c r="BH16" s="20"/>
      <c r="BI16" s="45"/>
      <c r="BJ16" s="48"/>
      <c r="BK16" s="30"/>
      <c r="BL16" s="30"/>
      <c r="BM16" s="30"/>
      <c r="BN16" s="20"/>
      <c r="BO16" s="20"/>
      <c r="BP16" s="20"/>
      <c r="BQ16" s="20"/>
      <c r="BR16" s="20"/>
      <c r="BS16" s="20"/>
      <c r="BT16" s="20"/>
      <c r="BU16" s="45"/>
      <c r="BV16" s="48"/>
      <c r="BW16" s="30"/>
      <c r="BX16" s="30"/>
      <c r="BY16" s="30"/>
      <c r="BZ16" s="20"/>
      <c r="CA16" s="20"/>
      <c r="CB16" s="20"/>
      <c r="CC16" s="20"/>
      <c r="CD16" s="20"/>
      <c r="CE16" s="20"/>
      <c r="CF16" s="20"/>
      <c r="CG16" s="45"/>
      <c r="CH16" s="48"/>
      <c r="CI16" s="30"/>
      <c r="CJ16" s="30"/>
      <c r="CK16" s="30"/>
      <c r="CL16" s="20"/>
      <c r="CM16" s="20"/>
      <c r="CN16" s="20"/>
      <c r="CO16" s="20"/>
      <c r="CP16" s="20"/>
      <c r="CQ16" s="20"/>
      <c r="CR16" s="20"/>
      <c r="CS16" s="45"/>
      <c r="CT16" s="48"/>
      <c r="CU16" s="30"/>
      <c r="CV16" s="30"/>
      <c r="CW16" s="30"/>
      <c r="CX16" s="20"/>
      <c r="CY16" s="20"/>
      <c r="CZ16" s="20"/>
      <c r="DA16" s="20"/>
      <c r="DB16" s="20"/>
      <c r="DC16" s="20"/>
      <c r="DD16" s="20"/>
      <c r="DE16" s="45"/>
      <c r="DF16" s="48"/>
      <c r="DG16" s="30"/>
      <c r="DH16" s="30"/>
      <c r="DI16" s="30"/>
      <c r="DJ16" s="20"/>
      <c r="DK16" s="20"/>
      <c r="DL16" s="20"/>
      <c r="DM16" s="20"/>
      <c r="DN16" s="20"/>
      <c r="DO16" s="20"/>
      <c r="DP16" s="20"/>
      <c r="DQ16" s="45"/>
      <c r="DR16" s="48"/>
      <c r="DS16" s="20"/>
      <c r="DT16" s="20"/>
      <c r="DU16" s="20"/>
      <c r="DV16" s="20"/>
      <c r="DW16" s="20"/>
      <c r="DX16" s="20"/>
      <c r="DY16" s="20"/>
      <c r="DZ16" s="20"/>
      <c r="EA16" s="20"/>
      <c r="EB16" s="20"/>
    </row>
    <row r="17" spans="1:132" s="29" customFormat="1" ht="12.75">
      <c r="A17" s="46">
        <v>1993</v>
      </c>
      <c r="B17" s="47" t="s">
        <v>49</v>
      </c>
      <c r="C17" s="35">
        <f t="shared" si="2"/>
        <v>0.78173127987254376</v>
      </c>
      <c r="D17" s="35">
        <f t="shared" si="3"/>
        <v>0.89646772228989036</v>
      </c>
      <c r="E17" s="35">
        <f t="shared" si="4"/>
        <v>0.87201274561869357</v>
      </c>
      <c r="F17" s="20">
        <v>16947</v>
      </c>
      <c r="G17" s="20">
        <f t="shared" si="0"/>
        <v>2169</v>
      </c>
      <c r="H17" s="20">
        <v>14778</v>
      </c>
      <c r="I17" s="20">
        <v>13248</v>
      </c>
      <c r="J17" s="20">
        <f t="shared" si="1"/>
        <v>1530</v>
      </c>
      <c r="K17" s="20"/>
      <c r="L17" s="20"/>
      <c r="M17" s="46"/>
      <c r="N17" s="47"/>
      <c r="O17" s="30"/>
      <c r="P17" s="30"/>
      <c r="Q17" s="30"/>
      <c r="R17" s="20"/>
      <c r="S17" s="20"/>
      <c r="T17" s="20"/>
      <c r="U17" s="20"/>
      <c r="V17" s="20"/>
      <c r="W17" s="20"/>
      <c r="X17" s="20"/>
      <c r="Y17" s="46"/>
      <c r="Z17" s="47"/>
      <c r="AA17" s="30"/>
      <c r="AB17" s="30"/>
      <c r="AC17" s="30"/>
      <c r="AD17" s="20"/>
      <c r="AE17" s="20"/>
      <c r="AF17" s="20"/>
      <c r="AG17" s="20"/>
      <c r="AH17" s="20"/>
      <c r="AI17" s="20"/>
      <c r="AJ17" s="20"/>
      <c r="AK17" s="46"/>
      <c r="AL17" s="47"/>
      <c r="AM17" s="30"/>
      <c r="AN17" s="30"/>
      <c r="AO17" s="30"/>
      <c r="AP17" s="20"/>
      <c r="AQ17" s="20"/>
      <c r="AR17" s="20"/>
      <c r="AS17" s="20"/>
      <c r="AT17" s="20"/>
      <c r="AU17" s="20"/>
      <c r="AV17" s="20"/>
      <c r="AW17" s="46"/>
      <c r="AX17" s="47"/>
      <c r="AY17" s="30"/>
      <c r="AZ17" s="30"/>
      <c r="BA17" s="30"/>
      <c r="BB17" s="20"/>
      <c r="BC17" s="20"/>
      <c r="BD17" s="20"/>
      <c r="BE17" s="20"/>
      <c r="BF17" s="20"/>
      <c r="BG17" s="20"/>
      <c r="BH17" s="20"/>
      <c r="BI17" s="46"/>
      <c r="BJ17" s="47"/>
      <c r="BK17" s="30"/>
      <c r="BL17" s="30"/>
      <c r="BM17" s="30"/>
      <c r="BN17" s="20"/>
      <c r="BO17" s="20"/>
      <c r="BP17" s="20"/>
      <c r="BQ17" s="20"/>
      <c r="BR17" s="20"/>
      <c r="BS17" s="20"/>
      <c r="BT17" s="20"/>
      <c r="BU17" s="46"/>
      <c r="BV17" s="47"/>
      <c r="BW17" s="30"/>
      <c r="BX17" s="30"/>
      <c r="BY17" s="30"/>
      <c r="BZ17" s="20"/>
      <c r="CA17" s="20"/>
      <c r="CB17" s="20"/>
      <c r="CC17" s="20"/>
      <c r="CD17" s="20"/>
      <c r="CE17" s="20"/>
      <c r="CF17" s="20"/>
      <c r="CG17" s="46"/>
      <c r="CH17" s="47"/>
      <c r="CI17" s="30"/>
      <c r="CJ17" s="30"/>
      <c r="CK17" s="30"/>
      <c r="CL17" s="20"/>
      <c r="CM17" s="20"/>
      <c r="CN17" s="20"/>
      <c r="CO17" s="20"/>
      <c r="CP17" s="20"/>
      <c r="CQ17" s="20"/>
      <c r="CR17" s="20"/>
      <c r="CS17" s="46"/>
      <c r="CT17" s="47"/>
      <c r="CU17" s="30"/>
      <c r="CV17" s="30"/>
      <c r="CW17" s="30"/>
      <c r="CX17" s="20"/>
      <c r="CY17" s="20"/>
      <c r="CZ17" s="20"/>
      <c r="DA17" s="20"/>
      <c r="DB17" s="20"/>
      <c r="DC17" s="20"/>
      <c r="DD17" s="20"/>
      <c r="DE17" s="46"/>
      <c r="DF17" s="47"/>
      <c r="DG17" s="30"/>
      <c r="DH17" s="30"/>
      <c r="DI17" s="30"/>
      <c r="DJ17" s="20"/>
      <c r="DK17" s="20"/>
      <c r="DL17" s="20"/>
      <c r="DM17" s="20"/>
      <c r="DN17" s="20"/>
      <c r="DO17" s="20"/>
      <c r="DP17" s="20"/>
      <c r="DQ17" s="46"/>
      <c r="DR17" s="47"/>
      <c r="DS17" s="20"/>
      <c r="DT17" s="20"/>
      <c r="DU17" s="20"/>
      <c r="DV17" s="20"/>
      <c r="DW17" s="20"/>
      <c r="DX17" s="20"/>
      <c r="DY17" s="20"/>
      <c r="DZ17" s="20"/>
      <c r="EA17" s="20"/>
      <c r="EB17" s="20"/>
    </row>
    <row r="18" spans="1:132" s="29" customFormat="1" ht="12.75">
      <c r="A18" s="45">
        <v>1994</v>
      </c>
      <c r="B18" s="48" t="s">
        <v>38</v>
      </c>
      <c r="C18" s="35">
        <f t="shared" si="2"/>
        <v>0.7946922443215253</v>
      </c>
      <c r="D18" s="35">
        <f t="shared" si="3"/>
        <v>0.90789915966386558</v>
      </c>
      <c r="E18" s="35">
        <f t="shared" si="4"/>
        <v>0.87530893256443454</v>
      </c>
      <c r="F18" s="20">
        <v>16994</v>
      </c>
      <c r="G18" s="20">
        <f t="shared" ref="G18:G29" si="5">F18-H18</f>
        <v>2119</v>
      </c>
      <c r="H18" s="20">
        <v>14875</v>
      </c>
      <c r="I18" s="20">
        <v>13505</v>
      </c>
      <c r="J18" s="20">
        <f t="shared" ref="J18:J29" si="6">H18-I18</f>
        <v>1370</v>
      </c>
      <c r="K18" s="20"/>
      <c r="L18" s="20"/>
      <c r="M18" s="45"/>
      <c r="N18" s="48"/>
      <c r="O18" s="30"/>
      <c r="P18" s="30"/>
      <c r="Q18" s="30"/>
      <c r="R18" s="20"/>
      <c r="S18" s="20"/>
      <c r="T18" s="20"/>
      <c r="U18" s="20"/>
      <c r="V18" s="20"/>
      <c r="W18" s="20"/>
      <c r="X18" s="20"/>
      <c r="Y18" s="45"/>
      <c r="Z18" s="48"/>
      <c r="AA18" s="30"/>
      <c r="AB18" s="30"/>
      <c r="AC18" s="30"/>
      <c r="AD18" s="20"/>
      <c r="AE18" s="20"/>
      <c r="AF18" s="20"/>
      <c r="AG18" s="20"/>
      <c r="AH18" s="20"/>
      <c r="AI18" s="20"/>
      <c r="AJ18" s="20"/>
      <c r="AK18" s="45"/>
      <c r="AL18" s="48"/>
      <c r="AM18" s="30"/>
      <c r="AN18" s="30"/>
      <c r="AO18" s="30"/>
      <c r="AP18" s="20"/>
      <c r="AQ18" s="20"/>
      <c r="AR18" s="20"/>
      <c r="AS18" s="20"/>
      <c r="AT18" s="20"/>
      <c r="AU18" s="20"/>
      <c r="AV18" s="20"/>
      <c r="AW18" s="45"/>
      <c r="AX18" s="48"/>
      <c r="AY18" s="30"/>
      <c r="AZ18" s="30"/>
      <c r="BA18" s="30"/>
      <c r="BB18" s="20"/>
      <c r="BC18" s="20"/>
      <c r="BD18" s="20"/>
      <c r="BE18" s="20"/>
      <c r="BF18" s="20"/>
      <c r="BG18" s="20"/>
      <c r="BH18" s="20"/>
      <c r="BI18" s="45"/>
      <c r="BJ18" s="48"/>
      <c r="BK18" s="30"/>
      <c r="BL18" s="30"/>
      <c r="BM18" s="30"/>
      <c r="BN18" s="20"/>
      <c r="BO18" s="20"/>
      <c r="BP18" s="20"/>
      <c r="BQ18" s="20"/>
      <c r="BR18" s="20"/>
      <c r="BS18" s="20"/>
      <c r="BT18" s="20"/>
      <c r="BU18" s="45"/>
      <c r="BV18" s="48"/>
      <c r="BW18" s="30"/>
      <c r="BX18" s="30"/>
      <c r="BY18" s="30"/>
      <c r="BZ18" s="20"/>
      <c r="CA18" s="20"/>
      <c r="CB18" s="20"/>
      <c r="CC18" s="20"/>
      <c r="CD18" s="20"/>
      <c r="CE18" s="20"/>
      <c r="CF18" s="20"/>
      <c r="CG18" s="45"/>
      <c r="CH18" s="48"/>
      <c r="CI18" s="30"/>
      <c r="CJ18" s="30"/>
      <c r="CK18" s="30"/>
      <c r="CL18" s="20"/>
      <c r="CM18" s="20"/>
      <c r="CN18" s="20"/>
      <c r="CO18" s="20"/>
      <c r="CP18" s="20"/>
      <c r="CQ18" s="20"/>
      <c r="CR18" s="20"/>
      <c r="CS18" s="45"/>
      <c r="CT18" s="48"/>
      <c r="CU18" s="30"/>
      <c r="CV18" s="30"/>
      <c r="CW18" s="30"/>
      <c r="CX18" s="20"/>
      <c r="CY18" s="20"/>
      <c r="CZ18" s="20"/>
      <c r="DA18" s="20"/>
      <c r="DB18" s="20"/>
      <c r="DC18" s="20"/>
      <c r="DD18" s="20"/>
      <c r="DE18" s="45"/>
      <c r="DF18" s="48"/>
      <c r="DG18" s="30"/>
      <c r="DH18" s="30"/>
      <c r="DI18" s="30"/>
      <c r="DJ18" s="20"/>
      <c r="DK18" s="20"/>
      <c r="DL18" s="20"/>
      <c r="DM18" s="20"/>
      <c r="DN18" s="20"/>
      <c r="DO18" s="20"/>
      <c r="DP18" s="20"/>
      <c r="DQ18" s="45"/>
      <c r="DR18" s="48"/>
      <c r="DS18" s="20"/>
      <c r="DT18" s="20"/>
      <c r="DU18" s="20"/>
      <c r="DV18" s="20"/>
      <c r="DW18" s="20"/>
      <c r="DX18" s="20"/>
      <c r="DY18" s="20"/>
      <c r="DZ18" s="20"/>
      <c r="EA18" s="20"/>
      <c r="EB18" s="20"/>
    </row>
    <row r="19" spans="1:132" s="29" customFormat="1" ht="12.75">
      <c r="A19" s="46">
        <v>1994</v>
      </c>
      <c r="B19" s="47" t="s">
        <v>39</v>
      </c>
      <c r="C19" s="35">
        <f t="shared" si="2"/>
        <v>0.71454938900203668</v>
      </c>
      <c r="D19" s="35">
        <f t="shared" si="3"/>
        <v>0.8385241616252147</v>
      </c>
      <c r="E19" s="35">
        <f t="shared" si="4"/>
        <v>0.85215122199592663</v>
      </c>
      <c r="F19" s="20">
        <v>15712</v>
      </c>
      <c r="G19" s="20">
        <f t="shared" si="5"/>
        <v>2323</v>
      </c>
      <c r="H19" s="20">
        <v>13389</v>
      </c>
      <c r="I19" s="20">
        <v>11227</v>
      </c>
      <c r="J19" s="20">
        <f t="shared" si="6"/>
        <v>2162</v>
      </c>
      <c r="K19" s="20"/>
      <c r="L19" s="20"/>
      <c r="M19" s="46"/>
      <c r="N19" s="47"/>
      <c r="O19" s="30"/>
      <c r="P19" s="30"/>
      <c r="Q19" s="30"/>
      <c r="R19" s="20"/>
      <c r="S19" s="20"/>
      <c r="T19" s="20"/>
      <c r="U19" s="20"/>
      <c r="V19" s="20"/>
      <c r="W19" s="20"/>
      <c r="X19" s="20"/>
      <c r="Y19" s="46"/>
      <c r="Z19" s="47"/>
      <c r="AA19" s="30"/>
      <c r="AB19" s="30"/>
      <c r="AC19" s="30"/>
      <c r="AD19" s="20"/>
      <c r="AE19" s="20"/>
      <c r="AF19" s="20"/>
      <c r="AG19" s="20"/>
      <c r="AH19" s="20"/>
      <c r="AI19" s="20"/>
      <c r="AJ19" s="20"/>
      <c r="AK19" s="46"/>
      <c r="AL19" s="47"/>
      <c r="AM19" s="30"/>
      <c r="AN19" s="30"/>
      <c r="AO19" s="30"/>
      <c r="AP19" s="20"/>
      <c r="AQ19" s="20"/>
      <c r="AR19" s="20"/>
      <c r="AS19" s="20"/>
      <c r="AT19" s="20"/>
      <c r="AU19" s="20"/>
      <c r="AV19" s="20"/>
      <c r="AW19" s="46"/>
      <c r="AX19" s="47"/>
      <c r="AY19" s="30"/>
      <c r="AZ19" s="30"/>
      <c r="BA19" s="30"/>
      <c r="BB19" s="20"/>
      <c r="BC19" s="20"/>
      <c r="BD19" s="20"/>
      <c r="BE19" s="20"/>
      <c r="BF19" s="20"/>
      <c r="BG19" s="20"/>
      <c r="BH19" s="20"/>
      <c r="BI19" s="46"/>
      <c r="BJ19" s="47"/>
      <c r="BK19" s="30"/>
      <c r="BL19" s="30"/>
      <c r="BM19" s="30"/>
      <c r="BN19" s="20"/>
      <c r="BO19" s="20"/>
      <c r="BP19" s="20"/>
      <c r="BQ19" s="20"/>
      <c r="BR19" s="20"/>
      <c r="BS19" s="20"/>
      <c r="BT19" s="20"/>
      <c r="BU19" s="46"/>
      <c r="BV19" s="47"/>
      <c r="BW19" s="30"/>
      <c r="BX19" s="30"/>
      <c r="BY19" s="30"/>
      <c r="BZ19" s="20"/>
      <c r="CA19" s="20"/>
      <c r="CB19" s="20"/>
      <c r="CC19" s="20"/>
      <c r="CD19" s="20"/>
      <c r="CE19" s="20"/>
      <c r="CF19" s="20"/>
      <c r="CG19" s="46"/>
      <c r="CH19" s="47"/>
      <c r="CI19" s="30"/>
      <c r="CJ19" s="30"/>
      <c r="CK19" s="30"/>
      <c r="CL19" s="20"/>
      <c r="CM19" s="20"/>
      <c r="CN19" s="20"/>
      <c r="CO19" s="20"/>
      <c r="CP19" s="20"/>
      <c r="CQ19" s="20"/>
      <c r="CR19" s="20"/>
      <c r="CS19" s="46"/>
      <c r="CT19" s="47"/>
      <c r="CU19" s="30"/>
      <c r="CV19" s="30"/>
      <c r="CW19" s="30"/>
      <c r="CX19" s="20"/>
      <c r="CY19" s="20"/>
      <c r="CZ19" s="20"/>
      <c r="DA19" s="20"/>
      <c r="DB19" s="20"/>
      <c r="DC19" s="20"/>
      <c r="DD19" s="20"/>
      <c r="DE19" s="46"/>
      <c r="DF19" s="47"/>
      <c r="DG19" s="30"/>
      <c r="DH19" s="30"/>
      <c r="DI19" s="30"/>
      <c r="DJ19" s="20"/>
      <c r="DK19" s="20"/>
      <c r="DL19" s="20"/>
      <c r="DM19" s="20"/>
      <c r="DN19" s="20"/>
      <c r="DO19" s="20"/>
      <c r="DP19" s="20"/>
      <c r="DQ19" s="46"/>
      <c r="DR19" s="47"/>
      <c r="DS19" s="20"/>
      <c r="DT19" s="20"/>
      <c r="DU19" s="20"/>
      <c r="DV19" s="20"/>
      <c r="DW19" s="20"/>
      <c r="DX19" s="20"/>
      <c r="DY19" s="20"/>
      <c r="DZ19" s="20"/>
      <c r="EA19" s="20"/>
      <c r="EB19" s="20"/>
    </row>
    <row r="20" spans="1:132" s="29" customFormat="1" ht="12.75">
      <c r="A20" s="45">
        <v>1994</v>
      </c>
      <c r="B20" s="48" t="s">
        <v>40</v>
      </c>
      <c r="C20" s="35">
        <f t="shared" si="2"/>
        <v>0.74881570686604648</v>
      </c>
      <c r="D20" s="35">
        <f t="shared" si="3"/>
        <v>0.87350199733688416</v>
      </c>
      <c r="E20" s="35">
        <f t="shared" si="4"/>
        <v>0.85725700587865994</v>
      </c>
      <c r="F20" s="20">
        <v>17521</v>
      </c>
      <c r="G20" s="20">
        <f t="shared" si="5"/>
        <v>2501</v>
      </c>
      <c r="H20" s="20">
        <v>15020</v>
      </c>
      <c r="I20" s="20">
        <v>13120</v>
      </c>
      <c r="J20" s="20">
        <f t="shared" si="6"/>
        <v>1900</v>
      </c>
      <c r="K20" s="20"/>
      <c r="L20" s="20"/>
      <c r="M20" s="45"/>
      <c r="N20" s="48"/>
      <c r="O20" s="30"/>
      <c r="P20" s="30"/>
      <c r="Q20" s="30"/>
      <c r="R20" s="20"/>
      <c r="S20" s="20"/>
      <c r="T20" s="20"/>
      <c r="U20" s="20"/>
      <c r="V20" s="20"/>
      <c r="W20" s="20"/>
      <c r="X20" s="20"/>
      <c r="Y20" s="45"/>
      <c r="Z20" s="48"/>
      <c r="AA20" s="30"/>
      <c r="AB20" s="30"/>
      <c r="AC20" s="30"/>
      <c r="AD20" s="20"/>
      <c r="AE20" s="20"/>
      <c r="AF20" s="20"/>
      <c r="AG20" s="20"/>
      <c r="AH20" s="20"/>
      <c r="AI20" s="20"/>
      <c r="AJ20" s="20"/>
      <c r="AK20" s="45"/>
      <c r="AL20" s="48"/>
      <c r="AM20" s="30"/>
      <c r="AN20" s="30"/>
      <c r="AO20" s="30"/>
      <c r="AP20" s="20"/>
      <c r="AQ20" s="20"/>
      <c r="AR20" s="20"/>
      <c r="AS20" s="20"/>
      <c r="AT20" s="20"/>
      <c r="AU20" s="20"/>
      <c r="AV20" s="20"/>
      <c r="AW20" s="45"/>
      <c r="AX20" s="48"/>
      <c r="AY20" s="30"/>
      <c r="AZ20" s="30"/>
      <c r="BA20" s="30"/>
      <c r="BB20" s="20"/>
      <c r="BC20" s="20"/>
      <c r="BD20" s="20"/>
      <c r="BE20" s="20"/>
      <c r="BF20" s="20"/>
      <c r="BG20" s="20"/>
      <c r="BH20" s="20"/>
      <c r="BI20" s="45"/>
      <c r="BJ20" s="48"/>
      <c r="BK20" s="30"/>
      <c r="BL20" s="30"/>
      <c r="BM20" s="30"/>
      <c r="BN20" s="20"/>
      <c r="BO20" s="20"/>
      <c r="BP20" s="20"/>
      <c r="BQ20" s="20"/>
      <c r="BR20" s="20"/>
      <c r="BS20" s="20"/>
      <c r="BT20" s="20"/>
      <c r="BU20" s="45"/>
      <c r="BV20" s="48"/>
      <c r="BW20" s="30"/>
      <c r="BX20" s="30"/>
      <c r="BY20" s="30"/>
      <c r="BZ20" s="20"/>
      <c r="CA20" s="20"/>
      <c r="CB20" s="20"/>
      <c r="CC20" s="20"/>
      <c r="CD20" s="20"/>
      <c r="CE20" s="20"/>
      <c r="CF20" s="20"/>
      <c r="CG20" s="45"/>
      <c r="CH20" s="48"/>
      <c r="CI20" s="30"/>
      <c r="CJ20" s="30"/>
      <c r="CK20" s="30"/>
      <c r="CL20" s="20"/>
      <c r="CM20" s="20"/>
      <c r="CN20" s="20"/>
      <c r="CO20" s="20"/>
      <c r="CP20" s="20"/>
      <c r="CQ20" s="20"/>
      <c r="CR20" s="20"/>
      <c r="CS20" s="45"/>
      <c r="CT20" s="48"/>
      <c r="CU20" s="30"/>
      <c r="CV20" s="30"/>
      <c r="CW20" s="30"/>
      <c r="CX20" s="20"/>
      <c r="CY20" s="20"/>
      <c r="CZ20" s="20"/>
      <c r="DA20" s="20"/>
      <c r="DB20" s="20"/>
      <c r="DC20" s="20"/>
      <c r="DD20" s="20"/>
      <c r="DE20" s="45"/>
      <c r="DF20" s="48"/>
      <c r="DG20" s="30"/>
      <c r="DH20" s="30"/>
      <c r="DI20" s="30"/>
      <c r="DJ20" s="20"/>
      <c r="DK20" s="20"/>
      <c r="DL20" s="20"/>
      <c r="DM20" s="20"/>
      <c r="DN20" s="20"/>
      <c r="DO20" s="20"/>
      <c r="DP20" s="20"/>
      <c r="DQ20" s="45"/>
      <c r="DR20" s="48"/>
      <c r="DS20" s="20"/>
      <c r="DT20" s="20"/>
      <c r="DU20" s="20"/>
      <c r="DV20" s="20"/>
      <c r="DW20" s="20"/>
      <c r="DX20" s="20"/>
      <c r="DY20" s="20"/>
      <c r="DZ20" s="20"/>
      <c r="EA20" s="20"/>
      <c r="EB20" s="20"/>
    </row>
    <row r="21" spans="1:132" s="29" customFormat="1" ht="12.75">
      <c r="A21" s="46">
        <v>1994</v>
      </c>
      <c r="B21" s="47" t="s">
        <v>41</v>
      </c>
      <c r="C21" s="35">
        <f t="shared" si="2"/>
        <v>0.73526227141482192</v>
      </c>
      <c r="D21" s="35">
        <f t="shared" si="3"/>
        <v>0.88074650526012399</v>
      </c>
      <c r="E21" s="35">
        <f t="shared" si="4"/>
        <v>0.83481713185755535</v>
      </c>
      <c r="F21" s="20">
        <v>16624</v>
      </c>
      <c r="G21" s="20">
        <f t="shared" si="5"/>
        <v>2746</v>
      </c>
      <c r="H21" s="20">
        <v>13878</v>
      </c>
      <c r="I21" s="20">
        <v>12223</v>
      </c>
      <c r="J21" s="20">
        <f t="shared" si="6"/>
        <v>1655</v>
      </c>
      <c r="K21" s="20"/>
      <c r="L21" s="20"/>
      <c r="M21" s="46"/>
      <c r="N21" s="47"/>
      <c r="O21" s="30"/>
      <c r="P21" s="30"/>
      <c r="Q21" s="30"/>
      <c r="R21" s="20"/>
      <c r="S21" s="20"/>
      <c r="T21" s="20"/>
      <c r="U21" s="20"/>
      <c r="V21" s="20"/>
      <c r="W21" s="20"/>
      <c r="X21" s="20"/>
      <c r="Y21" s="46"/>
      <c r="Z21" s="47"/>
      <c r="AA21" s="30"/>
      <c r="AB21" s="30"/>
      <c r="AC21" s="30"/>
      <c r="AD21" s="20"/>
      <c r="AE21" s="20"/>
      <c r="AF21" s="20"/>
      <c r="AG21" s="20"/>
      <c r="AH21" s="20"/>
      <c r="AI21" s="20"/>
      <c r="AJ21" s="20"/>
      <c r="AK21" s="46"/>
      <c r="AL21" s="47"/>
      <c r="AM21" s="30"/>
      <c r="AN21" s="30"/>
      <c r="AO21" s="30"/>
      <c r="AP21" s="20"/>
      <c r="AQ21" s="20"/>
      <c r="AR21" s="20"/>
      <c r="AS21" s="20"/>
      <c r="AT21" s="20"/>
      <c r="AU21" s="20"/>
      <c r="AV21" s="20"/>
      <c r="AW21" s="46"/>
      <c r="AX21" s="47"/>
      <c r="AY21" s="30"/>
      <c r="AZ21" s="30"/>
      <c r="BA21" s="30"/>
      <c r="BB21" s="20"/>
      <c r="BC21" s="20"/>
      <c r="BD21" s="20"/>
      <c r="BE21" s="20"/>
      <c r="BF21" s="20"/>
      <c r="BG21" s="20"/>
      <c r="BH21" s="20"/>
      <c r="BI21" s="46"/>
      <c r="BJ21" s="47"/>
      <c r="BK21" s="30"/>
      <c r="BL21" s="30"/>
      <c r="BM21" s="30"/>
      <c r="BN21" s="20"/>
      <c r="BO21" s="20"/>
      <c r="BP21" s="20"/>
      <c r="BQ21" s="20"/>
      <c r="BR21" s="20"/>
      <c r="BS21" s="20"/>
      <c r="BT21" s="20"/>
      <c r="BU21" s="46"/>
      <c r="BV21" s="47"/>
      <c r="BW21" s="30"/>
      <c r="BX21" s="30"/>
      <c r="BY21" s="30"/>
      <c r="BZ21" s="20"/>
      <c r="CA21" s="20"/>
      <c r="CB21" s="20"/>
      <c r="CC21" s="20"/>
      <c r="CD21" s="20"/>
      <c r="CE21" s="20"/>
      <c r="CF21" s="20"/>
      <c r="CG21" s="46"/>
      <c r="CH21" s="47"/>
      <c r="CI21" s="30"/>
      <c r="CJ21" s="30"/>
      <c r="CK21" s="30"/>
      <c r="CL21" s="20"/>
      <c r="CM21" s="20"/>
      <c r="CN21" s="20"/>
      <c r="CO21" s="20"/>
      <c r="CP21" s="20"/>
      <c r="CQ21" s="20"/>
      <c r="CR21" s="20"/>
      <c r="CS21" s="46"/>
      <c r="CT21" s="47"/>
      <c r="CU21" s="30"/>
      <c r="CV21" s="30"/>
      <c r="CW21" s="30"/>
      <c r="CX21" s="20"/>
      <c r="CY21" s="20"/>
      <c r="CZ21" s="20"/>
      <c r="DA21" s="20"/>
      <c r="DB21" s="20"/>
      <c r="DC21" s="20"/>
      <c r="DD21" s="20"/>
      <c r="DE21" s="46"/>
      <c r="DF21" s="47"/>
      <c r="DG21" s="30"/>
      <c r="DH21" s="30"/>
      <c r="DI21" s="30"/>
      <c r="DJ21" s="20"/>
      <c r="DK21" s="20"/>
      <c r="DL21" s="20"/>
      <c r="DM21" s="20"/>
      <c r="DN21" s="20"/>
      <c r="DO21" s="20"/>
      <c r="DP21" s="20"/>
      <c r="DQ21" s="46"/>
      <c r="DR21" s="47"/>
      <c r="DS21" s="20"/>
      <c r="DT21" s="20"/>
      <c r="DU21" s="20"/>
      <c r="DV21" s="20"/>
      <c r="DW21" s="20"/>
      <c r="DX21" s="20"/>
      <c r="DY21" s="20"/>
      <c r="DZ21" s="20"/>
      <c r="EA21" s="20"/>
      <c r="EB21" s="20"/>
    </row>
    <row r="22" spans="1:132" s="29" customFormat="1" ht="12.75">
      <c r="A22" s="45">
        <v>1994</v>
      </c>
      <c r="B22" s="48" t="s">
        <v>42</v>
      </c>
      <c r="C22" s="35">
        <f t="shared" si="2"/>
        <v>0.7839825820877957</v>
      </c>
      <c r="D22" s="35">
        <f t="shared" si="3"/>
        <v>0.88120907467425091</v>
      </c>
      <c r="E22" s="35">
        <f t="shared" si="4"/>
        <v>0.88966694127339063</v>
      </c>
      <c r="F22" s="20">
        <v>16994</v>
      </c>
      <c r="G22" s="20">
        <f t="shared" si="5"/>
        <v>1875</v>
      </c>
      <c r="H22" s="20">
        <v>15119</v>
      </c>
      <c r="I22" s="20">
        <v>13323</v>
      </c>
      <c r="J22" s="20">
        <f t="shared" si="6"/>
        <v>1796</v>
      </c>
      <c r="K22" s="20"/>
      <c r="L22" s="20"/>
      <c r="M22" s="45"/>
      <c r="N22" s="48"/>
      <c r="O22" s="30"/>
      <c r="P22" s="30"/>
      <c r="Q22" s="30"/>
      <c r="R22" s="20"/>
      <c r="S22" s="20"/>
      <c r="T22" s="20"/>
      <c r="U22" s="20"/>
      <c r="V22" s="20"/>
      <c r="W22" s="20"/>
      <c r="X22" s="20"/>
      <c r="Y22" s="45"/>
      <c r="Z22" s="48"/>
      <c r="AA22" s="30"/>
      <c r="AB22" s="30"/>
      <c r="AC22" s="30"/>
      <c r="AD22" s="20"/>
      <c r="AE22" s="20"/>
      <c r="AF22" s="20"/>
      <c r="AG22" s="20"/>
      <c r="AH22" s="20"/>
      <c r="AI22" s="20"/>
      <c r="AJ22" s="20"/>
      <c r="AK22" s="45"/>
      <c r="AL22" s="48"/>
      <c r="AM22" s="30"/>
      <c r="AN22" s="30"/>
      <c r="AO22" s="30"/>
      <c r="AP22" s="20"/>
      <c r="AQ22" s="20"/>
      <c r="AR22" s="20"/>
      <c r="AS22" s="20"/>
      <c r="AT22" s="20"/>
      <c r="AU22" s="20"/>
      <c r="AV22" s="20"/>
      <c r="AW22" s="45"/>
      <c r="AX22" s="48"/>
      <c r="AY22" s="30"/>
      <c r="AZ22" s="30"/>
      <c r="BA22" s="30"/>
      <c r="BB22" s="20"/>
      <c r="BC22" s="20"/>
      <c r="BD22" s="20"/>
      <c r="BE22" s="20"/>
      <c r="BF22" s="20"/>
      <c r="BG22" s="20"/>
      <c r="BH22" s="20"/>
      <c r="BI22" s="45"/>
      <c r="BJ22" s="48"/>
      <c r="BK22" s="30"/>
      <c r="BL22" s="30"/>
      <c r="BM22" s="30"/>
      <c r="BN22" s="20"/>
      <c r="BO22" s="20"/>
      <c r="BP22" s="20"/>
      <c r="BQ22" s="20"/>
      <c r="BR22" s="20"/>
      <c r="BS22" s="20"/>
      <c r="BT22" s="20"/>
      <c r="BU22" s="45"/>
      <c r="BV22" s="48"/>
      <c r="BW22" s="30"/>
      <c r="BX22" s="30"/>
      <c r="BY22" s="30"/>
      <c r="BZ22" s="20"/>
      <c r="CA22" s="20"/>
      <c r="CB22" s="20"/>
      <c r="CC22" s="20"/>
      <c r="CD22" s="20"/>
      <c r="CE22" s="20"/>
      <c r="CF22" s="20"/>
      <c r="CG22" s="45"/>
      <c r="CH22" s="48"/>
      <c r="CI22" s="30"/>
      <c r="CJ22" s="30"/>
      <c r="CK22" s="30"/>
      <c r="CL22" s="20"/>
      <c r="CM22" s="20"/>
      <c r="CN22" s="20"/>
      <c r="CO22" s="20"/>
      <c r="CP22" s="20"/>
      <c r="CQ22" s="20"/>
      <c r="CR22" s="20"/>
      <c r="CS22" s="45"/>
      <c r="CT22" s="48"/>
      <c r="CU22" s="30"/>
      <c r="CV22" s="30"/>
      <c r="CW22" s="30"/>
      <c r="CX22" s="20"/>
      <c r="CY22" s="20"/>
      <c r="CZ22" s="20"/>
      <c r="DA22" s="20"/>
      <c r="DB22" s="20"/>
      <c r="DC22" s="20"/>
      <c r="DD22" s="20"/>
      <c r="DE22" s="45"/>
      <c r="DF22" s="48"/>
      <c r="DG22" s="30"/>
      <c r="DH22" s="30"/>
      <c r="DI22" s="30"/>
      <c r="DJ22" s="20"/>
      <c r="DK22" s="20"/>
      <c r="DL22" s="20"/>
      <c r="DM22" s="20"/>
      <c r="DN22" s="20"/>
      <c r="DO22" s="20"/>
      <c r="DP22" s="20"/>
      <c r="DQ22" s="45"/>
      <c r="DR22" s="48"/>
      <c r="DS22" s="20"/>
      <c r="DT22" s="20"/>
      <c r="DU22" s="20"/>
      <c r="DV22" s="20"/>
      <c r="DW22" s="20"/>
      <c r="DX22" s="20"/>
      <c r="DY22" s="20"/>
      <c r="DZ22" s="20"/>
      <c r="EA22" s="20"/>
      <c r="EB22" s="20"/>
    </row>
    <row r="23" spans="1:132" s="29" customFormat="1" ht="12.75">
      <c r="A23" s="46">
        <v>1994</v>
      </c>
      <c r="B23" s="47" t="s">
        <v>43</v>
      </c>
      <c r="C23" s="35">
        <f t="shared" si="2"/>
        <v>0.78513536816692531</v>
      </c>
      <c r="D23" s="35">
        <f t="shared" si="3"/>
        <v>0.88839024390243904</v>
      </c>
      <c r="E23" s="35">
        <f t="shared" si="4"/>
        <v>0.88377306432143476</v>
      </c>
      <c r="F23" s="20">
        <v>17397</v>
      </c>
      <c r="G23" s="20">
        <f t="shared" si="5"/>
        <v>2022</v>
      </c>
      <c r="H23" s="20">
        <v>15375</v>
      </c>
      <c r="I23" s="20">
        <v>13659</v>
      </c>
      <c r="J23" s="20">
        <f t="shared" si="6"/>
        <v>1716</v>
      </c>
      <c r="K23" s="20"/>
      <c r="L23" s="20"/>
      <c r="M23" s="46"/>
      <c r="N23" s="47"/>
      <c r="O23" s="30"/>
      <c r="P23" s="30"/>
      <c r="Q23" s="30"/>
      <c r="R23" s="20"/>
      <c r="S23" s="20"/>
      <c r="T23" s="20"/>
      <c r="U23" s="20"/>
      <c r="V23" s="20"/>
      <c r="W23" s="20"/>
      <c r="X23" s="20"/>
      <c r="Y23" s="46"/>
      <c r="Z23" s="47"/>
      <c r="AA23" s="30"/>
      <c r="AB23" s="30"/>
      <c r="AC23" s="30"/>
      <c r="AD23" s="20"/>
      <c r="AE23" s="20"/>
      <c r="AF23" s="20"/>
      <c r="AG23" s="20"/>
      <c r="AH23" s="20"/>
      <c r="AI23" s="20"/>
      <c r="AJ23" s="20"/>
      <c r="AK23" s="46"/>
      <c r="AL23" s="47"/>
      <c r="AM23" s="30"/>
      <c r="AN23" s="30"/>
      <c r="AO23" s="30"/>
      <c r="AP23" s="20"/>
      <c r="AQ23" s="20"/>
      <c r="AR23" s="20"/>
      <c r="AS23" s="20"/>
      <c r="AT23" s="20"/>
      <c r="AU23" s="20"/>
      <c r="AV23" s="20"/>
      <c r="AW23" s="46"/>
      <c r="AX23" s="47"/>
      <c r="AY23" s="30"/>
      <c r="AZ23" s="30"/>
      <c r="BA23" s="30"/>
      <c r="BB23" s="20"/>
      <c r="BC23" s="20"/>
      <c r="BD23" s="20"/>
      <c r="BE23" s="20"/>
      <c r="BF23" s="20"/>
      <c r="BG23" s="20"/>
      <c r="BH23" s="20"/>
      <c r="BI23" s="46"/>
      <c r="BJ23" s="47"/>
      <c r="BK23" s="30"/>
      <c r="BL23" s="30"/>
      <c r="BM23" s="30"/>
      <c r="BN23" s="20"/>
      <c r="BO23" s="20"/>
      <c r="BP23" s="20"/>
      <c r="BQ23" s="20"/>
      <c r="BR23" s="20"/>
      <c r="BS23" s="20"/>
      <c r="BT23" s="20"/>
      <c r="BU23" s="46"/>
      <c r="BV23" s="47"/>
      <c r="BW23" s="30"/>
      <c r="BX23" s="30"/>
      <c r="BY23" s="30"/>
      <c r="BZ23" s="20"/>
      <c r="CA23" s="20"/>
      <c r="CB23" s="20"/>
      <c r="CC23" s="20"/>
      <c r="CD23" s="20"/>
      <c r="CE23" s="20"/>
      <c r="CF23" s="20"/>
      <c r="CG23" s="46"/>
      <c r="CH23" s="47"/>
      <c r="CI23" s="30"/>
      <c r="CJ23" s="30"/>
      <c r="CK23" s="30"/>
      <c r="CL23" s="20"/>
      <c r="CM23" s="20"/>
      <c r="CN23" s="20"/>
      <c r="CO23" s="20"/>
      <c r="CP23" s="20"/>
      <c r="CQ23" s="20"/>
      <c r="CR23" s="20"/>
      <c r="CS23" s="46"/>
      <c r="CT23" s="47"/>
      <c r="CU23" s="30"/>
      <c r="CV23" s="30"/>
      <c r="CW23" s="30"/>
      <c r="CX23" s="20"/>
      <c r="CY23" s="20"/>
      <c r="CZ23" s="20"/>
      <c r="DA23" s="20"/>
      <c r="DB23" s="20"/>
      <c r="DC23" s="20"/>
      <c r="DD23" s="20"/>
      <c r="DE23" s="46"/>
      <c r="DF23" s="47"/>
      <c r="DG23" s="30"/>
      <c r="DH23" s="30"/>
      <c r="DI23" s="30"/>
      <c r="DJ23" s="20"/>
      <c r="DK23" s="20"/>
      <c r="DL23" s="20"/>
      <c r="DM23" s="20"/>
      <c r="DN23" s="20"/>
      <c r="DO23" s="20"/>
      <c r="DP23" s="20"/>
      <c r="DQ23" s="46"/>
      <c r="DR23" s="47"/>
      <c r="DS23" s="20"/>
      <c r="DT23" s="20"/>
      <c r="DU23" s="20"/>
      <c r="DV23" s="20"/>
      <c r="DW23" s="20"/>
      <c r="DX23" s="20"/>
      <c r="DY23" s="20"/>
      <c r="DZ23" s="20"/>
      <c r="EA23" s="20"/>
      <c r="EB23" s="20"/>
    </row>
    <row r="24" spans="1:132" s="29" customFormat="1" ht="12.75">
      <c r="A24" s="45">
        <v>1994</v>
      </c>
      <c r="B24" s="48" t="s">
        <v>44</v>
      </c>
      <c r="C24" s="35">
        <f t="shared" si="2"/>
        <v>0.78797606093579975</v>
      </c>
      <c r="D24" s="35">
        <f t="shared" si="3"/>
        <v>0.90366256941411371</v>
      </c>
      <c r="E24" s="35">
        <f t="shared" si="4"/>
        <v>0.8719804134929271</v>
      </c>
      <c r="F24" s="20">
        <v>18380</v>
      </c>
      <c r="G24" s="20">
        <f t="shared" si="5"/>
        <v>2353</v>
      </c>
      <c r="H24" s="20">
        <v>16027</v>
      </c>
      <c r="I24" s="20">
        <v>14483</v>
      </c>
      <c r="J24" s="20">
        <f t="shared" si="6"/>
        <v>1544</v>
      </c>
      <c r="K24" s="20"/>
      <c r="L24" s="20"/>
      <c r="M24" s="45"/>
      <c r="N24" s="48"/>
      <c r="O24" s="30"/>
      <c r="P24" s="30"/>
      <c r="Q24" s="30"/>
      <c r="R24" s="20"/>
      <c r="S24" s="20"/>
      <c r="T24" s="20"/>
      <c r="U24" s="20"/>
      <c r="V24" s="20"/>
      <c r="W24" s="20"/>
      <c r="X24" s="20"/>
      <c r="Y24" s="45"/>
      <c r="Z24" s="48"/>
      <c r="AA24" s="30"/>
      <c r="AB24" s="30"/>
      <c r="AC24" s="30"/>
      <c r="AD24" s="20"/>
      <c r="AE24" s="20"/>
      <c r="AF24" s="20"/>
      <c r="AG24" s="20"/>
      <c r="AH24" s="20"/>
      <c r="AI24" s="20"/>
      <c r="AJ24" s="20"/>
      <c r="AK24" s="45"/>
      <c r="AL24" s="48"/>
      <c r="AM24" s="30"/>
      <c r="AN24" s="30"/>
      <c r="AO24" s="30"/>
      <c r="AP24" s="20"/>
      <c r="AQ24" s="20"/>
      <c r="AR24" s="20"/>
      <c r="AS24" s="20"/>
      <c r="AT24" s="20"/>
      <c r="AU24" s="20"/>
      <c r="AV24" s="20"/>
      <c r="AW24" s="45"/>
      <c r="AX24" s="48"/>
      <c r="AY24" s="30"/>
      <c r="AZ24" s="30"/>
      <c r="BA24" s="30"/>
      <c r="BB24" s="20"/>
      <c r="BC24" s="20"/>
      <c r="BD24" s="20"/>
      <c r="BE24" s="20"/>
      <c r="BF24" s="20"/>
      <c r="BG24" s="20"/>
      <c r="BH24" s="20"/>
      <c r="BI24" s="45"/>
      <c r="BJ24" s="48"/>
      <c r="BK24" s="30"/>
      <c r="BL24" s="30"/>
      <c r="BM24" s="30"/>
      <c r="BN24" s="20"/>
      <c r="BO24" s="20"/>
      <c r="BP24" s="20"/>
      <c r="BQ24" s="20"/>
      <c r="BR24" s="20"/>
      <c r="BS24" s="20"/>
      <c r="BT24" s="20"/>
      <c r="BU24" s="45"/>
      <c r="BV24" s="48"/>
      <c r="BW24" s="30"/>
      <c r="BX24" s="30"/>
      <c r="BY24" s="30"/>
      <c r="BZ24" s="20"/>
      <c r="CA24" s="20"/>
      <c r="CB24" s="20"/>
      <c r="CC24" s="20"/>
      <c r="CD24" s="20"/>
      <c r="CE24" s="20"/>
      <c r="CF24" s="20"/>
      <c r="CG24" s="45"/>
      <c r="CH24" s="48"/>
      <c r="CI24" s="30"/>
      <c r="CJ24" s="30"/>
      <c r="CK24" s="30"/>
      <c r="CL24" s="20"/>
      <c r="CM24" s="20"/>
      <c r="CN24" s="20"/>
      <c r="CO24" s="20"/>
      <c r="CP24" s="20"/>
      <c r="CQ24" s="20"/>
      <c r="CR24" s="20"/>
      <c r="CS24" s="45"/>
      <c r="CT24" s="48"/>
      <c r="CU24" s="30"/>
      <c r="CV24" s="30"/>
      <c r="CW24" s="30"/>
      <c r="CX24" s="20"/>
      <c r="CY24" s="20"/>
      <c r="CZ24" s="20"/>
      <c r="DA24" s="20"/>
      <c r="DB24" s="20"/>
      <c r="DC24" s="20"/>
      <c r="DD24" s="20"/>
      <c r="DE24" s="45"/>
      <c r="DF24" s="48"/>
      <c r="DG24" s="30"/>
      <c r="DH24" s="30"/>
      <c r="DI24" s="30"/>
      <c r="DJ24" s="20"/>
      <c r="DK24" s="20"/>
      <c r="DL24" s="20"/>
      <c r="DM24" s="20"/>
      <c r="DN24" s="20"/>
      <c r="DO24" s="20"/>
      <c r="DP24" s="20"/>
      <c r="DQ24" s="45"/>
      <c r="DR24" s="48"/>
      <c r="DS24" s="20"/>
      <c r="DT24" s="20"/>
      <c r="DU24" s="20"/>
      <c r="DV24" s="20"/>
      <c r="DW24" s="20"/>
      <c r="DX24" s="20"/>
      <c r="DY24" s="20"/>
      <c r="DZ24" s="20"/>
      <c r="EA24" s="20"/>
      <c r="EB24" s="20"/>
    </row>
    <row r="25" spans="1:132" s="29" customFormat="1" ht="12.75">
      <c r="A25" s="46">
        <v>1994</v>
      </c>
      <c r="B25" s="47" t="s">
        <v>45</v>
      </c>
      <c r="C25" s="35">
        <f t="shared" si="2"/>
        <v>0.80645855758880514</v>
      </c>
      <c r="D25" s="35">
        <f t="shared" si="3"/>
        <v>0.91271243223487852</v>
      </c>
      <c r="E25" s="35">
        <f t="shared" si="4"/>
        <v>0.88358449946178685</v>
      </c>
      <c r="F25" s="20">
        <v>18580</v>
      </c>
      <c r="G25" s="20">
        <f t="shared" si="5"/>
        <v>2163</v>
      </c>
      <c r="H25" s="20">
        <v>16417</v>
      </c>
      <c r="I25" s="20">
        <v>14984</v>
      </c>
      <c r="J25" s="20">
        <f t="shared" si="6"/>
        <v>1433</v>
      </c>
      <c r="K25" s="20"/>
      <c r="L25" s="20"/>
      <c r="M25" s="46"/>
      <c r="N25" s="47"/>
      <c r="O25" s="30"/>
      <c r="P25" s="30"/>
      <c r="Q25" s="30"/>
      <c r="R25" s="20"/>
      <c r="S25" s="20"/>
      <c r="T25" s="20"/>
      <c r="U25" s="20"/>
      <c r="V25" s="20"/>
      <c r="W25" s="20"/>
      <c r="X25" s="20"/>
      <c r="Y25" s="46"/>
      <c r="Z25" s="47"/>
      <c r="AA25" s="30"/>
      <c r="AB25" s="30"/>
      <c r="AC25" s="30"/>
      <c r="AD25" s="20"/>
      <c r="AE25" s="20"/>
      <c r="AF25" s="20"/>
      <c r="AG25" s="20"/>
      <c r="AH25" s="20"/>
      <c r="AI25" s="20"/>
      <c r="AJ25" s="20"/>
      <c r="AK25" s="46"/>
      <c r="AL25" s="47"/>
      <c r="AM25" s="30"/>
      <c r="AN25" s="30"/>
      <c r="AO25" s="30"/>
      <c r="AP25" s="20"/>
      <c r="AQ25" s="20"/>
      <c r="AR25" s="20"/>
      <c r="AS25" s="20"/>
      <c r="AT25" s="20"/>
      <c r="AU25" s="20"/>
      <c r="AV25" s="20"/>
      <c r="AW25" s="46"/>
      <c r="AX25" s="47"/>
      <c r="AY25" s="30"/>
      <c r="AZ25" s="30"/>
      <c r="BA25" s="30"/>
      <c r="BB25" s="20"/>
      <c r="BC25" s="20"/>
      <c r="BD25" s="20"/>
      <c r="BE25" s="20"/>
      <c r="BF25" s="20"/>
      <c r="BG25" s="20"/>
      <c r="BH25" s="20"/>
      <c r="BI25" s="46"/>
      <c r="BJ25" s="47"/>
      <c r="BK25" s="30"/>
      <c r="BL25" s="30"/>
      <c r="BM25" s="30"/>
      <c r="BN25" s="20"/>
      <c r="BO25" s="20"/>
      <c r="BP25" s="20"/>
      <c r="BQ25" s="20"/>
      <c r="BR25" s="20"/>
      <c r="BS25" s="20"/>
      <c r="BT25" s="20"/>
      <c r="BU25" s="46"/>
      <c r="BV25" s="47"/>
      <c r="BW25" s="30"/>
      <c r="BX25" s="30"/>
      <c r="BY25" s="30"/>
      <c r="BZ25" s="20"/>
      <c r="CA25" s="20"/>
      <c r="CB25" s="20"/>
      <c r="CC25" s="20"/>
      <c r="CD25" s="20"/>
      <c r="CE25" s="20"/>
      <c r="CF25" s="20"/>
      <c r="CG25" s="46"/>
      <c r="CH25" s="47"/>
      <c r="CI25" s="30"/>
      <c r="CJ25" s="30"/>
      <c r="CK25" s="30"/>
      <c r="CL25" s="20"/>
      <c r="CM25" s="20"/>
      <c r="CN25" s="20"/>
      <c r="CO25" s="20"/>
      <c r="CP25" s="20"/>
      <c r="CQ25" s="20"/>
      <c r="CR25" s="20"/>
      <c r="CS25" s="46"/>
      <c r="CT25" s="47"/>
      <c r="CU25" s="30"/>
      <c r="CV25" s="30"/>
      <c r="CW25" s="30"/>
      <c r="CX25" s="20"/>
      <c r="CY25" s="20"/>
      <c r="CZ25" s="20"/>
      <c r="DA25" s="20"/>
      <c r="DB25" s="20"/>
      <c r="DC25" s="20"/>
      <c r="DD25" s="20"/>
      <c r="DE25" s="46"/>
      <c r="DF25" s="47"/>
      <c r="DG25" s="30"/>
      <c r="DH25" s="30"/>
      <c r="DI25" s="30"/>
      <c r="DJ25" s="20"/>
      <c r="DK25" s="20"/>
      <c r="DL25" s="20"/>
      <c r="DM25" s="20"/>
      <c r="DN25" s="20"/>
      <c r="DO25" s="20"/>
      <c r="DP25" s="20"/>
      <c r="DQ25" s="46"/>
      <c r="DR25" s="47"/>
      <c r="DS25" s="20"/>
      <c r="DT25" s="20"/>
      <c r="DU25" s="20"/>
      <c r="DV25" s="20"/>
      <c r="DW25" s="20"/>
      <c r="DX25" s="20"/>
      <c r="DY25" s="20"/>
      <c r="DZ25" s="20"/>
      <c r="EA25" s="20"/>
      <c r="EB25" s="20"/>
    </row>
    <row r="26" spans="1:132" s="29" customFormat="1" ht="12.75">
      <c r="A26" s="45">
        <v>1994</v>
      </c>
      <c r="B26" s="48" t="s">
        <v>46</v>
      </c>
      <c r="C26" s="35">
        <f t="shared" si="2"/>
        <v>0.79899636042792543</v>
      </c>
      <c r="D26" s="35">
        <f t="shared" si="3"/>
        <v>0.91074234709912627</v>
      </c>
      <c r="E26" s="35">
        <f t="shared" si="4"/>
        <v>0.87730230506231388</v>
      </c>
      <c r="F26" s="20">
        <v>18134</v>
      </c>
      <c r="G26" s="20">
        <f t="shared" si="5"/>
        <v>2225</v>
      </c>
      <c r="H26" s="20">
        <v>15909</v>
      </c>
      <c r="I26" s="20">
        <v>14489</v>
      </c>
      <c r="J26" s="20">
        <f t="shared" si="6"/>
        <v>1420</v>
      </c>
      <c r="K26" s="20"/>
      <c r="L26" s="20"/>
      <c r="M26" s="45"/>
      <c r="N26" s="48"/>
      <c r="O26" s="30"/>
      <c r="P26" s="30"/>
      <c r="Q26" s="30"/>
      <c r="R26" s="20"/>
      <c r="S26" s="20"/>
      <c r="T26" s="20"/>
      <c r="U26" s="20"/>
      <c r="V26" s="20"/>
      <c r="W26" s="20"/>
      <c r="X26" s="20"/>
      <c r="Y26" s="45"/>
      <c r="Z26" s="48"/>
      <c r="AA26" s="30"/>
      <c r="AB26" s="30"/>
      <c r="AC26" s="30"/>
      <c r="AD26" s="20"/>
      <c r="AE26" s="20"/>
      <c r="AF26" s="20"/>
      <c r="AG26" s="20"/>
      <c r="AH26" s="20"/>
      <c r="AI26" s="20"/>
      <c r="AJ26" s="20"/>
      <c r="AK26" s="45"/>
      <c r="AL26" s="48"/>
      <c r="AM26" s="30"/>
      <c r="AN26" s="30"/>
      <c r="AO26" s="30"/>
      <c r="AP26" s="20"/>
      <c r="AQ26" s="20"/>
      <c r="AR26" s="20"/>
      <c r="AS26" s="20"/>
      <c r="AT26" s="20"/>
      <c r="AU26" s="20"/>
      <c r="AV26" s="20"/>
      <c r="AW26" s="45"/>
      <c r="AX26" s="48"/>
      <c r="AY26" s="30"/>
      <c r="AZ26" s="30"/>
      <c r="BA26" s="30"/>
      <c r="BB26" s="20"/>
      <c r="BC26" s="20"/>
      <c r="BD26" s="20"/>
      <c r="BE26" s="20"/>
      <c r="BF26" s="20"/>
      <c r="BG26" s="20"/>
      <c r="BH26" s="20"/>
      <c r="BI26" s="45"/>
      <c r="BJ26" s="48"/>
      <c r="BK26" s="30"/>
      <c r="BL26" s="30"/>
      <c r="BM26" s="30"/>
      <c r="BN26" s="20"/>
      <c r="BO26" s="20"/>
      <c r="BP26" s="20"/>
      <c r="BQ26" s="20"/>
      <c r="BR26" s="20"/>
      <c r="BS26" s="20"/>
      <c r="BT26" s="20"/>
      <c r="BU26" s="45"/>
      <c r="BV26" s="48"/>
      <c r="BW26" s="30"/>
      <c r="BX26" s="30"/>
      <c r="BY26" s="30"/>
      <c r="BZ26" s="20"/>
      <c r="CA26" s="20"/>
      <c r="CB26" s="20"/>
      <c r="CC26" s="20"/>
      <c r="CD26" s="20"/>
      <c r="CE26" s="20"/>
      <c r="CF26" s="20"/>
      <c r="CG26" s="45"/>
      <c r="CH26" s="48"/>
      <c r="CI26" s="30"/>
      <c r="CJ26" s="30"/>
      <c r="CK26" s="30"/>
      <c r="CL26" s="20"/>
      <c r="CM26" s="20"/>
      <c r="CN26" s="20"/>
      <c r="CO26" s="20"/>
      <c r="CP26" s="20"/>
      <c r="CQ26" s="20"/>
      <c r="CR26" s="20"/>
      <c r="CS26" s="45"/>
      <c r="CT26" s="48"/>
      <c r="CU26" s="30"/>
      <c r="CV26" s="30"/>
      <c r="CW26" s="30"/>
      <c r="CX26" s="20"/>
      <c r="CY26" s="20"/>
      <c r="CZ26" s="20"/>
      <c r="DA26" s="20"/>
      <c r="DB26" s="20"/>
      <c r="DC26" s="20"/>
      <c r="DD26" s="20"/>
      <c r="DE26" s="45"/>
      <c r="DF26" s="48"/>
      <c r="DG26" s="30"/>
      <c r="DH26" s="30"/>
      <c r="DI26" s="30"/>
      <c r="DJ26" s="20"/>
      <c r="DK26" s="20"/>
      <c r="DL26" s="20"/>
      <c r="DM26" s="20"/>
      <c r="DN26" s="20"/>
      <c r="DO26" s="20"/>
      <c r="DP26" s="20"/>
      <c r="DQ26" s="45"/>
      <c r="DR26" s="48"/>
      <c r="DS26" s="20"/>
      <c r="DT26" s="20"/>
      <c r="DU26" s="20"/>
      <c r="DV26" s="20"/>
      <c r="DW26" s="20"/>
      <c r="DX26" s="20"/>
      <c r="DY26" s="20"/>
      <c r="DZ26" s="20"/>
      <c r="EA26" s="20"/>
      <c r="EB26" s="20"/>
    </row>
    <row r="27" spans="1:132" s="29" customFormat="1" ht="12.75">
      <c r="A27" s="46">
        <v>1994</v>
      </c>
      <c r="B27" s="47" t="s">
        <v>47</v>
      </c>
      <c r="C27" s="35">
        <f t="shared" si="2"/>
        <v>0.80497749536669316</v>
      </c>
      <c r="D27" s="35">
        <f t="shared" si="3"/>
        <v>0.91221122112211217</v>
      </c>
      <c r="E27" s="35">
        <f t="shared" si="4"/>
        <v>0.88244638602065129</v>
      </c>
      <c r="F27" s="20">
        <v>18885</v>
      </c>
      <c r="G27" s="20">
        <f t="shared" si="5"/>
        <v>2220</v>
      </c>
      <c r="H27" s="20">
        <v>16665</v>
      </c>
      <c r="I27" s="20">
        <v>15202</v>
      </c>
      <c r="J27" s="20">
        <f t="shared" si="6"/>
        <v>1463</v>
      </c>
      <c r="K27" s="20"/>
      <c r="L27" s="20"/>
      <c r="M27" s="46"/>
      <c r="N27" s="47"/>
      <c r="O27" s="30"/>
      <c r="P27" s="30"/>
      <c r="Q27" s="30"/>
      <c r="R27" s="20"/>
      <c r="S27" s="20"/>
      <c r="T27" s="20"/>
      <c r="U27" s="20"/>
      <c r="V27" s="20"/>
      <c r="W27" s="20"/>
      <c r="X27" s="20"/>
      <c r="Y27" s="46"/>
      <c r="Z27" s="47"/>
      <c r="AA27" s="30"/>
      <c r="AB27" s="30"/>
      <c r="AC27" s="30"/>
      <c r="AD27" s="20"/>
      <c r="AE27" s="20"/>
      <c r="AF27" s="20"/>
      <c r="AG27" s="20"/>
      <c r="AH27" s="20"/>
      <c r="AI27" s="20"/>
      <c r="AJ27" s="20"/>
      <c r="AK27" s="46"/>
      <c r="AL27" s="47"/>
      <c r="AM27" s="30"/>
      <c r="AN27" s="30"/>
      <c r="AO27" s="30"/>
      <c r="AP27" s="20"/>
      <c r="AQ27" s="20"/>
      <c r="AR27" s="20"/>
      <c r="AS27" s="20"/>
      <c r="AT27" s="20"/>
      <c r="AU27" s="20"/>
      <c r="AV27" s="20"/>
      <c r="AW27" s="46"/>
      <c r="AX27" s="47"/>
      <c r="AY27" s="30"/>
      <c r="AZ27" s="30"/>
      <c r="BA27" s="30"/>
      <c r="BB27" s="20"/>
      <c r="BC27" s="20"/>
      <c r="BD27" s="20"/>
      <c r="BE27" s="20"/>
      <c r="BF27" s="20"/>
      <c r="BG27" s="20"/>
      <c r="BH27" s="20"/>
      <c r="BI27" s="46"/>
      <c r="BJ27" s="47"/>
      <c r="BK27" s="30"/>
      <c r="BL27" s="30"/>
      <c r="BM27" s="30"/>
      <c r="BN27" s="20"/>
      <c r="BO27" s="20"/>
      <c r="BP27" s="20"/>
      <c r="BQ27" s="20"/>
      <c r="BR27" s="20"/>
      <c r="BS27" s="20"/>
      <c r="BT27" s="20"/>
      <c r="BU27" s="46"/>
      <c r="BV27" s="47"/>
      <c r="BW27" s="30"/>
      <c r="BX27" s="30"/>
      <c r="BY27" s="30"/>
      <c r="BZ27" s="20"/>
      <c r="CA27" s="20"/>
      <c r="CB27" s="20"/>
      <c r="CC27" s="20"/>
      <c r="CD27" s="20"/>
      <c r="CE27" s="20"/>
      <c r="CF27" s="20"/>
      <c r="CG27" s="46"/>
      <c r="CH27" s="47"/>
      <c r="CI27" s="30"/>
      <c r="CJ27" s="30"/>
      <c r="CK27" s="30"/>
      <c r="CL27" s="20"/>
      <c r="CM27" s="20"/>
      <c r="CN27" s="20"/>
      <c r="CO27" s="20"/>
      <c r="CP27" s="20"/>
      <c r="CQ27" s="20"/>
      <c r="CR27" s="20"/>
      <c r="CS27" s="46"/>
      <c r="CT27" s="47"/>
      <c r="CU27" s="30"/>
      <c r="CV27" s="30"/>
      <c r="CW27" s="30"/>
      <c r="CX27" s="20"/>
      <c r="CY27" s="20"/>
      <c r="CZ27" s="20"/>
      <c r="DA27" s="20"/>
      <c r="DB27" s="20"/>
      <c r="DC27" s="20"/>
      <c r="DD27" s="20"/>
      <c r="DE27" s="46"/>
      <c r="DF27" s="47"/>
      <c r="DG27" s="30"/>
      <c r="DH27" s="30"/>
      <c r="DI27" s="30"/>
      <c r="DJ27" s="20"/>
      <c r="DK27" s="20"/>
      <c r="DL27" s="20"/>
      <c r="DM27" s="20"/>
      <c r="DN27" s="20"/>
      <c r="DO27" s="20"/>
      <c r="DP27" s="20"/>
      <c r="DQ27" s="46"/>
      <c r="DR27" s="47"/>
      <c r="DS27" s="20"/>
      <c r="DT27" s="20"/>
      <c r="DU27" s="20"/>
      <c r="DV27" s="20"/>
      <c r="DW27" s="20"/>
      <c r="DX27" s="20"/>
      <c r="DY27" s="20"/>
      <c r="DZ27" s="20"/>
      <c r="EA27" s="20"/>
      <c r="EB27" s="20"/>
    </row>
    <row r="28" spans="1:132" s="29" customFormat="1" ht="12.75">
      <c r="A28" s="45">
        <v>1994</v>
      </c>
      <c r="B28" s="48" t="s">
        <v>48</v>
      </c>
      <c r="C28" s="35">
        <f t="shared" si="2"/>
        <v>0.79495585047321948</v>
      </c>
      <c r="D28" s="35">
        <f t="shared" si="3"/>
        <v>0.89889991629797916</v>
      </c>
      <c r="E28" s="35">
        <f t="shared" si="4"/>
        <v>0.88436525141437106</v>
      </c>
      <c r="F28" s="20">
        <v>18913</v>
      </c>
      <c r="G28" s="20">
        <f t="shared" si="5"/>
        <v>2187</v>
      </c>
      <c r="H28" s="20">
        <v>16726</v>
      </c>
      <c r="I28" s="20">
        <v>15035</v>
      </c>
      <c r="J28" s="20">
        <f t="shared" si="6"/>
        <v>1691</v>
      </c>
      <c r="K28" s="20"/>
      <c r="L28" s="20"/>
      <c r="M28" s="45"/>
      <c r="N28" s="48"/>
      <c r="O28" s="30"/>
      <c r="P28" s="30"/>
      <c r="Q28" s="30"/>
      <c r="R28" s="20"/>
      <c r="S28" s="20"/>
      <c r="T28" s="20"/>
      <c r="U28" s="20"/>
      <c r="V28" s="20"/>
      <c r="W28" s="20"/>
      <c r="X28" s="20"/>
      <c r="Y28" s="45"/>
      <c r="Z28" s="48"/>
      <c r="AA28" s="30"/>
      <c r="AB28" s="30"/>
      <c r="AC28" s="30"/>
      <c r="AD28" s="20"/>
      <c r="AE28" s="20"/>
      <c r="AF28" s="20"/>
      <c r="AG28" s="20"/>
      <c r="AH28" s="20"/>
      <c r="AI28" s="20"/>
      <c r="AJ28" s="20"/>
      <c r="AK28" s="45"/>
      <c r="AL28" s="48"/>
      <c r="AM28" s="30"/>
      <c r="AN28" s="30"/>
      <c r="AO28" s="30"/>
      <c r="AP28" s="20"/>
      <c r="AQ28" s="20"/>
      <c r="AR28" s="20"/>
      <c r="AS28" s="20"/>
      <c r="AT28" s="20"/>
      <c r="AU28" s="20"/>
      <c r="AV28" s="20"/>
      <c r="AW28" s="45"/>
      <c r="AX28" s="48"/>
      <c r="AY28" s="30"/>
      <c r="AZ28" s="30"/>
      <c r="BA28" s="30"/>
      <c r="BB28" s="20"/>
      <c r="BC28" s="20"/>
      <c r="BD28" s="20"/>
      <c r="BE28" s="20"/>
      <c r="BF28" s="20"/>
      <c r="BG28" s="20"/>
      <c r="BH28" s="20"/>
      <c r="BI28" s="45"/>
      <c r="BJ28" s="48"/>
      <c r="BK28" s="30"/>
      <c r="BL28" s="30"/>
      <c r="BM28" s="30"/>
      <c r="BN28" s="20"/>
      <c r="BO28" s="20"/>
      <c r="BP28" s="20"/>
      <c r="BQ28" s="20"/>
      <c r="BR28" s="20"/>
      <c r="BS28" s="20"/>
      <c r="BT28" s="20"/>
      <c r="BU28" s="45"/>
      <c r="BV28" s="48"/>
      <c r="BW28" s="30"/>
      <c r="BX28" s="30"/>
      <c r="BY28" s="30"/>
      <c r="BZ28" s="20"/>
      <c r="CA28" s="20"/>
      <c r="CB28" s="20"/>
      <c r="CC28" s="20"/>
      <c r="CD28" s="20"/>
      <c r="CE28" s="20"/>
      <c r="CF28" s="20"/>
      <c r="CG28" s="45"/>
      <c r="CH28" s="48"/>
      <c r="CI28" s="30"/>
      <c r="CJ28" s="30"/>
      <c r="CK28" s="30"/>
      <c r="CL28" s="20"/>
      <c r="CM28" s="20"/>
      <c r="CN28" s="20"/>
      <c r="CO28" s="20"/>
      <c r="CP28" s="20"/>
      <c r="CQ28" s="20"/>
      <c r="CR28" s="20"/>
      <c r="CS28" s="45"/>
      <c r="CT28" s="48"/>
      <c r="CU28" s="30"/>
      <c r="CV28" s="30"/>
      <c r="CW28" s="30"/>
      <c r="CX28" s="20"/>
      <c r="CY28" s="20"/>
      <c r="CZ28" s="20"/>
      <c r="DA28" s="20"/>
      <c r="DB28" s="20"/>
      <c r="DC28" s="20"/>
      <c r="DD28" s="20"/>
      <c r="DE28" s="45"/>
      <c r="DF28" s="48"/>
      <c r="DG28" s="30"/>
      <c r="DH28" s="30"/>
      <c r="DI28" s="30"/>
      <c r="DJ28" s="20"/>
      <c r="DK28" s="20"/>
      <c r="DL28" s="20"/>
      <c r="DM28" s="20"/>
      <c r="DN28" s="20"/>
      <c r="DO28" s="20"/>
      <c r="DP28" s="20"/>
      <c r="DQ28" s="45"/>
      <c r="DR28" s="48"/>
      <c r="DS28" s="20"/>
      <c r="DT28" s="20"/>
      <c r="DU28" s="20"/>
      <c r="DV28" s="20"/>
      <c r="DW28" s="20"/>
      <c r="DX28" s="20"/>
      <c r="DY28" s="20"/>
      <c r="DZ28" s="20"/>
      <c r="EA28" s="20"/>
      <c r="EB28" s="20"/>
    </row>
    <row r="29" spans="1:132" s="29" customFormat="1" ht="12.75">
      <c r="A29" s="46">
        <v>1994</v>
      </c>
      <c r="B29" s="47" t="s">
        <v>49</v>
      </c>
      <c r="C29" s="35">
        <f t="shared" si="2"/>
        <v>0.7500765696784073</v>
      </c>
      <c r="D29" s="35">
        <f t="shared" si="3"/>
        <v>0.8834245175254013</v>
      </c>
      <c r="E29" s="35">
        <f t="shared" si="4"/>
        <v>0.84905564063297601</v>
      </c>
      <c r="F29" s="20">
        <v>19590</v>
      </c>
      <c r="G29" s="20">
        <f t="shared" si="5"/>
        <v>2957</v>
      </c>
      <c r="H29" s="20">
        <v>16633</v>
      </c>
      <c r="I29" s="20">
        <v>14694</v>
      </c>
      <c r="J29" s="20">
        <f t="shared" si="6"/>
        <v>1939</v>
      </c>
      <c r="K29" s="20"/>
      <c r="L29" s="20"/>
      <c r="M29" s="46"/>
      <c r="N29" s="47"/>
      <c r="O29" s="30"/>
      <c r="P29" s="30"/>
      <c r="Q29" s="30"/>
      <c r="R29" s="20"/>
      <c r="S29" s="20"/>
      <c r="T29" s="20"/>
      <c r="U29" s="20"/>
      <c r="V29" s="20"/>
      <c r="W29" s="20"/>
      <c r="X29" s="20"/>
      <c r="Y29" s="46"/>
      <c r="Z29" s="47"/>
      <c r="AA29" s="30"/>
      <c r="AB29" s="30"/>
      <c r="AC29" s="30"/>
      <c r="AD29" s="20"/>
      <c r="AE29" s="20"/>
      <c r="AF29" s="20"/>
      <c r="AG29" s="20"/>
      <c r="AH29" s="20"/>
      <c r="AI29" s="20"/>
      <c r="AJ29" s="20"/>
      <c r="AK29" s="46"/>
      <c r="AL29" s="47"/>
      <c r="AM29" s="30"/>
      <c r="AN29" s="30"/>
      <c r="AO29" s="30"/>
      <c r="AP29" s="20"/>
      <c r="AQ29" s="20"/>
      <c r="AR29" s="20"/>
      <c r="AS29" s="20"/>
      <c r="AT29" s="20"/>
      <c r="AU29" s="20"/>
      <c r="AV29" s="20"/>
      <c r="AW29" s="46"/>
      <c r="AX29" s="47"/>
      <c r="AY29" s="30"/>
      <c r="AZ29" s="30"/>
      <c r="BA29" s="30"/>
      <c r="BB29" s="20"/>
      <c r="BC29" s="20"/>
      <c r="BD29" s="20"/>
      <c r="BE29" s="20"/>
      <c r="BF29" s="20"/>
      <c r="BG29" s="20"/>
      <c r="BH29" s="20"/>
      <c r="BI29" s="46"/>
      <c r="BJ29" s="47"/>
      <c r="BK29" s="30"/>
      <c r="BL29" s="30"/>
      <c r="BM29" s="30"/>
      <c r="BN29" s="20"/>
      <c r="BO29" s="20"/>
      <c r="BP29" s="20"/>
      <c r="BQ29" s="20"/>
      <c r="BR29" s="20"/>
      <c r="BS29" s="20"/>
      <c r="BT29" s="20"/>
      <c r="BU29" s="46"/>
      <c r="BV29" s="47"/>
      <c r="BW29" s="30"/>
      <c r="BX29" s="30"/>
      <c r="BY29" s="30"/>
      <c r="BZ29" s="20"/>
      <c r="CA29" s="20"/>
      <c r="CB29" s="20"/>
      <c r="CC29" s="20"/>
      <c r="CD29" s="20"/>
      <c r="CE29" s="20"/>
      <c r="CF29" s="20"/>
      <c r="CG29" s="46"/>
      <c r="CH29" s="47"/>
      <c r="CI29" s="30"/>
      <c r="CJ29" s="30"/>
      <c r="CK29" s="30"/>
      <c r="CL29" s="20"/>
      <c r="CM29" s="20"/>
      <c r="CN29" s="20"/>
      <c r="CO29" s="20"/>
      <c r="CP29" s="20"/>
      <c r="CQ29" s="20"/>
      <c r="CR29" s="20"/>
      <c r="CS29" s="46"/>
      <c r="CT29" s="47"/>
      <c r="CU29" s="30"/>
      <c r="CV29" s="30"/>
      <c r="CW29" s="30"/>
      <c r="CX29" s="20"/>
      <c r="CY29" s="20"/>
      <c r="CZ29" s="20"/>
      <c r="DA29" s="20"/>
      <c r="DB29" s="20"/>
      <c r="DC29" s="20"/>
      <c r="DD29" s="20"/>
      <c r="DE29" s="46"/>
      <c r="DF29" s="47"/>
      <c r="DG29" s="30"/>
      <c r="DH29" s="30"/>
      <c r="DI29" s="30"/>
      <c r="DJ29" s="20"/>
      <c r="DK29" s="20"/>
      <c r="DL29" s="20"/>
      <c r="DM29" s="20"/>
      <c r="DN29" s="20"/>
      <c r="DO29" s="20"/>
      <c r="DP29" s="20"/>
      <c r="DQ29" s="46"/>
      <c r="DR29" s="47"/>
      <c r="DS29" s="20"/>
      <c r="DT29" s="20"/>
      <c r="DU29" s="20"/>
      <c r="DV29" s="20"/>
      <c r="DW29" s="20"/>
      <c r="DX29" s="20"/>
      <c r="DY29" s="20"/>
      <c r="DZ29" s="20"/>
      <c r="EA29" s="20"/>
      <c r="EB29" s="20"/>
    </row>
    <row r="30" spans="1:132" s="29" customFormat="1" ht="12.75">
      <c r="A30" s="45">
        <v>1995</v>
      </c>
      <c r="B30" s="48" t="s">
        <v>38</v>
      </c>
      <c r="C30" s="35">
        <f t="shared" si="2"/>
        <v>0.80075542965061375</v>
      </c>
      <c r="D30" s="35">
        <f t="shared" si="3"/>
        <v>0.85539666528214564</v>
      </c>
      <c r="E30" s="35">
        <f t="shared" si="4"/>
        <v>0.93612175748486359</v>
      </c>
      <c r="F30" s="20">
        <f>3270+5616+9117</f>
        <v>18003</v>
      </c>
      <c r="G30" s="20">
        <f t="shared" ref="G30:G41" si="7">F30-H30</f>
        <v>1150</v>
      </c>
      <c r="H30" s="20">
        <f>3096+5242+8515</f>
        <v>16853</v>
      </c>
      <c r="I30" s="20">
        <f>2394+4734+7288</f>
        <v>14416</v>
      </c>
      <c r="J30" s="20">
        <f t="shared" ref="J30:J41" si="8">H30-I30</f>
        <v>2437</v>
      </c>
      <c r="K30" s="20"/>
      <c r="L30" s="20"/>
      <c r="M30" s="45"/>
      <c r="N30" s="48"/>
      <c r="O30" s="30"/>
      <c r="P30" s="30"/>
      <c r="Q30" s="30"/>
      <c r="R30" s="20"/>
      <c r="S30" s="20"/>
      <c r="T30" s="20"/>
      <c r="U30" s="20"/>
      <c r="V30" s="20"/>
      <c r="W30" s="20"/>
      <c r="X30" s="20"/>
      <c r="Y30" s="45"/>
      <c r="Z30" s="48"/>
      <c r="AA30" s="30"/>
      <c r="AB30" s="30"/>
      <c r="AC30" s="30"/>
      <c r="AD30" s="20"/>
      <c r="AE30" s="20"/>
      <c r="AF30" s="20"/>
      <c r="AG30" s="20"/>
      <c r="AH30" s="20"/>
      <c r="AI30" s="20"/>
      <c r="AJ30" s="20"/>
      <c r="AK30" s="45"/>
      <c r="AL30" s="48"/>
      <c r="AM30" s="30"/>
      <c r="AN30" s="30"/>
      <c r="AO30" s="30"/>
      <c r="AP30" s="20"/>
      <c r="AQ30" s="20"/>
      <c r="AR30" s="20"/>
      <c r="AS30" s="20"/>
      <c r="AT30" s="20"/>
      <c r="AU30" s="20"/>
      <c r="AV30" s="20"/>
      <c r="AW30" s="45"/>
      <c r="AX30" s="48"/>
      <c r="AY30" s="30"/>
      <c r="AZ30" s="30"/>
      <c r="BA30" s="30"/>
      <c r="BB30" s="20"/>
      <c r="BC30" s="20"/>
      <c r="BD30" s="20"/>
      <c r="BE30" s="20"/>
      <c r="BF30" s="20"/>
      <c r="BG30" s="20"/>
      <c r="BH30" s="20"/>
      <c r="BI30" s="45"/>
      <c r="BJ30" s="48"/>
      <c r="BK30" s="30"/>
      <c r="BL30" s="30"/>
      <c r="BM30" s="30"/>
      <c r="BN30" s="20"/>
      <c r="BO30" s="20"/>
      <c r="BP30" s="20"/>
      <c r="BQ30" s="20"/>
      <c r="BR30" s="20"/>
      <c r="BS30" s="20"/>
      <c r="BT30" s="20"/>
      <c r="BU30" s="45"/>
      <c r="BV30" s="48"/>
      <c r="BW30" s="30"/>
      <c r="BX30" s="30"/>
      <c r="BY30" s="30"/>
      <c r="BZ30" s="20"/>
      <c r="CA30" s="20"/>
      <c r="CB30" s="20"/>
      <c r="CC30" s="20"/>
      <c r="CD30" s="20"/>
      <c r="CE30" s="20"/>
      <c r="CF30" s="20"/>
      <c r="CG30" s="45"/>
      <c r="CH30" s="48"/>
      <c r="CI30" s="30"/>
      <c r="CJ30" s="30"/>
      <c r="CK30" s="30"/>
      <c r="CL30" s="20"/>
      <c r="CM30" s="20"/>
      <c r="CN30" s="20"/>
      <c r="CO30" s="20"/>
      <c r="CP30" s="20"/>
      <c r="CQ30" s="20"/>
      <c r="CR30" s="20"/>
      <c r="CS30" s="45"/>
      <c r="CT30" s="48"/>
      <c r="CU30" s="30"/>
      <c r="CV30" s="30"/>
      <c r="CW30" s="30"/>
      <c r="CX30" s="20"/>
      <c r="CY30" s="20"/>
      <c r="CZ30" s="20"/>
      <c r="DA30" s="20"/>
      <c r="DB30" s="20"/>
      <c r="DC30" s="20"/>
      <c r="DD30" s="20"/>
      <c r="DE30" s="45"/>
      <c r="DF30" s="48"/>
      <c r="DG30" s="30"/>
      <c r="DH30" s="30"/>
      <c r="DI30" s="30"/>
      <c r="DJ30" s="20"/>
      <c r="DK30" s="20"/>
      <c r="DL30" s="20"/>
      <c r="DM30" s="20"/>
      <c r="DN30" s="20"/>
      <c r="DO30" s="20"/>
      <c r="DP30" s="20"/>
      <c r="DQ30" s="45"/>
      <c r="DR30" s="48"/>
      <c r="DS30" s="20"/>
      <c r="DT30" s="20"/>
      <c r="DU30" s="20"/>
      <c r="DV30" s="20"/>
      <c r="DW30" s="20"/>
      <c r="DX30" s="20"/>
      <c r="DY30" s="20"/>
      <c r="DZ30" s="20"/>
      <c r="EA30" s="20"/>
      <c r="EB30" s="20"/>
    </row>
    <row r="31" spans="1:132" s="29" customFormat="1" ht="12.75">
      <c r="A31" s="46">
        <v>1995</v>
      </c>
      <c r="B31" s="47" t="s">
        <v>39</v>
      </c>
      <c r="C31" s="35">
        <f t="shared" si="2"/>
        <v>0.93614097968936683</v>
      </c>
      <c r="D31" s="35">
        <f t="shared" si="3"/>
        <v>0.95374596798734101</v>
      </c>
      <c r="E31" s="35">
        <f t="shared" si="4"/>
        <v>0.98154121863799282</v>
      </c>
      <c r="F31" s="20">
        <f>3048+5224+8468</f>
        <v>16740</v>
      </c>
      <c r="G31" s="20">
        <f t="shared" si="7"/>
        <v>309</v>
      </c>
      <c r="H31" s="20">
        <f>2968+5131+8332</f>
        <v>16431</v>
      </c>
      <c r="I31" s="20">
        <f>2809+4909+7953</f>
        <v>15671</v>
      </c>
      <c r="J31" s="20">
        <f t="shared" si="8"/>
        <v>760</v>
      </c>
      <c r="K31" s="20"/>
      <c r="L31" s="20"/>
      <c r="M31" s="46"/>
      <c r="N31" s="47"/>
      <c r="O31" s="30"/>
      <c r="P31" s="30"/>
      <c r="Q31" s="30"/>
      <c r="R31" s="20"/>
      <c r="S31" s="20"/>
      <c r="T31" s="20"/>
      <c r="U31" s="20"/>
      <c r="V31" s="20"/>
      <c r="W31" s="20"/>
      <c r="X31" s="20"/>
      <c r="Y31" s="46"/>
      <c r="Z31" s="47"/>
      <c r="AA31" s="30"/>
      <c r="AB31" s="30"/>
      <c r="AC31" s="30"/>
      <c r="AD31" s="20"/>
      <c r="AE31" s="20"/>
      <c r="AF31" s="20"/>
      <c r="AG31" s="20"/>
      <c r="AH31" s="20"/>
      <c r="AI31" s="20"/>
      <c r="AJ31" s="20"/>
      <c r="AK31" s="46"/>
      <c r="AL31" s="47"/>
      <c r="AM31" s="30"/>
      <c r="AN31" s="30"/>
      <c r="AO31" s="30"/>
      <c r="AP31" s="20"/>
      <c r="AQ31" s="20"/>
      <c r="AR31" s="20"/>
      <c r="AS31" s="20"/>
      <c r="AT31" s="20"/>
      <c r="AU31" s="20"/>
      <c r="AV31" s="20"/>
      <c r="AW31" s="46"/>
      <c r="AX31" s="47"/>
      <c r="AY31" s="30"/>
      <c r="AZ31" s="30"/>
      <c r="BA31" s="30"/>
      <c r="BB31" s="20"/>
      <c r="BC31" s="20"/>
      <c r="BD31" s="20"/>
      <c r="BE31" s="20"/>
      <c r="BF31" s="20"/>
      <c r="BG31" s="20"/>
      <c r="BH31" s="20"/>
      <c r="BI31" s="46"/>
      <c r="BJ31" s="47"/>
      <c r="BK31" s="30"/>
      <c r="BL31" s="30"/>
      <c r="BM31" s="30"/>
      <c r="BN31" s="20"/>
      <c r="BO31" s="20"/>
      <c r="BP31" s="20"/>
      <c r="BQ31" s="20"/>
      <c r="BR31" s="20"/>
      <c r="BS31" s="20"/>
      <c r="BT31" s="20"/>
      <c r="BU31" s="46"/>
      <c r="BV31" s="47"/>
      <c r="BW31" s="30"/>
      <c r="BX31" s="30"/>
      <c r="BY31" s="30"/>
      <c r="BZ31" s="20"/>
      <c r="CA31" s="20"/>
      <c r="CB31" s="20"/>
      <c r="CC31" s="20"/>
      <c r="CD31" s="20"/>
      <c r="CE31" s="20"/>
      <c r="CF31" s="20"/>
      <c r="CG31" s="46"/>
      <c r="CH31" s="47"/>
      <c r="CI31" s="30"/>
      <c r="CJ31" s="30"/>
      <c r="CK31" s="30"/>
      <c r="CL31" s="20"/>
      <c r="CM31" s="20"/>
      <c r="CN31" s="20"/>
      <c r="CO31" s="20"/>
      <c r="CP31" s="20"/>
      <c r="CQ31" s="20"/>
      <c r="CR31" s="20"/>
      <c r="CS31" s="46"/>
      <c r="CT31" s="47"/>
      <c r="CU31" s="30"/>
      <c r="CV31" s="30"/>
      <c r="CW31" s="30"/>
      <c r="CX31" s="20"/>
      <c r="CY31" s="20"/>
      <c r="CZ31" s="20"/>
      <c r="DA31" s="20"/>
      <c r="DB31" s="20"/>
      <c r="DC31" s="20"/>
      <c r="DD31" s="20"/>
      <c r="DE31" s="46"/>
      <c r="DF31" s="47"/>
      <c r="DG31" s="30"/>
      <c r="DH31" s="30"/>
      <c r="DI31" s="30"/>
      <c r="DJ31" s="20"/>
      <c r="DK31" s="20"/>
      <c r="DL31" s="20"/>
      <c r="DM31" s="20"/>
      <c r="DN31" s="20"/>
      <c r="DO31" s="20"/>
      <c r="DP31" s="20"/>
      <c r="DQ31" s="46"/>
      <c r="DR31" s="47"/>
      <c r="DS31" s="20"/>
      <c r="DT31" s="20"/>
      <c r="DU31" s="20"/>
      <c r="DV31" s="20"/>
      <c r="DW31" s="20"/>
      <c r="DX31" s="20"/>
      <c r="DY31" s="20"/>
      <c r="DZ31" s="20"/>
      <c r="EA31" s="20"/>
      <c r="EB31" s="20"/>
    </row>
    <row r="32" spans="1:132" s="29" customFormat="1" ht="12.75">
      <c r="A32" s="45">
        <v>1995</v>
      </c>
      <c r="B32" s="48" t="s">
        <v>40</v>
      </c>
      <c r="C32" s="35">
        <f t="shared" si="2"/>
        <v>0.93738934492193782</v>
      </c>
      <c r="D32" s="35">
        <f t="shared" si="3"/>
        <v>0.95815738963531671</v>
      </c>
      <c r="E32" s="35">
        <f t="shared" si="4"/>
        <v>0.97832501743655775</v>
      </c>
      <c r="F32" s="20">
        <v>18639</v>
      </c>
      <c r="G32" s="20">
        <f t="shared" si="7"/>
        <v>404</v>
      </c>
      <c r="H32" s="20">
        <v>18235</v>
      </c>
      <c r="I32" s="20">
        <v>17472</v>
      </c>
      <c r="J32" s="20">
        <f t="shared" si="8"/>
        <v>763</v>
      </c>
      <c r="K32" s="20"/>
      <c r="L32" s="20"/>
      <c r="M32" s="45"/>
      <c r="N32" s="48"/>
      <c r="O32" s="30"/>
      <c r="P32" s="30"/>
      <c r="Q32" s="30"/>
      <c r="R32" s="20"/>
      <c r="S32" s="20"/>
      <c r="T32" s="20"/>
      <c r="U32" s="20"/>
      <c r="V32" s="20"/>
      <c r="W32" s="20"/>
      <c r="X32" s="20"/>
      <c r="Y32" s="45"/>
      <c r="Z32" s="48"/>
      <c r="AA32" s="30"/>
      <c r="AB32" s="30"/>
      <c r="AC32" s="30"/>
      <c r="AD32" s="20"/>
      <c r="AE32" s="20"/>
      <c r="AF32" s="20"/>
      <c r="AG32" s="20"/>
      <c r="AH32" s="20"/>
      <c r="AI32" s="20"/>
      <c r="AJ32" s="20"/>
      <c r="AK32" s="45"/>
      <c r="AL32" s="48"/>
      <c r="AM32" s="30"/>
      <c r="AN32" s="30"/>
      <c r="AO32" s="30"/>
      <c r="AP32" s="20"/>
      <c r="AQ32" s="20"/>
      <c r="AR32" s="20"/>
      <c r="AS32" s="20"/>
      <c r="AT32" s="20"/>
      <c r="AU32" s="20"/>
      <c r="AV32" s="20"/>
      <c r="AW32" s="45"/>
      <c r="AX32" s="48"/>
      <c r="AY32" s="30"/>
      <c r="AZ32" s="30"/>
      <c r="BA32" s="30"/>
      <c r="BB32" s="20"/>
      <c r="BC32" s="20"/>
      <c r="BD32" s="20"/>
      <c r="BE32" s="20"/>
      <c r="BF32" s="20"/>
      <c r="BG32" s="20"/>
      <c r="BH32" s="20"/>
      <c r="BI32" s="45"/>
      <c r="BJ32" s="48"/>
      <c r="BK32" s="30"/>
      <c r="BL32" s="30"/>
      <c r="BM32" s="30"/>
      <c r="BN32" s="20"/>
      <c r="BO32" s="20"/>
      <c r="BP32" s="20"/>
      <c r="BQ32" s="20"/>
      <c r="BR32" s="20"/>
      <c r="BS32" s="20"/>
      <c r="BT32" s="20"/>
      <c r="BU32" s="45"/>
      <c r="BV32" s="48"/>
      <c r="BW32" s="30"/>
      <c r="BX32" s="30"/>
      <c r="BY32" s="30"/>
      <c r="BZ32" s="20"/>
      <c r="CA32" s="20"/>
      <c r="CB32" s="20"/>
      <c r="CC32" s="20"/>
      <c r="CD32" s="20"/>
      <c r="CE32" s="20"/>
      <c r="CF32" s="20"/>
      <c r="CG32" s="45"/>
      <c r="CH32" s="48"/>
      <c r="CI32" s="30"/>
      <c r="CJ32" s="30"/>
      <c r="CK32" s="30"/>
      <c r="CL32" s="20"/>
      <c r="CM32" s="20"/>
      <c r="CN32" s="20"/>
      <c r="CO32" s="20"/>
      <c r="CP32" s="20"/>
      <c r="CQ32" s="20"/>
      <c r="CR32" s="20"/>
      <c r="CS32" s="45"/>
      <c r="CT32" s="48"/>
      <c r="CU32" s="30"/>
      <c r="CV32" s="30"/>
      <c r="CW32" s="30"/>
      <c r="CX32" s="20"/>
      <c r="CY32" s="20"/>
      <c r="CZ32" s="20"/>
      <c r="DA32" s="20"/>
      <c r="DB32" s="20"/>
      <c r="DC32" s="20"/>
      <c r="DD32" s="20"/>
      <c r="DE32" s="45"/>
      <c r="DF32" s="48"/>
      <c r="DG32" s="30"/>
      <c r="DH32" s="30"/>
      <c r="DI32" s="30"/>
      <c r="DJ32" s="20"/>
      <c r="DK32" s="20"/>
      <c r="DL32" s="20"/>
      <c r="DM32" s="20"/>
      <c r="DN32" s="20"/>
      <c r="DO32" s="20"/>
      <c r="DP32" s="20"/>
      <c r="DQ32" s="45"/>
      <c r="DR32" s="48"/>
      <c r="DS32" s="20"/>
      <c r="DT32" s="20"/>
      <c r="DU32" s="20"/>
      <c r="DV32" s="20"/>
      <c r="DW32" s="20"/>
      <c r="DX32" s="20"/>
      <c r="DY32" s="20"/>
      <c r="DZ32" s="20"/>
      <c r="EA32" s="20"/>
      <c r="EB32" s="20"/>
    </row>
    <row r="33" spans="1:132" s="29" customFormat="1" ht="12.75">
      <c r="A33" s="46">
        <v>1995</v>
      </c>
      <c r="B33" s="47" t="s">
        <v>41</v>
      </c>
      <c r="C33" s="35">
        <f t="shared" si="2"/>
        <v>0.95828584454068844</v>
      </c>
      <c r="D33" s="35">
        <f t="shared" si="3"/>
        <v>0.97297922814326221</v>
      </c>
      <c r="E33" s="35">
        <f t="shared" si="4"/>
        <v>0.9848985639389104</v>
      </c>
      <c r="F33" s="20">
        <v>17548</v>
      </c>
      <c r="G33" s="20">
        <f t="shared" si="7"/>
        <v>265</v>
      </c>
      <c r="H33" s="20">
        <v>17283</v>
      </c>
      <c r="I33" s="20">
        <v>16816</v>
      </c>
      <c r="J33" s="20">
        <f t="shared" si="8"/>
        <v>467</v>
      </c>
      <c r="K33" s="20"/>
      <c r="L33" s="20"/>
      <c r="M33" s="46"/>
      <c r="N33" s="47"/>
      <c r="O33" s="30"/>
      <c r="P33" s="30"/>
      <c r="Q33" s="30"/>
      <c r="R33" s="20"/>
      <c r="S33" s="20"/>
      <c r="T33" s="20"/>
      <c r="U33" s="20"/>
      <c r="V33" s="20"/>
      <c r="W33" s="20"/>
      <c r="X33" s="20"/>
      <c r="Y33" s="46"/>
      <c r="Z33" s="47"/>
      <c r="AA33" s="30"/>
      <c r="AB33" s="30"/>
      <c r="AC33" s="30"/>
      <c r="AD33" s="20"/>
      <c r="AE33" s="20"/>
      <c r="AF33" s="20"/>
      <c r="AG33" s="20"/>
      <c r="AH33" s="20"/>
      <c r="AI33" s="20"/>
      <c r="AJ33" s="20"/>
      <c r="AK33" s="46"/>
      <c r="AL33" s="47"/>
      <c r="AM33" s="30"/>
      <c r="AN33" s="30"/>
      <c r="AO33" s="30"/>
      <c r="AP33" s="20"/>
      <c r="AQ33" s="20"/>
      <c r="AR33" s="20"/>
      <c r="AS33" s="20"/>
      <c r="AT33" s="20"/>
      <c r="AU33" s="20"/>
      <c r="AV33" s="20"/>
      <c r="AW33" s="46"/>
      <c r="AX33" s="47"/>
      <c r="AY33" s="30"/>
      <c r="AZ33" s="30"/>
      <c r="BA33" s="30"/>
      <c r="BB33" s="20"/>
      <c r="BC33" s="20"/>
      <c r="BD33" s="20"/>
      <c r="BE33" s="20"/>
      <c r="BF33" s="20"/>
      <c r="BG33" s="20"/>
      <c r="BH33" s="20"/>
      <c r="BI33" s="46"/>
      <c r="BJ33" s="47"/>
      <c r="BK33" s="30"/>
      <c r="BL33" s="30"/>
      <c r="BM33" s="30"/>
      <c r="BN33" s="20"/>
      <c r="BO33" s="20"/>
      <c r="BP33" s="20"/>
      <c r="BQ33" s="20"/>
      <c r="BR33" s="20"/>
      <c r="BS33" s="20"/>
      <c r="BT33" s="20"/>
      <c r="BU33" s="46"/>
      <c r="BV33" s="47"/>
      <c r="BW33" s="30"/>
      <c r="BX33" s="30"/>
      <c r="BY33" s="30"/>
      <c r="BZ33" s="20"/>
      <c r="CA33" s="20"/>
      <c r="CB33" s="20"/>
      <c r="CC33" s="20"/>
      <c r="CD33" s="20"/>
      <c r="CE33" s="20"/>
      <c r="CF33" s="20"/>
      <c r="CG33" s="46"/>
      <c r="CH33" s="47"/>
      <c r="CI33" s="30"/>
      <c r="CJ33" s="30"/>
      <c r="CK33" s="30"/>
      <c r="CL33" s="20"/>
      <c r="CM33" s="20"/>
      <c r="CN33" s="20"/>
      <c r="CO33" s="20"/>
      <c r="CP33" s="20"/>
      <c r="CQ33" s="20"/>
      <c r="CR33" s="20"/>
      <c r="CS33" s="46"/>
      <c r="CT33" s="47"/>
      <c r="CU33" s="30"/>
      <c r="CV33" s="30"/>
      <c r="CW33" s="30"/>
      <c r="CX33" s="20"/>
      <c r="CY33" s="20"/>
      <c r="CZ33" s="20"/>
      <c r="DA33" s="20"/>
      <c r="DB33" s="20"/>
      <c r="DC33" s="20"/>
      <c r="DD33" s="20"/>
      <c r="DE33" s="46"/>
      <c r="DF33" s="47"/>
      <c r="DG33" s="30"/>
      <c r="DH33" s="30"/>
      <c r="DI33" s="30"/>
      <c r="DJ33" s="20"/>
      <c r="DK33" s="20"/>
      <c r="DL33" s="20"/>
      <c r="DM33" s="20"/>
      <c r="DN33" s="20"/>
      <c r="DO33" s="20"/>
      <c r="DP33" s="20"/>
      <c r="DQ33" s="46"/>
      <c r="DR33" s="47"/>
      <c r="DS33" s="20"/>
      <c r="DT33" s="20"/>
      <c r="DU33" s="20"/>
      <c r="DV33" s="20"/>
      <c r="DW33" s="20"/>
      <c r="DX33" s="20"/>
      <c r="DY33" s="20"/>
      <c r="DZ33" s="20"/>
      <c r="EA33" s="20"/>
      <c r="EB33" s="20"/>
    </row>
    <row r="34" spans="1:132" s="29" customFormat="1" ht="12.75">
      <c r="A34" s="45">
        <v>1995</v>
      </c>
      <c r="B34" s="48" t="s">
        <v>42</v>
      </c>
      <c r="C34" s="35">
        <f t="shared" si="2"/>
        <v>0.95519929724387831</v>
      </c>
      <c r="D34" s="35">
        <f t="shared" si="3"/>
        <v>0.96484028393966281</v>
      </c>
      <c r="E34" s="35">
        <f t="shared" si="4"/>
        <v>0.99000768639508074</v>
      </c>
      <c r="F34" s="20">
        <v>18214</v>
      </c>
      <c r="G34" s="20">
        <f t="shared" si="7"/>
        <v>182</v>
      </c>
      <c r="H34" s="20">
        <v>18032</v>
      </c>
      <c r="I34" s="20">
        <v>17398</v>
      </c>
      <c r="J34" s="20">
        <f t="shared" si="8"/>
        <v>634</v>
      </c>
      <c r="K34" s="20"/>
      <c r="L34" s="20"/>
      <c r="M34" s="45"/>
      <c r="N34" s="48"/>
      <c r="O34" s="30"/>
      <c r="P34" s="30"/>
      <c r="Q34" s="30"/>
      <c r="R34" s="20"/>
      <c r="S34" s="20"/>
      <c r="T34" s="20"/>
      <c r="U34" s="20"/>
      <c r="V34" s="20"/>
      <c r="W34" s="20"/>
      <c r="X34" s="20"/>
      <c r="Y34" s="45"/>
      <c r="Z34" s="48"/>
      <c r="AA34" s="30"/>
      <c r="AB34" s="30"/>
      <c r="AC34" s="30"/>
      <c r="AD34" s="20"/>
      <c r="AE34" s="20"/>
      <c r="AF34" s="20"/>
      <c r="AG34" s="20"/>
      <c r="AH34" s="20"/>
      <c r="AI34" s="20"/>
      <c r="AJ34" s="20"/>
      <c r="AK34" s="45"/>
      <c r="AL34" s="48"/>
      <c r="AM34" s="30"/>
      <c r="AN34" s="30"/>
      <c r="AO34" s="30"/>
      <c r="AP34" s="20"/>
      <c r="AQ34" s="20"/>
      <c r="AR34" s="20"/>
      <c r="AS34" s="20"/>
      <c r="AT34" s="20"/>
      <c r="AU34" s="20"/>
      <c r="AV34" s="20"/>
      <c r="AW34" s="45"/>
      <c r="AX34" s="48"/>
      <c r="AY34" s="30"/>
      <c r="AZ34" s="30"/>
      <c r="BA34" s="30"/>
      <c r="BB34" s="20"/>
      <c r="BC34" s="20"/>
      <c r="BD34" s="20"/>
      <c r="BE34" s="20"/>
      <c r="BF34" s="20"/>
      <c r="BG34" s="20"/>
      <c r="BH34" s="20"/>
      <c r="BI34" s="45"/>
      <c r="BJ34" s="48"/>
      <c r="BK34" s="30"/>
      <c r="BL34" s="30"/>
      <c r="BM34" s="30"/>
      <c r="BN34" s="20"/>
      <c r="BO34" s="20"/>
      <c r="BP34" s="20"/>
      <c r="BQ34" s="20"/>
      <c r="BR34" s="20"/>
      <c r="BS34" s="20"/>
      <c r="BT34" s="20"/>
      <c r="BU34" s="45"/>
      <c r="BV34" s="48"/>
      <c r="BW34" s="30"/>
      <c r="BX34" s="30"/>
      <c r="BY34" s="30"/>
      <c r="BZ34" s="20"/>
      <c r="CA34" s="20"/>
      <c r="CB34" s="20"/>
      <c r="CC34" s="20"/>
      <c r="CD34" s="20"/>
      <c r="CE34" s="20"/>
      <c r="CF34" s="20"/>
      <c r="CG34" s="45"/>
      <c r="CH34" s="48"/>
      <c r="CI34" s="30"/>
      <c r="CJ34" s="30"/>
      <c r="CK34" s="30"/>
      <c r="CL34" s="20"/>
      <c r="CM34" s="20"/>
      <c r="CN34" s="20"/>
      <c r="CO34" s="20"/>
      <c r="CP34" s="20"/>
      <c r="CQ34" s="20"/>
      <c r="CR34" s="20"/>
      <c r="CS34" s="45"/>
      <c r="CT34" s="48"/>
      <c r="CU34" s="30"/>
      <c r="CV34" s="30"/>
      <c r="CW34" s="30"/>
      <c r="CX34" s="20"/>
      <c r="CY34" s="20"/>
      <c r="CZ34" s="20"/>
      <c r="DA34" s="20"/>
      <c r="DB34" s="20"/>
      <c r="DC34" s="20"/>
      <c r="DD34" s="20"/>
      <c r="DE34" s="45"/>
      <c r="DF34" s="48"/>
      <c r="DG34" s="30"/>
      <c r="DH34" s="30"/>
      <c r="DI34" s="30"/>
      <c r="DJ34" s="20"/>
      <c r="DK34" s="20"/>
      <c r="DL34" s="20"/>
      <c r="DM34" s="20"/>
      <c r="DN34" s="20"/>
      <c r="DO34" s="20"/>
      <c r="DP34" s="20"/>
      <c r="DQ34" s="45"/>
      <c r="DR34" s="48"/>
      <c r="DS34" s="20"/>
      <c r="DT34" s="20"/>
      <c r="DU34" s="20"/>
      <c r="DV34" s="20"/>
      <c r="DW34" s="20"/>
      <c r="DX34" s="20"/>
      <c r="DY34" s="20"/>
      <c r="DZ34" s="20"/>
      <c r="EA34" s="20"/>
      <c r="EB34" s="20"/>
    </row>
    <row r="35" spans="1:132" s="29" customFormat="1" ht="12.75">
      <c r="A35" s="46">
        <v>1995</v>
      </c>
      <c r="B35" s="47" t="s">
        <v>43</v>
      </c>
      <c r="C35" s="35">
        <f t="shared" si="2"/>
        <v>0.97308031774051196</v>
      </c>
      <c r="D35" s="35">
        <f t="shared" si="3"/>
        <v>0.98032677559186399</v>
      </c>
      <c r="E35" s="35">
        <f t="shared" si="4"/>
        <v>0.99260812003530452</v>
      </c>
      <c r="F35" s="20">
        <v>18128</v>
      </c>
      <c r="G35" s="20">
        <f t="shared" si="7"/>
        <v>134</v>
      </c>
      <c r="H35" s="20">
        <v>17994</v>
      </c>
      <c r="I35" s="20">
        <v>17640</v>
      </c>
      <c r="J35" s="20">
        <f t="shared" si="8"/>
        <v>354</v>
      </c>
      <c r="K35" s="20"/>
      <c r="L35" s="20"/>
      <c r="M35" s="46"/>
      <c r="N35" s="47"/>
      <c r="O35" s="30"/>
      <c r="P35" s="30"/>
      <c r="Q35" s="30"/>
      <c r="R35" s="20"/>
      <c r="S35" s="20"/>
      <c r="T35" s="20"/>
      <c r="U35" s="20"/>
      <c r="V35" s="20"/>
      <c r="W35" s="20"/>
      <c r="X35" s="20"/>
      <c r="Y35" s="46"/>
      <c r="Z35" s="47"/>
      <c r="AA35" s="30"/>
      <c r="AB35" s="30"/>
      <c r="AC35" s="30"/>
      <c r="AD35" s="20"/>
      <c r="AE35" s="20"/>
      <c r="AF35" s="20"/>
      <c r="AG35" s="20"/>
      <c r="AH35" s="20"/>
      <c r="AI35" s="20"/>
      <c r="AJ35" s="20"/>
      <c r="AK35" s="46"/>
      <c r="AL35" s="47"/>
      <c r="AM35" s="30"/>
      <c r="AN35" s="30"/>
      <c r="AO35" s="30"/>
      <c r="AP35" s="20"/>
      <c r="AQ35" s="20"/>
      <c r="AR35" s="20"/>
      <c r="AS35" s="20"/>
      <c r="AT35" s="20"/>
      <c r="AU35" s="20"/>
      <c r="AV35" s="20"/>
      <c r="AW35" s="46"/>
      <c r="AX35" s="47"/>
      <c r="AY35" s="30"/>
      <c r="AZ35" s="30"/>
      <c r="BA35" s="30"/>
      <c r="BB35" s="20"/>
      <c r="BC35" s="20"/>
      <c r="BD35" s="20"/>
      <c r="BE35" s="20"/>
      <c r="BF35" s="20"/>
      <c r="BG35" s="20"/>
      <c r="BH35" s="20"/>
      <c r="BI35" s="46"/>
      <c r="BJ35" s="47"/>
      <c r="BK35" s="30"/>
      <c r="BL35" s="30"/>
      <c r="BM35" s="30"/>
      <c r="BN35" s="20"/>
      <c r="BO35" s="20"/>
      <c r="BP35" s="20"/>
      <c r="BQ35" s="20"/>
      <c r="BR35" s="20"/>
      <c r="BS35" s="20"/>
      <c r="BT35" s="20"/>
      <c r="BU35" s="46"/>
      <c r="BV35" s="47"/>
      <c r="BW35" s="30"/>
      <c r="BX35" s="30"/>
      <c r="BY35" s="30"/>
      <c r="BZ35" s="20"/>
      <c r="CA35" s="20"/>
      <c r="CB35" s="20"/>
      <c r="CC35" s="20"/>
      <c r="CD35" s="20"/>
      <c r="CE35" s="20"/>
      <c r="CF35" s="20"/>
      <c r="CG35" s="46"/>
      <c r="CH35" s="47"/>
      <c r="CI35" s="30"/>
      <c r="CJ35" s="30"/>
      <c r="CK35" s="30"/>
      <c r="CL35" s="20"/>
      <c r="CM35" s="20"/>
      <c r="CN35" s="20"/>
      <c r="CO35" s="20"/>
      <c r="CP35" s="20"/>
      <c r="CQ35" s="20"/>
      <c r="CR35" s="20"/>
      <c r="CS35" s="46"/>
      <c r="CT35" s="47"/>
      <c r="CU35" s="30"/>
      <c r="CV35" s="30"/>
      <c r="CW35" s="30"/>
      <c r="CX35" s="20"/>
      <c r="CY35" s="20"/>
      <c r="CZ35" s="20"/>
      <c r="DA35" s="20"/>
      <c r="DB35" s="20"/>
      <c r="DC35" s="20"/>
      <c r="DD35" s="20"/>
      <c r="DE35" s="46"/>
      <c r="DF35" s="47"/>
      <c r="DG35" s="30"/>
      <c r="DH35" s="30"/>
      <c r="DI35" s="30"/>
      <c r="DJ35" s="20"/>
      <c r="DK35" s="20"/>
      <c r="DL35" s="20"/>
      <c r="DM35" s="20"/>
      <c r="DN35" s="20"/>
      <c r="DO35" s="20"/>
      <c r="DP35" s="20"/>
      <c r="DQ35" s="46"/>
      <c r="DR35" s="47"/>
      <c r="DS35" s="20"/>
      <c r="DT35" s="20"/>
      <c r="DU35" s="20"/>
      <c r="DV35" s="20"/>
      <c r="DW35" s="20"/>
      <c r="DX35" s="20"/>
      <c r="DY35" s="20"/>
      <c r="DZ35" s="20"/>
      <c r="EA35" s="20"/>
      <c r="EB35" s="20"/>
    </row>
    <row r="36" spans="1:132" s="29" customFormat="1" ht="12.75">
      <c r="A36" s="45">
        <v>1995</v>
      </c>
      <c r="B36" s="48" t="s">
        <v>44</v>
      </c>
      <c r="C36" s="35">
        <f t="shared" si="2"/>
        <v>0.97008914187520134</v>
      </c>
      <c r="D36" s="35">
        <f t="shared" si="3"/>
        <v>0.9848980481953985</v>
      </c>
      <c r="E36" s="35">
        <f t="shared" si="4"/>
        <v>0.98496402105037051</v>
      </c>
      <c r="F36" s="20">
        <v>18622</v>
      </c>
      <c r="G36" s="20">
        <f t="shared" si="7"/>
        <v>280</v>
      </c>
      <c r="H36" s="20">
        <v>18342</v>
      </c>
      <c r="I36" s="20">
        <v>18065</v>
      </c>
      <c r="J36" s="20">
        <f t="shared" si="8"/>
        <v>277</v>
      </c>
      <c r="K36" s="20"/>
      <c r="L36" s="20"/>
      <c r="M36" s="45"/>
      <c r="N36" s="48"/>
      <c r="O36" s="30"/>
      <c r="P36" s="30"/>
      <c r="Q36" s="30"/>
      <c r="R36" s="20"/>
      <c r="S36" s="20"/>
      <c r="T36" s="20"/>
      <c r="U36" s="20"/>
      <c r="V36" s="20"/>
      <c r="W36" s="20"/>
      <c r="X36" s="20"/>
      <c r="Y36" s="45"/>
      <c r="Z36" s="48"/>
      <c r="AA36" s="30"/>
      <c r="AB36" s="30"/>
      <c r="AC36" s="30"/>
      <c r="AD36" s="20"/>
      <c r="AE36" s="20"/>
      <c r="AF36" s="20"/>
      <c r="AG36" s="20"/>
      <c r="AH36" s="20"/>
      <c r="AI36" s="20"/>
      <c r="AJ36" s="20"/>
      <c r="AK36" s="45"/>
      <c r="AL36" s="48"/>
      <c r="AM36" s="30"/>
      <c r="AN36" s="30"/>
      <c r="AO36" s="30"/>
      <c r="AP36" s="20"/>
      <c r="AQ36" s="20"/>
      <c r="AR36" s="20"/>
      <c r="AS36" s="20"/>
      <c r="AT36" s="20"/>
      <c r="AU36" s="20"/>
      <c r="AV36" s="20"/>
      <c r="AW36" s="45"/>
      <c r="AX36" s="48"/>
      <c r="AY36" s="30"/>
      <c r="AZ36" s="30"/>
      <c r="BA36" s="30"/>
      <c r="BB36" s="20"/>
      <c r="BC36" s="20"/>
      <c r="BD36" s="20"/>
      <c r="BE36" s="20"/>
      <c r="BF36" s="20"/>
      <c r="BG36" s="20"/>
      <c r="BH36" s="20"/>
      <c r="BI36" s="45"/>
      <c r="BJ36" s="48"/>
      <c r="BK36" s="30"/>
      <c r="BL36" s="30"/>
      <c r="BM36" s="30"/>
      <c r="BN36" s="20"/>
      <c r="BO36" s="20"/>
      <c r="BP36" s="20"/>
      <c r="BQ36" s="20"/>
      <c r="BR36" s="20"/>
      <c r="BS36" s="20"/>
      <c r="BT36" s="20"/>
      <c r="BU36" s="45"/>
      <c r="BV36" s="48"/>
      <c r="BW36" s="30"/>
      <c r="BX36" s="30"/>
      <c r="BY36" s="30"/>
      <c r="BZ36" s="20"/>
      <c r="CA36" s="20"/>
      <c r="CB36" s="20"/>
      <c r="CC36" s="20"/>
      <c r="CD36" s="20"/>
      <c r="CE36" s="20"/>
      <c r="CF36" s="20"/>
      <c r="CG36" s="45"/>
      <c r="CH36" s="48"/>
      <c r="CI36" s="30"/>
      <c r="CJ36" s="30"/>
      <c r="CK36" s="30"/>
      <c r="CL36" s="20"/>
      <c r="CM36" s="20"/>
      <c r="CN36" s="20"/>
      <c r="CO36" s="20"/>
      <c r="CP36" s="20"/>
      <c r="CQ36" s="20"/>
      <c r="CR36" s="20"/>
      <c r="CS36" s="45"/>
      <c r="CT36" s="48"/>
      <c r="CU36" s="30"/>
      <c r="CV36" s="30"/>
      <c r="CW36" s="30"/>
      <c r="CX36" s="20"/>
      <c r="CY36" s="20"/>
      <c r="CZ36" s="20"/>
      <c r="DA36" s="20"/>
      <c r="DB36" s="20"/>
      <c r="DC36" s="20"/>
      <c r="DD36" s="20"/>
      <c r="DE36" s="45"/>
      <c r="DF36" s="48"/>
      <c r="DG36" s="30"/>
      <c r="DH36" s="30"/>
      <c r="DI36" s="30"/>
      <c r="DJ36" s="20"/>
      <c r="DK36" s="20"/>
      <c r="DL36" s="20"/>
      <c r="DM36" s="20"/>
      <c r="DN36" s="20"/>
      <c r="DO36" s="20"/>
      <c r="DP36" s="20"/>
      <c r="DQ36" s="45"/>
      <c r="DR36" s="48"/>
      <c r="DS36" s="20"/>
      <c r="DT36" s="20"/>
      <c r="DU36" s="20"/>
      <c r="DV36" s="20"/>
      <c r="DW36" s="20"/>
      <c r="DX36" s="20"/>
      <c r="DY36" s="20"/>
      <c r="DZ36" s="20"/>
      <c r="EA36" s="20"/>
      <c r="EB36" s="20"/>
    </row>
    <row r="37" spans="1:132" s="29" customFormat="1" ht="12.75">
      <c r="A37" s="46">
        <v>1995</v>
      </c>
      <c r="B37" s="47" t="s">
        <v>45</v>
      </c>
      <c r="C37" s="35">
        <f t="shared" si="2"/>
        <v>0.96724868792894636</v>
      </c>
      <c r="D37" s="35">
        <f t="shared" si="3"/>
        <v>0.97960748236737194</v>
      </c>
      <c r="E37" s="35">
        <f t="shared" si="4"/>
        <v>0.98738393217601939</v>
      </c>
      <c r="F37" s="20">
        <f>660+4442+4218+812+468+2153+2143+1179+1627+2114</f>
        <v>19816</v>
      </c>
      <c r="G37" s="20">
        <f t="shared" si="7"/>
        <v>250</v>
      </c>
      <c r="H37" s="20">
        <f>649+4371+4179+800+464+2127+2128+1162+1599+2087</f>
        <v>19566</v>
      </c>
      <c r="I37" s="20">
        <f>636+4281+4089+782+455+2097+2114+1139+1554+2020</f>
        <v>19167</v>
      </c>
      <c r="J37" s="20">
        <f t="shared" si="8"/>
        <v>399</v>
      </c>
      <c r="K37" s="20"/>
      <c r="L37" s="20"/>
      <c r="M37" s="46"/>
      <c r="N37" s="47"/>
      <c r="O37" s="30"/>
      <c r="P37" s="30"/>
      <c r="Q37" s="30"/>
      <c r="R37" s="20"/>
      <c r="S37" s="20"/>
      <c r="T37" s="20"/>
      <c r="U37" s="20"/>
      <c r="V37" s="20"/>
      <c r="W37" s="20"/>
      <c r="X37" s="20"/>
      <c r="Y37" s="46"/>
      <c r="Z37" s="47"/>
      <c r="AA37" s="30"/>
      <c r="AB37" s="30"/>
      <c r="AC37" s="30"/>
      <c r="AD37" s="20"/>
      <c r="AE37" s="20"/>
      <c r="AF37" s="20"/>
      <c r="AG37" s="20"/>
      <c r="AH37" s="20"/>
      <c r="AI37" s="20"/>
      <c r="AJ37" s="20"/>
      <c r="AK37" s="46"/>
      <c r="AL37" s="47"/>
      <c r="AM37" s="30"/>
      <c r="AN37" s="30"/>
      <c r="AO37" s="30"/>
      <c r="AP37" s="20"/>
      <c r="AQ37" s="20"/>
      <c r="AR37" s="20"/>
      <c r="AS37" s="20"/>
      <c r="AT37" s="20"/>
      <c r="AU37" s="20"/>
      <c r="AV37" s="20"/>
      <c r="AW37" s="46"/>
      <c r="AX37" s="47"/>
      <c r="AY37" s="30"/>
      <c r="AZ37" s="30"/>
      <c r="BA37" s="30"/>
      <c r="BB37" s="20"/>
      <c r="BC37" s="20"/>
      <c r="BD37" s="20"/>
      <c r="BE37" s="20"/>
      <c r="BF37" s="20"/>
      <c r="BG37" s="20"/>
      <c r="BH37" s="20"/>
      <c r="BI37" s="46"/>
      <c r="BJ37" s="47"/>
      <c r="BK37" s="30"/>
      <c r="BL37" s="30"/>
      <c r="BM37" s="30"/>
      <c r="BN37" s="20"/>
      <c r="BO37" s="20"/>
      <c r="BP37" s="20"/>
      <c r="BQ37" s="20"/>
      <c r="BR37" s="20"/>
      <c r="BS37" s="20"/>
      <c r="BT37" s="20"/>
      <c r="BU37" s="46"/>
      <c r="BV37" s="47"/>
      <c r="BW37" s="30"/>
      <c r="BX37" s="30"/>
      <c r="BY37" s="30"/>
      <c r="BZ37" s="20"/>
      <c r="CA37" s="20"/>
      <c r="CB37" s="20"/>
      <c r="CC37" s="20"/>
      <c r="CD37" s="20"/>
      <c r="CE37" s="20"/>
      <c r="CF37" s="20"/>
      <c r="CG37" s="46"/>
      <c r="CH37" s="47"/>
      <c r="CI37" s="30"/>
      <c r="CJ37" s="30"/>
      <c r="CK37" s="30"/>
      <c r="CL37" s="20"/>
      <c r="CM37" s="20"/>
      <c r="CN37" s="20"/>
      <c r="CO37" s="20"/>
      <c r="CP37" s="20"/>
      <c r="CQ37" s="20"/>
      <c r="CR37" s="20"/>
      <c r="CS37" s="46"/>
      <c r="CT37" s="47"/>
      <c r="CU37" s="30"/>
      <c r="CV37" s="30"/>
      <c r="CW37" s="30"/>
      <c r="CX37" s="20"/>
      <c r="CY37" s="20"/>
      <c r="CZ37" s="20"/>
      <c r="DA37" s="20"/>
      <c r="DB37" s="20"/>
      <c r="DC37" s="20"/>
      <c r="DD37" s="20"/>
      <c r="DE37" s="46"/>
      <c r="DF37" s="47"/>
      <c r="DG37" s="30"/>
      <c r="DH37" s="30"/>
      <c r="DI37" s="30"/>
      <c r="DJ37" s="20"/>
      <c r="DK37" s="20"/>
      <c r="DL37" s="20"/>
      <c r="DM37" s="20"/>
      <c r="DN37" s="20"/>
      <c r="DO37" s="20"/>
      <c r="DP37" s="20"/>
      <c r="DQ37" s="46"/>
      <c r="DR37" s="47"/>
      <c r="DS37" s="20"/>
      <c r="DT37" s="20"/>
      <c r="DU37" s="20"/>
      <c r="DV37" s="20"/>
      <c r="DW37" s="20"/>
      <c r="DX37" s="20"/>
      <c r="DY37" s="20"/>
      <c r="DZ37" s="20"/>
      <c r="EA37" s="20"/>
      <c r="EB37" s="20"/>
    </row>
    <row r="38" spans="1:132" s="29" customFormat="1" ht="12.75">
      <c r="A38" s="45">
        <v>1995</v>
      </c>
      <c r="B38" s="48" t="s">
        <v>46</v>
      </c>
      <c r="C38" s="35">
        <f t="shared" si="2"/>
        <v>0.96597837782446072</v>
      </c>
      <c r="D38" s="35">
        <f t="shared" si="3"/>
        <v>0.97608076624385198</v>
      </c>
      <c r="E38" s="35">
        <f t="shared" si="4"/>
        <v>0.98965004867551365</v>
      </c>
      <c r="F38" s="20">
        <f>4335+4118+2105+1727+1146+2094+468+2100+630+794</f>
        <v>19517</v>
      </c>
      <c r="G38" s="20">
        <f t="shared" si="7"/>
        <v>202</v>
      </c>
      <c r="H38" s="20">
        <f>4292+4091+2081+1686+1138+2080+466+2082+609+790</f>
        <v>19315</v>
      </c>
      <c r="I38" s="20">
        <f>4198+4014+1984+1622+1116+2060+452+2043+591+773</f>
        <v>18853</v>
      </c>
      <c r="J38" s="20">
        <f t="shared" si="8"/>
        <v>462</v>
      </c>
      <c r="K38" s="20"/>
      <c r="L38" s="20"/>
      <c r="M38" s="45"/>
      <c r="N38" s="48"/>
      <c r="O38" s="30"/>
      <c r="P38" s="30"/>
      <c r="Q38" s="30"/>
      <c r="R38" s="20"/>
      <c r="S38" s="20"/>
      <c r="T38" s="20"/>
      <c r="U38" s="20"/>
      <c r="V38" s="20"/>
      <c r="W38" s="20"/>
      <c r="X38" s="20"/>
      <c r="Y38" s="45"/>
      <c r="Z38" s="48"/>
      <c r="AA38" s="30"/>
      <c r="AB38" s="30"/>
      <c r="AC38" s="30"/>
      <c r="AD38" s="20"/>
      <c r="AE38" s="20"/>
      <c r="AF38" s="20"/>
      <c r="AG38" s="20"/>
      <c r="AH38" s="20"/>
      <c r="AI38" s="20"/>
      <c r="AJ38" s="20"/>
      <c r="AK38" s="45"/>
      <c r="AL38" s="48"/>
      <c r="AM38" s="30"/>
      <c r="AN38" s="30"/>
      <c r="AO38" s="30"/>
      <c r="AP38" s="20"/>
      <c r="AQ38" s="20"/>
      <c r="AR38" s="20"/>
      <c r="AS38" s="20"/>
      <c r="AT38" s="20"/>
      <c r="AU38" s="20"/>
      <c r="AV38" s="20"/>
      <c r="AW38" s="45"/>
      <c r="AX38" s="48"/>
      <c r="AY38" s="30"/>
      <c r="AZ38" s="30"/>
      <c r="BA38" s="30"/>
      <c r="BB38" s="20"/>
      <c r="BC38" s="20"/>
      <c r="BD38" s="20"/>
      <c r="BE38" s="20"/>
      <c r="BF38" s="20"/>
      <c r="BG38" s="20"/>
      <c r="BH38" s="20"/>
      <c r="BI38" s="45"/>
      <c r="BJ38" s="48"/>
      <c r="BK38" s="30"/>
      <c r="BL38" s="30"/>
      <c r="BM38" s="30"/>
      <c r="BN38" s="20"/>
      <c r="BO38" s="20"/>
      <c r="BP38" s="20"/>
      <c r="BQ38" s="20"/>
      <c r="BR38" s="20"/>
      <c r="BS38" s="20"/>
      <c r="BT38" s="20"/>
      <c r="BU38" s="45"/>
      <c r="BV38" s="48"/>
      <c r="BW38" s="30"/>
      <c r="BX38" s="30"/>
      <c r="BY38" s="30"/>
      <c r="BZ38" s="20"/>
      <c r="CA38" s="20"/>
      <c r="CB38" s="20"/>
      <c r="CC38" s="20"/>
      <c r="CD38" s="20"/>
      <c r="CE38" s="20"/>
      <c r="CF38" s="20"/>
      <c r="CG38" s="45"/>
      <c r="CH38" s="48"/>
      <c r="CI38" s="30"/>
      <c r="CJ38" s="30"/>
      <c r="CK38" s="30"/>
      <c r="CL38" s="20"/>
      <c r="CM38" s="20"/>
      <c r="CN38" s="20"/>
      <c r="CO38" s="20"/>
      <c r="CP38" s="20"/>
      <c r="CQ38" s="20"/>
      <c r="CR38" s="20"/>
      <c r="CS38" s="45"/>
      <c r="CT38" s="48"/>
      <c r="CU38" s="30"/>
      <c r="CV38" s="30"/>
      <c r="CW38" s="30"/>
      <c r="CX38" s="20"/>
      <c r="CY38" s="20"/>
      <c r="CZ38" s="20"/>
      <c r="DA38" s="20"/>
      <c r="DB38" s="20"/>
      <c r="DC38" s="20"/>
      <c r="DD38" s="20"/>
      <c r="DE38" s="45"/>
      <c r="DF38" s="48"/>
      <c r="DG38" s="30"/>
      <c r="DH38" s="30"/>
      <c r="DI38" s="30"/>
      <c r="DJ38" s="20"/>
      <c r="DK38" s="20"/>
      <c r="DL38" s="20"/>
      <c r="DM38" s="20"/>
      <c r="DN38" s="20"/>
      <c r="DO38" s="20"/>
      <c r="DP38" s="20"/>
      <c r="DQ38" s="45"/>
      <c r="DR38" s="48"/>
      <c r="DS38" s="20"/>
      <c r="DT38" s="20"/>
      <c r="DU38" s="20"/>
      <c r="DV38" s="20"/>
      <c r="DW38" s="20"/>
      <c r="DX38" s="20"/>
      <c r="DY38" s="20"/>
      <c r="DZ38" s="20"/>
      <c r="EA38" s="20"/>
      <c r="EB38" s="20"/>
    </row>
    <row r="39" spans="1:132" s="29" customFormat="1" ht="12.75">
      <c r="A39" s="46">
        <v>1995</v>
      </c>
      <c r="B39" s="47" t="s">
        <v>47</v>
      </c>
      <c r="C39" s="35">
        <f t="shared" si="2"/>
        <v>0.96223210271269422</v>
      </c>
      <c r="D39" s="35">
        <f t="shared" si="3"/>
        <v>0.96788944723618087</v>
      </c>
      <c r="E39" s="35">
        <f t="shared" si="4"/>
        <v>0.99415496827696459</v>
      </c>
      <c r="F39" s="20">
        <v>20017</v>
      </c>
      <c r="G39" s="20">
        <f t="shared" si="7"/>
        <v>117</v>
      </c>
      <c r="H39" s="20">
        <v>19900</v>
      </c>
      <c r="I39" s="20">
        <v>19261</v>
      </c>
      <c r="J39" s="20">
        <f t="shared" si="8"/>
        <v>639</v>
      </c>
      <c r="K39" s="20"/>
      <c r="L39" s="20"/>
      <c r="M39" s="46"/>
      <c r="N39" s="47"/>
      <c r="O39" s="30"/>
      <c r="P39" s="30"/>
      <c r="Q39" s="30"/>
      <c r="R39" s="20"/>
      <c r="S39" s="20"/>
      <c r="T39" s="20"/>
      <c r="U39" s="20"/>
      <c r="V39" s="20"/>
      <c r="W39" s="20"/>
      <c r="X39" s="20"/>
      <c r="Y39" s="46"/>
      <c r="Z39" s="47"/>
      <c r="AA39" s="30"/>
      <c r="AB39" s="30"/>
      <c r="AC39" s="30"/>
      <c r="AD39" s="20"/>
      <c r="AE39" s="20"/>
      <c r="AF39" s="20"/>
      <c r="AG39" s="20"/>
      <c r="AH39" s="20"/>
      <c r="AI39" s="20"/>
      <c r="AJ39" s="20"/>
      <c r="AK39" s="46"/>
      <c r="AL39" s="47"/>
      <c r="AM39" s="30"/>
      <c r="AN39" s="30"/>
      <c r="AO39" s="30"/>
      <c r="AP39" s="20"/>
      <c r="AQ39" s="20"/>
      <c r="AR39" s="20"/>
      <c r="AS39" s="20"/>
      <c r="AT39" s="20"/>
      <c r="AU39" s="20"/>
      <c r="AV39" s="20"/>
      <c r="AW39" s="46"/>
      <c r="AX39" s="47"/>
      <c r="AY39" s="30"/>
      <c r="AZ39" s="30"/>
      <c r="BA39" s="30"/>
      <c r="BB39" s="20"/>
      <c r="BC39" s="20"/>
      <c r="BD39" s="20"/>
      <c r="BE39" s="20"/>
      <c r="BF39" s="20"/>
      <c r="BG39" s="20"/>
      <c r="BH39" s="20"/>
      <c r="BI39" s="46"/>
      <c r="BJ39" s="47"/>
      <c r="BK39" s="30"/>
      <c r="BL39" s="30"/>
      <c r="BM39" s="30"/>
      <c r="BN39" s="20"/>
      <c r="BO39" s="20"/>
      <c r="BP39" s="20"/>
      <c r="BQ39" s="20"/>
      <c r="BR39" s="20"/>
      <c r="BS39" s="20"/>
      <c r="BT39" s="20"/>
      <c r="BU39" s="46"/>
      <c r="BV39" s="47"/>
      <c r="BW39" s="30"/>
      <c r="BX39" s="30"/>
      <c r="BY39" s="30"/>
      <c r="BZ39" s="20"/>
      <c r="CA39" s="20"/>
      <c r="CB39" s="20"/>
      <c r="CC39" s="20"/>
      <c r="CD39" s="20"/>
      <c r="CE39" s="20"/>
      <c r="CF39" s="20"/>
      <c r="CG39" s="46"/>
      <c r="CH39" s="47"/>
      <c r="CI39" s="30"/>
      <c r="CJ39" s="30"/>
      <c r="CK39" s="30"/>
      <c r="CL39" s="20"/>
      <c r="CM39" s="20"/>
      <c r="CN39" s="20"/>
      <c r="CO39" s="20"/>
      <c r="CP39" s="20"/>
      <c r="CQ39" s="20"/>
      <c r="CR39" s="20"/>
      <c r="CS39" s="46"/>
      <c r="CT39" s="47"/>
      <c r="CU39" s="30"/>
      <c r="CV39" s="30"/>
      <c r="CW39" s="30"/>
      <c r="CX39" s="20"/>
      <c r="CY39" s="20"/>
      <c r="CZ39" s="20"/>
      <c r="DA39" s="20"/>
      <c r="DB39" s="20"/>
      <c r="DC39" s="20"/>
      <c r="DD39" s="20"/>
      <c r="DE39" s="46"/>
      <c r="DF39" s="47"/>
      <c r="DG39" s="30"/>
      <c r="DH39" s="30"/>
      <c r="DI39" s="30"/>
      <c r="DJ39" s="20"/>
      <c r="DK39" s="20"/>
      <c r="DL39" s="20"/>
      <c r="DM39" s="20"/>
      <c r="DN39" s="20"/>
      <c r="DO39" s="20"/>
      <c r="DP39" s="20"/>
      <c r="DQ39" s="46"/>
      <c r="DR39" s="47"/>
      <c r="DS39" s="20"/>
      <c r="DT39" s="20"/>
      <c r="DU39" s="20"/>
      <c r="DV39" s="20"/>
      <c r="DW39" s="20"/>
      <c r="DX39" s="20"/>
      <c r="DY39" s="20"/>
      <c r="DZ39" s="20"/>
      <c r="EA39" s="20"/>
      <c r="EB39" s="20"/>
    </row>
    <row r="40" spans="1:132" s="29" customFormat="1" ht="12.75">
      <c r="A40" s="45">
        <v>1995</v>
      </c>
      <c r="B40" s="48" t="s">
        <v>48</v>
      </c>
      <c r="C40" s="35">
        <f t="shared" si="2"/>
        <v>0.97179281268821527</v>
      </c>
      <c r="D40" s="35">
        <f t="shared" si="3"/>
        <v>0.97837291561394646</v>
      </c>
      <c r="E40" s="35">
        <f t="shared" si="4"/>
        <v>0.99327444288295519</v>
      </c>
      <c r="F40" s="20">
        <v>19924</v>
      </c>
      <c r="G40" s="20">
        <f t="shared" si="7"/>
        <v>134</v>
      </c>
      <c r="H40" s="20">
        <v>19790</v>
      </c>
      <c r="I40" s="20">
        <v>19362</v>
      </c>
      <c r="J40" s="20">
        <f t="shared" si="8"/>
        <v>428</v>
      </c>
      <c r="K40" s="20"/>
      <c r="L40" s="20"/>
      <c r="M40" s="45"/>
      <c r="N40" s="48"/>
      <c r="O40" s="30"/>
      <c r="P40" s="30"/>
      <c r="Q40" s="30"/>
      <c r="R40" s="20"/>
      <c r="S40" s="20"/>
      <c r="T40" s="20"/>
      <c r="U40" s="20"/>
      <c r="V40" s="20"/>
      <c r="W40" s="20"/>
      <c r="X40" s="20"/>
      <c r="Y40" s="45"/>
      <c r="Z40" s="48"/>
      <c r="AA40" s="30"/>
      <c r="AB40" s="30"/>
      <c r="AC40" s="30"/>
      <c r="AD40" s="20"/>
      <c r="AE40" s="20"/>
      <c r="AF40" s="20"/>
      <c r="AG40" s="20"/>
      <c r="AH40" s="20"/>
      <c r="AI40" s="20"/>
      <c r="AJ40" s="20"/>
      <c r="AK40" s="45"/>
      <c r="AL40" s="48"/>
      <c r="AM40" s="30"/>
      <c r="AN40" s="30"/>
      <c r="AO40" s="30"/>
      <c r="AP40" s="20"/>
      <c r="AQ40" s="20"/>
      <c r="AR40" s="20"/>
      <c r="AS40" s="20"/>
      <c r="AT40" s="20"/>
      <c r="AU40" s="20"/>
      <c r="AV40" s="20"/>
      <c r="AW40" s="45"/>
      <c r="AX40" s="48"/>
      <c r="AY40" s="30"/>
      <c r="AZ40" s="30"/>
      <c r="BA40" s="30"/>
      <c r="BB40" s="20"/>
      <c r="BC40" s="20"/>
      <c r="BD40" s="20"/>
      <c r="BE40" s="20"/>
      <c r="BF40" s="20"/>
      <c r="BG40" s="20"/>
      <c r="BH40" s="20"/>
      <c r="BI40" s="45"/>
      <c r="BJ40" s="48"/>
      <c r="BK40" s="30"/>
      <c r="BL40" s="30"/>
      <c r="BM40" s="30"/>
      <c r="BN40" s="20"/>
      <c r="BO40" s="20"/>
      <c r="BP40" s="20"/>
      <c r="BQ40" s="20"/>
      <c r="BR40" s="20"/>
      <c r="BS40" s="20"/>
      <c r="BT40" s="20"/>
      <c r="BU40" s="45"/>
      <c r="BV40" s="48"/>
      <c r="BW40" s="30"/>
      <c r="BX40" s="30"/>
      <c r="BY40" s="30"/>
      <c r="BZ40" s="20"/>
      <c r="CA40" s="20"/>
      <c r="CB40" s="20"/>
      <c r="CC40" s="20"/>
      <c r="CD40" s="20"/>
      <c r="CE40" s="20"/>
      <c r="CF40" s="20"/>
      <c r="CG40" s="45"/>
      <c r="CH40" s="48"/>
      <c r="CI40" s="30"/>
      <c r="CJ40" s="30"/>
      <c r="CK40" s="30"/>
      <c r="CL40" s="20"/>
      <c r="CM40" s="20"/>
      <c r="CN40" s="20"/>
      <c r="CO40" s="20"/>
      <c r="CP40" s="20"/>
      <c r="CQ40" s="20"/>
      <c r="CR40" s="20"/>
      <c r="CS40" s="45"/>
      <c r="CT40" s="48"/>
      <c r="CU40" s="30"/>
      <c r="CV40" s="30"/>
      <c r="CW40" s="30"/>
      <c r="CX40" s="20"/>
      <c r="CY40" s="20"/>
      <c r="CZ40" s="20"/>
      <c r="DA40" s="20"/>
      <c r="DB40" s="20"/>
      <c r="DC40" s="20"/>
      <c r="DD40" s="20"/>
      <c r="DE40" s="45"/>
      <c r="DF40" s="48"/>
      <c r="DG40" s="30"/>
      <c r="DH40" s="30"/>
      <c r="DI40" s="30"/>
      <c r="DJ40" s="20"/>
      <c r="DK40" s="20"/>
      <c r="DL40" s="20"/>
      <c r="DM40" s="20"/>
      <c r="DN40" s="20"/>
      <c r="DO40" s="20"/>
      <c r="DP40" s="20"/>
      <c r="DQ40" s="45"/>
      <c r="DR40" s="48"/>
      <c r="DS40" s="20"/>
      <c r="DT40" s="20"/>
      <c r="DU40" s="20"/>
      <c r="DV40" s="20"/>
      <c r="DW40" s="20"/>
      <c r="DX40" s="20"/>
      <c r="DY40" s="20"/>
      <c r="DZ40" s="20"/>
      <c r="EA40" s="20"/>
      <c r="EB40" s="20"/>
    </row>
    <row r="41" spans="1:132" s="29" customFormat="1" ht="12.75">
      <c r="A41" s="46">
        <v>1995</v>
      </c>
      <c r="B41" s="47" t="s">
        <v>49</v>
      </c>
      <c r="C41" s="35">
        <f t="shared" si="2"/>
        <v>0.97802811656270361</v>
      </c>
      <c r="D41" s="35">
        <f t="shared" si="3"/>
        <v>0.98195924471863905</v>
      </c>
      <c r="E41" s="35">
        <f t="shared" si="4"/>
        <v>0.99599664835676383</v>
      </c>
      <c r="F41" s="20">
        <v>21482</v>
      </c>
      <c r="G41" s="20">
        <f t="shared" si="7"/>
        <v>86</v>
      </c>
      <c r="H41" s="20">
        <v>21396</v>
      </c>
      <c r="I41" s="20">
        <v>21010</v>
      </c>
      <c r="J41" s="20">
        <f t="shared" si="8"/>
        <v>386</v>
      </c>
      <c r="K41" s="20"/>
      <c r="L41" s="20"/>
      <c r="M41" s="46"/>
      <c r="N41" s="47"/>
      <c r="O41" s="30"/>
      <c r="P41" s="30"/>
      <c r="Q41" s="30"/>
      <c r="R41" s="20"/>
      <c r="S41" s="20"/>
      <c r="T41" s="20"/>
      <c r="U41" s="20"/>
      <c r="V41" s="20"/>
      <c r="W41" s="20"/>
      <c r="X41" s="20"/>
      <c r="Y41" s="46"/>
      <c r="Z41" s="47"/>
      <c r="AA41" s="30"/>
      <c r="AB41" s="30"/>
      <c r="AC41" s="30"/>
      <c r="AD41" s="20"/>
      <c r="AE41" s="20"/>
      <c r="AF41" s="20"/>
      <c r="AG41" s="20"/>
      <c r="AH41" s="20"/>
      <c r="AI41" s="20"/>
      <c r="AJ41" s="20"/>
      <c r="AK41" s="46"/>
      <c r="AL41" s="47"/>
      <c r="AM41" s="30"/>
      <c r="AN41" s="30"/>
      <c r="AO41" s="30"/>
      <c r="AP41" s="20"/>
      <c r="AQ41" s="20"/>
      <c r="AR41" s="20"/>
      <c r="AS41" s="20"/>
      <c r="AT41" s="20"/>
      <c r="AU41" s="20"/>
      <c r="AV41" s="20"/>
      <c r="AW41" s="46"/>
      <c r="AX41" s="47"/>
      <c r="AY41" s="30"/>
      <c r="AZ41" s="30"/>
      <c r="BA41" s="30"/>
      <c r="BB41" s="20"/>
      <c r="BC41" s="20"/>
      <c r="BD41" s="20"/>
      <c r="BE41" s="20"/>
      <c r="BF41" s="20"/>
      <c r="BG41" s="20"/>
      <c r="BH41" s="20"/>
      <c r="BI41" s="46"/>
      <c r="BJ41" s="47"/>
      <c r="BK41" s="30"/>
      <c r="BL41" s="30"/>
      <c r="BM41" s="30"/>
      <c r="BN41" s="20"/>
      <c r="BO41" s="20"/>
      <c r="BP41" s="20"/>
      <c r="BQ41" s="20"/>
      <c r="BR41" s="20"/>
      <c r="BS41" s="20"/>
      <c r="BT41" s="20"/>
      <c r="BU41" s="46"/>
      <c r="BV41" s="47"/>
      <c r="BW41" s="30"/>
      <c r="BX41" s="30"/>
      <c r="BY41" s="30"/>
      <c r="BZ41" s="20"/>
      <c r="CA41" s="20"/>
      <c r="CB41" s="20"/>
      <c r="CC41" s="20"/>
      <c r="CD41" s="20"/>
      <c r="CE41" s="20"/>
      <c r="CF41" s="20"/>
      <c r="CG41" s="46"/>
      <c r="CH41" s="47"/>
      <c r="CI41" s="30"/>
      <c r="CJ41" s="30"/>
      <c r="CK41" s="30"/>
      <c r="CL41" s="20"/>
      <c r="CM41" s="20"/>
      <c r="CN41" s="20"/>
      <c r="CO41" s="20"/>
      <c r="CP41" s="20"/>
      <c r="CQ41" s="20"/>
      <c r="CR41" s="20"/>
      <c r="CS41" s="46"/>
      <c r="CT41" s="47"/>
      <c r="CU41" s="30"/>
      <c r="CV41" s="30"/>
      <c r="CW41" s="30"/>
      <c r="CX41" s="20"/>
      <c r="CY41" s="20"/>
      <c r="CZ41" s="20"/>
      <c r="DA41" s="20"/>
      <c r="DB41" s="20"/>
      <c r="DC41" s="20"/>
      <c r="DD41" s="20"/>
      <c r="DE41" s="46"/>
      <c r="DF41" s="47"/>
      <c r="DG41" s="30"/>
      <c r="DH41" s="30"/>
      <c r="DI41" s="30"/>
      <c r="DJ41" s="20"/>
      <c r="DK41" s="20"/>
      <c r="DL41" s="20"/>
      <c r="DM41" s="20"/>
      <c r="DN41" s="20"/>
      <c r="DO41" s="20"/>
      <c r="DP41" s="20"/>
      <c r="DQ41" s="46"/>
      <c r="DR41" s="47"/>
      <c r="DS41" s="20"/>
      <c r="DT41" s="20"/>
      <c r="DU41" s="20"/>
      <c r="DV41" s="20"/>
      <c r="DW41" s="20"/>
      <c r="DX41" s="20"/>
      <c r="DY41" s="20"/>
      <c r="DZ41" s="20"/>
      <c r="EA41" s="20"/>
      <c r="EB41" s="20"/>
    </row>
    <row r="42" spans="1:132" s="29" customFormat="1" ht="12.75">
      <c r="A42" s="45">
        <v>1996</v>
      </c>
      <c r="B42" s="48" t="s">
        <v>38</v>
      </c>
      <c r="C42" s="35">
        <f t="shared" si="2"/>
        <v>0.97150401036217804</v>
      </c>
      <c r="D42" s="35">
        <f t="shared" si="3"/>
        <v>0.97734676489750916</v>
      </c>
      <c r="E42" s="35">
        <f t="shared" si="4"/>
        <v>0.99402182035570164</v>
      </c>
      <c r="F42" s="20">
        <v>20073</v>
      </c>
      <c r="G42" s="20">
        <f t="shared" ref="G42:G53" si="9">F42-H42</f>
        <v>120</v>
      </c>
      <c r="H42" s="20">
        <v>19953</v>
      </c>
      <c r="I42" s="20">
        <v>19501</v>
      </c>
      <c r="J42" s="20">
        <f t="shared" ref="J42:J53" si="10">H42-I42</f>
        <v>452</v>
      </c>
      <c r="K42" s="20"/>
      <c r="L42" s="20"/>
      <c r="M42" s="45"/>
      <c r="N42" s="48"/>
      <c r="O42" s="30"/>
      <c r="P42" s="30"/>
      <c r="Q42" s="30"/>
      <c r="R42" s="20"/>
      <c r="S42" s="20"/>
      <c r="T42" s="20"/>
      <c r="U42" s="20"/>
      <c r="V42" s="20"/>
      <c r="W42" s="20"/>
      <c r="X42" s="20"/>
      <c r="Y42" s="45"/>
      <c r="Z42" s="48"/>
      <c r="AA42" s="30"/>
      <c r="AB42" s="30"/>
      <c r="AC42" s="30"/>
      <c r="AD42" s="20"/>
      <c r="AE42" s="20"/>
      <c r="AF42" s="20"/>
      <c r="AG42" s="20"/>
      <c r="AH42" s="20"/>
      <c r="AI42" s="20"/>
      <c r="AJ42" s="20"/>
      <c r="AK42" s="45"/>
      <c r="AL42" s="48"/>
      <c r="AM42" s="30"/>
      <c r="AN42" s="30"/>
      <c r="AO42" s="30"/>
      <c r="AP42" s="20"/>
      <c r="AQ42" s="20"/>
      <c r="AR42" s="20"/>
      <c r="AS42" s="20"/>
      <c r="AT42" s="20"/>
      <c r="AU42" s="20"/>
      <c r="AV42" s="20"/>
      <c r="AW42" s="45"/>
      <c r="AX42" s="48"/>
      <c r="AY42" s="30"/>
      <c r="AZ42" s="30"/>
      <c r="BA42" s="30"/>
      <c r="BB42" s="20"/>
      <c r="BC42" s="20"/>
      <c r="BD42" s="20"/>
      <c r="BE42" s="20"/>
      <c r="BF42" s="20"/>
      <c r="BG42" s="20"/>
      <c r="BH42" s="20"/>
      <c r="BI42" s="45"/>
      <c r="BJ42" s="48"/>
      <c r="BK42" s="30"/>
      <c r="BL42" s="30"/>
      <c r="BM42" s="30"/>
      <c r="BN42" s="20"/>
      <c r="BO42" s="20"/>
      <c r="BP42" s="20"/>
      <c r="BQ42" s="20"/>
      <c r="BR42" s="20"/>
      <c r="BS42" s="20"/>
      <c r="BT42" s="20"/>
      <c r="BU42" s="45"/>
      <c r="BV42" s="48"/>
      <c r="BW42" s="30"/>
      <c r="BX42" s="30"/>
      <c r="BY42" s="30"/>
      <c r="BZ42" s="20"/>
      <c r="CA42" s="20"/>
      <c r="CB42" s="20"/>
      <c r="CC42" s="20"/>
      <c r="CD42" s="20"/>
      <c r="CE42" s="20"/>
      <c r="CF42" s="20"/>
      <c r="CG42" s="45"/>
      <c r="CH42" s="48"/>
      <c r="CI42" s="30"/>
      <c r="CJ42" s="30"/>
      <c r="CK42" s="30"/>
      <c r="CL42" s="20"/>
      <c r="CM42" s="20"/>
      <c r="CN42" s="20"/>
      <c r="CO42" s="20"/>
      <c r="CP42" s="20"/>
      <c r="CQ42" s="20"/>
      <c r="CR42" s="20"/>
      <c r="CS42" s="45"/>
      <c r="CT42" s="48"/>
      <c r="CU42" s="30"/>
      <c r="CV42" s="30"/>
      <c r="CW42" s="30"/>
      <c r="CX42" s="20"/>
      <c r="CY42" s="20"/>
      <c r="CZ42" s="20"/>
      <c r="DA42" s="20"/>
      <c r="DB42" s="20"/>
      <c r="DC42" s="20"/>
      <c r="DD42" s="20"/>
      <c r="DE42" s="45"/>
      <c r="DF42" s="48"/>
      <c r="DG42" s="30"/>
      <c r="DH42" s="30"/>
      <c r="DI42" s="30"/>
      <c r="DJ42" s="20"/>
      <c r="DK42" s="20"/>
      <c r="DL42" s="20"/>
      <c r="DM42" s="20"/>
      <c r="DN42" s="20"/>
      <c r="DO42" s="20"/>
      <c r="DP42" s="20"/>
      <c r="DQ42" s="45"/>
      <c r="DR42" s="48"/>
      <c r="DS42" s="20"/>
      <c r="DT42" s="20"/>
      <c r="DU42" s="20"/>
      <c r="DV42" s="20"/>
      <c r="DW42" s="20"/>
      <c r="DX42" s="20"/>
      <c r="DY42" s="20"/>
      <c r="DZ42" s="20"/>
      <c r="EA42" s="20"/>
      <c r="EB42" s="20"/>
    </row>
    <row r="43" spans="1:132" s="29" customFormat="1" ht="12.75">
      <c r="A43" s="46">
        <v>1996</v>
      </c>
      <c r="B43" s="47" t="s">
        <v>39</v>
      </c>
      <c r="C43" s="35">
        <f t="shared" si="2"/>
        <v>0.96977844697784465</v>
      </c>
      <c r="D43" s="35">
        <f t="shared" si="3"/>
        <v>0.97496891387792617</v>
      </c>
      <c r="E43" s="35">
        <f t="shared" si="4"/>
        <v>0.99467627446762741</v>
      </c>
      <c r="F43" s="20">
        <v>18596</v>
      </c>
      <c r="G43" s="20">
        <f t="shared" si="9"/>
        <v>99</v>
      </c>
      <c r="H43" s="20">
        <v>18497</v>
      </c>
      <c r="I43" s="20">
        <v>18034</v>
      </c>
      <c r="J43" s="20">
        <f t="shared" si="10"/>
        <v>463</v>
      </c>
      <c r="K43" s="20"/>
      <c r="L43" s="20"/>
      <c r="M43" s="46"/>
      <c r="N43" s="47"/>
      <c r="O43" s="30"/>
      <c r="P43" s="30"/>
      <c r="Q43" s="30"/>
      <c r="R43" s="20"/>
      <c r="S43" s="20"/>
      <c r="T43" s="20"/>
      <c r="U43" s="20"/>
      <c r="V43" s="20"/>
      <c r="W43" s="20"/>
      <c r="X43" s="20"/>
      <c r="Y43" s="46"/>
      <c r="Z43" s="47"/>
      <c r="AA43" s="30"/>
      <c r="AB43" s="30"/>
      <c r="AC43" s="30"/>
      <c r="AD43" s="20"/>
      <c r="AE43" s="20"/>
      <c r="AF43" s="20"/>
      <c r="AG43" s="20"/>
      <c r="AH43" s="20"/>
      <c r="AI43" s="20"/>
      <c r="AJ43" s="20"/>
      <c r="AK43" s="46"/>
      <c r="AL43" s="47"/>
      <c r="AM43" s="30"/>
      <c r="AN43" s="30"/>
      <c r="AO43" s="30"/>
      <c r="AP43" s="20"/>
      <c r="AQ43" s="20"/>
      <c r="AR43" s="20"/>
      <c r="AS43" s="20"/>
      <c r="AT43" s="20"/>
      <c r="AU43" s="20"/>
      <c r="AV43" s="20"/>
      <c r="AW43" s="46"/>
      <c r="AX43" s="47"/>
      <c r="AY43" s="30"/>
      <c r="AZ43" s="30"/>
      <c r="BA43" s="30"/>
      <c r="BB43" s="20"/>
      <c r="BC43" s="20"/>
      <c r="BD43" s="20"/>
      <c r="BE43" s="20"/>
      <c r="BF43" s="20"/>
      <c r="BG43" s="20"/>
      <c r="BH43" s="20"/>
      <c r="BI43" s="46"/>
      <c r="BJ43" s="47"/>
      <c r="BK43" s="30"/>
      <c r="BL43" s="30"/>
      <c r="BM43" s="30"/>
      <c r="BN43" s="20"/>
      <c r="BO43" s="20"/>
      <c r="BP43" s="20"/>
      <c r="BQ43" s="20"/>
      <c r="BR43" s="20"/>
      <c r="BS43" s="20"/>
      <c r="BT43" s="20"/>
      <c r="BU43" s="46"/>
      <c r="BV43" s="47"/>
      <c r="BW43" s="30"/>
      <c r="BX43" s="30"/>
      <c r="BY43" s="30"/>
      <c r="BZ43" s="20"/>
      <c r="CA43" s="20"/>
      <c r="CB43" s="20"/>
      <c r="CC43" s="20"/>
      <c r="CD43" s="20"/>
      <c r="CE43" s="20"/>
      <c r="CF43" s="20"/>
      <c r="CG43" s="46"/>
      <c r="CH43" s="47"/>
      <c r="CI43" s="30"/>
      <c r="CJ43" s="30"/>
      <c r="CK43" s="30"/>
      <c r="CL43" s="20"/>
      <c r="CM43" s="20"/>
      <c r="CN43" s="20"/>
      <c r="CO43" s="20"/>
      <c r="CP43" s="20"/>
      <c r="CQ43" s="20"/>
      <c r="CR43" s="20"/>
      <c r="CS43" s="46"/>
      <c r="CT43" s="47"/>
      <c r="CU43" s="30"/>
      <c r="CV43" s="30"/>
      <c r="CW43" s="30"/>
      <c r="CX43" s="20"/>
      <c r="CY43" s="20"/>
      <c r="CZ43" s="20"/>
      <c r="DA43" s="20"/>
      <c r="DB43" s="20"/>
      <c r="DC43" s="20"/>
      <c r="DD43" s="20"/>
      <c r="DE43" s="46"/>
      <c r="DF43" s="47"/>
      <c r="DG43" s="30"/>
      <c r="DH43" s="30"/>
      <c r="DI43" s="30"/>
      <c r="DJ43" s="20"/>
      <c r="DK43" s="20"/>
      <c r="DL43" s="20"/>
      <c r="DM43" s="20"/>
      <c r="DN43" s="20"/>
      <c r="DO43" s="20"/>
      <c r="DP43" s="20"/>
      <c r="DQ43" s="46"/>
      <c r="DR43" s="47"/>
      <c r="DS43" s="20"/>
      <c r="DT43" s="20"/>
      <c r="DU43" s="20"/>
      <c r="DV43" s="20"/>
      <c r="DW43" s="20"/>
      <c r="DX43" s="20"/>
      <c r="DY43" s="20"/>
      <c r="DZ43" s="20"/>
      <c r="EA43" s="20"/>
      <c r="EB43" s="20"/>
    </row>
    <row r="44" spans="1:132" s="29" customFormat="1" ht="12.75">
      <c r="A44" s="45">
        <v>1996</v>
      </c>
      <c r="B44" s="48" t="s">
        <v>40</v>
      </c>
      <c r="C44" s="35">
        <f t="shared" si="2"/>
        <v>0.97120977122915864</v>
      </c>
      <c r="D44" s="35">
        <f t="shared" si="3"/>
        <v>0.98057254710056274</v>
      </c>
      <c r="E44" s="35">
        <f t="shared" si="4"/>
        <v>0.99045172547499027</v>
      </c>
      <c r="F44" s="20">
        <v>20632</v>
      </c>
      <c r="G44" s="20">
        <f t="shared" si="9"/>
        <v>197</v>
      </c>
      <c r="H44" s="20">
        <v>20435</v>
      </c>
      <c r="I44" s="20">
        <v>20038</v>
      </c>
      <c r="J44" s="20">
        <f t="shared" si="10"/>
        <v>397</v>
      </c>
      <c r="K44" s="20"/>
      <c r="L44" s="20"/>
      <c r="M44" s="45"/>
      <c r="N44" s="48"/>
      <c r="O44" s="30"/>
      <c r="P44" s="30"/>
      <c r="Q44" s="30"/>
      <c r="R44" s="20"/>
      <c r="S44" s="20"/>
      <c r="T44" s="20"/>
      <c r="U44" s="20"/>
      <c r="V44" s="20"/>
      <c r="W44" s="20"/>
      <c r="X44" s="20"/>
      <c r="Y44" s="45"/>
      <c r="Z44" s="48"/>
      <c r="AA44" s="30"/>
      <c r="AB44" s="30"/>
      <c r="AC44" s="30"/>
      <c r="AD44" s="20"/>
      <c r="AE44" s="20"/>
      <c r="AF44" s="20"/>
      <c r="AG44" s="20"/>
      <c r="AH44" s="20"/>
      <c r="AI44" s="20"/>
      <c r="AJ44" s="20"/>
      <c r="AK44" s="45"/>
      <c r="AL44" s="48"/>
      <c r="AM44" s="30"/>
      <c r="AN44" s="30"/>
      <c r="AO44" s="30"/>
      <c r="AP44" s="20"/>
      <c r="AQ44" s="20"/>
      <c r="AR44" s="20"/>
      <c r="AS44" s="20"/>
      <c r="AT44" s="20"/>
      <c r="AU44" s="20"/>
      <c r="AV44" s="20"/>
      <c r="AW44" s="45"/>
      <c r="AX44" s="48"/>
      <c r="AY44" s="30"/>
      <c r="AZ44" s="30"/>
      <c r="BA44" s="30"/>
      <c r="BB44" s="20"/>
      <c r="BC44" s="20"/>
      <c r="BD44" s="20"/>
      <c r="BE44" s="20"/>
      <c r="BF44" s="20"/>
      <c r="BG44" s="20"/>
      <c r="BH44" s="20"/>
      <c r="BI44" s="45"/>
      <c r="BJ44" s="48"/>
      <c r="BK44" s="30"/>
      <c r="BL44" s="30"/>
      <c r="BM44" s="30"/>
      <c r="BN44" s="20"/>
      <c r="BO44" s="20"/>
      <c r="BP44" s="20"/>
      <c r="BQ44" s="20"/>
      <c r="BR44" s="20"/>
      <c r="BS44" s="20"/>
      <c r="BT44" s="20"/>
      <c r="BU44" s="45"/>
      <c r="BV44" s="48"/>
      <c r="BW44" s="30"/>
      <c r="BX44" s="30"/>
      <c r="BY44" s="30"/>
      <c r="BZ44" s="20"/>
      <c r="CA44" s="20"/>
      <c r="CB44" s="20"/>
      <c r="CC44" s="20"/>
      <c r="CD44" s="20"/>
      <c r="CE44" s="20"/>
      <c r="CF44" s="20"/>
      <c r="CG44" s="45"/>
      <c r="CH44" s="48"/>
      <c r="CI44" s="30"/>
      <c r="CJ44" s="30"/>
      <c r="CK44" s="30"/>
      <c r="CL44" s="20"/>
      <c r="CM44" s="20"/>
      <c r="CN44" s="20"/>
      <c r="CO44" s="20"/>
      <c r="CP44" s="20"/>
      <c r="CQ44" s="20"/>
      <c r="CR44" s="20"/>
      <c r="CS44" s="45"/>
      <c r="CT44" s="48"/>
      <c r="CU44" s="30"/>
      <c r="CV44" s="30"/>
      <c r="CW44" s="30"/>
      <c r="CX44" s="20"/>
      <c r="CY44" s="20"/>
      <c r="CZ44" s="20"/>
      <c r="DA44" s="20"/>
      <c r="DB44" s="20"/>
      <c r="DC44" s="20"/>
      <c r="DD44" s="20"/>
      <c r="DE44" s="45"/>
      <c r="DF44" s="48"/>
      <c r="DG44" s="30"/>
      <c r="DH44" s="30"/>
      <c r="DI44" s="30"/>
      <c r="DJ44" s="20"/>
      <c r="DK44" s="20"/>
      <c r="DL44" s="20"/>
      <c r="DM44" s="20"/>
      <c r="DN44" s="20"/>
      <c r="DO44" s="20"/>
      <c r="DP44" s="20"/>
      <c r="DQ44" s="45"/>
      <c r="DR44" s="48"/>
      <c r="DS44" s="20"/>
      <c r="DT44" s="20"/>
      <c r="DU44" s="20"/>
      <c r="DV44" s="20"/>
      <c r="DW44" s="20"/>
      <c r="DX44" s="20"/>
      <c r="DY44" s="20"/>
      <c r="DZ44" s="20"/>
      <c r="EA44" s="20"/>
      <c r="EB44" s="20"/>
    </row>
    <row r="45" spans="1:132" s="29" customFormat="1" ht="12.75">
      <c r="A45" s="46">
        <v>1996</v>
      </c>
      <c r="B45" s="47" t="s">
        <v>41</v>
      </c>
      <c r="C45" s="35">
        <f t="shared" si="2"/>
        <v>0.9716855265108465</v>
      </c>
      <c r="D45" s="35">
        <f t="shared" si="3"/>
        <v>0.97602620737578794</v>
      </c>
      <c r="E45" s="35">
        <f t="shared" si="4"/>
        <v>0.99555270049908584</v>
      </c>
      <c r="F45" s="20">
        <v>20237</v>
      </c>
      <c r="G45" s="20">
        <f t="shared" si="9"/>
        <v>90</v>
      </c>
      <c r="H45" s="20">
        <v>20147</v>
      </c>
      <c r="I45" s="20">
        <v>19664</v>
      </c>
      <c r="J45" s="20">
        <f t="shared" si="10"/>
        <v>483</v>
      </c>
      <c r="K45" s="20"/>
      <c r="L45" s="20"/>
      <c r="M45" s="46"/>
      <c r="N45" s="47"/>
      <c r="O45" s="30"/>
      <c r="P45" s="30"/>
      <c r="Q45" s="30"/>
      <c r="R45" s="20"/>
      <c r="S45" s="20"/>
      <c r="T45" s="20"/>
      <c r="U45" s="20"/>
      <c r="V45" s="20"/>
      <c r="W45" s="20"/>
      <c r="X45" s="20"/>
      <c r="Y45" s="46"/>
      <c r="Z45" s="47"/>
      <c r="AA45" s="30"/>
      <c r="AB45" s="30"/>
      <c r="AC45" s="30"/>
      <c r="AD45" s="20"/>
      <c r="AE45" s="20"/>
      <c r="AF45" s="20"/>
      <c r="AG45" s="20"/>
      <c r="AH45" s="20"/>
      <c r="AI45" s="20"/>
      <c r="AJ45" s="20"/>
      <c r="AK45" s="46"/>
      <c r="AL45" s="47"/>
      <c r="AM45" s="30"/>
      <c r="AN45" s="30"/>
      <c r="AO45" s="30"/>
      <c r="AP45" s="20"/>
      <c r="AQ45" s="20"/>
      <c r="AR45" s="20"/>
      <c r="AS45" s="20"/>
      <c r="AT45" s="20"/>
      <c r="AU45" s="20"/>
      <c r="AV45" s="20"/>
      <c r="AW45" s="46"/>
      <c r="AX45" s="47"/>
      <c r="AY45" s="30"/>
      <c r="AZ45" s="30"/>
      <c r="BA45" s="30"/>
      <c r="BB45" s="20"/>
      <c r="BC45" s="20"/>
      <c r="BD45" s="20"/>
      <c r="BE45" s="20"/>
      <c r="BF45" s="20"/>
      <c r="BG45" s="20"/>
      <c r="BH45" s="20"/>
      <c r="BI45" s="46"/>
      <c r="BJ45" s="47"/>
      <c r="BK45" s="30"/>
      <c r="BL45" s="30"/>
      <c r="BM45" s="30"/>
      <c r="BN45" s="20"/>
      <c r="BO45" s="20"/>
      <c r="BP45" s="20"/>
      <c r="BQ45" s="20"/>
      <c r="BR45" s="20"/>
      <c r="BS45" s="20"/>
      <c r="BT45" s="20"/>
      <c r="BU45" s="46"/>
      <c r="BV45" s="47"/>
      <c r="BW45" s="30"/>
      <c r="BX45" s="30"/>
      <c r="BY45" s="30"/>
      <c r="BZ45" s="20"/>
      <c r="CA45" s="20"/>
      <c r="CB45" s="20"/>
      <c r="CC45" s="20"/>
      <c r="CD45" s="20"/>
      <c r="CE45" s="20"/>
      <c r="CF45" s="20"/>
      <c r="CG45" s="46"/>
      <c r="CH45" s="47"/>
      <c r="CI45" s="30"/>
      <c r="CJ45" s="30"/>
      <c r="CK45" s="30"/>
      <c r="CL45" s="20"/>
      <c r="CM45" s="20"/>
      <c r="CN45" s="20"/>
      <c r="CO45" s="20"/>
      <c r="CP45" s="20"/>
      <c r="CQ45" s="20"/>
      <c r="CR45" s="20"/>
      <c r="CS45" s="46"/>
      <c r="CT45" s="47"/>
      <c r="CU45" s="30"/>
      <c r="CV45" s="30"/>
      <c r="CW45" s="30"/>
      <c r="CX45" s="20"/>
      <c r="CY45" s="20"/>
      <c r="CZ45" s="20"/>
      <c r="DA45" s="20"/>
      <c r="DB45" s="20"/>
      <c r="DC45" s="20"/>
      <c r="DD45" s="20"/>
      <c r="DE45" s="46"/>
      <c r="DF45" s="47"/>
      <c r="DG45" s="30"/>
      <c r="DH45" s="30"/>
      <c r="DI45" s="30"/>
      <c r="DJ45" s="20"/>
      <c r="DK45" s="20"/>
      <c r="DL45" s="20"/>
      <c r="DM45" s="20"/>
      <c r="DN45" s="20"/>
      <c r="DO45" s="20"/>
      <c r="DP45" s="20"/>
      <c r="DQ45" s="46"/>
      <c r="DR45" s="47"/>
      <c r="DS45" s="20"/>
      <c r="DT45" s="20"/>
      <c r="DU45" s="20"/>
      <c r="DV45" s="20"/>
      <c r="DW45" s="20"/>
      <c r="DX45" s="20"/>
      <c r="DY45" s="20"/>
      <c r="DZ45" s="20"/>
      <c r="EA45" s="20"/>
      <c r="EB45" s="20"/>
    </row>
    <row r="46" spans="1:132" s="29" customFormat="1" ht="12.75">
      <c r="A46" s="45">
        <v>1996</v>
      </c>
      <c r="B46" s="48" t="s">
        <v>42</v>
      </c>
      <c r="C46" s="35">
        <f t="shared" si="2"/>
        <v>0.96389022628791521</v>
      </c>
      <c r="D46" s="35">
        <f t="shared" si="3"/>
        <v>0.96775752888287325</v>
      </c>
      <c r="E46" s="35">
        <f t="shared" si="4"/>
        <v>0.99600385170919592</v>
      </c>
      <c r="F46" s="20">
        <v>20770</v>
      </c>
      <c r="G46" s="20">
        <f t="shared" si="9"/>
        <v>83</v>
      </c>
      <c r="H46" s="20">
        <v>20687</v>
      </c>
      <c r="I46" s="20">
        <v>20020</v>
      </c>
      <c r="J46" s="20">
        <f t="shared" si="10"/>
        <v>667</v>
      </c>
      <c r="K46" s="20"/>
      <c r="L46" s="20"/>
      <c r="M46" s="45"/>
      <c r="N46" s="48"/>
      <c r="O46" s="30"/>
      <c r="P46" s="30"/>
      <c r="Q46" s="30"/>
      <c r="R46" s="20"/>
      <c r="S46" s="20"/>
      <c r="T46" s="20"/>
      <c r="U46" s="20"/>
      <c r="V46" s="20"/>
      <c r="W46" s="20"/>
      <c r="X46" s="20"/>
      <c r="Y46" s="45"/>
      <c r="Z46" s="48"/>
      <c r="AA46" s="30"/>
      <c r="AB46" s="30"/>
      <c r="AC46" s="30"/>
      <c r="AD46" s="20"/>
      <c r="AE46" s="20"/>
      <c r="AF46" s="20"/>
      <c r="AG46" s="20"/>
      <c r="AH46" s="20"/>
      <c r="AI46" s="20"/>
      <c r="AJ46" s="20"/>
      <c r="AK46" s="45"/>
      <c r="AL46" s="48"/>
      <c r="AM46" s="30"/>
      <c r="AN46" s="30"/>
      <c r="AO46" s="30"/>
      <c r="AP46" s="20"/>
      <c r="AQ46" s="20"/>
      <c r="AR46" s="20"/>
      <c r="AS46" s="20"/>
      <c r="AT46" s="20"/>
      <c r="AU46" s="20"/>
      <c r="AV46" s="20"/>
      <c r="AW46" s="45"/>
      <c r="AX46" s="48"/>
      <c r="AY46" s="30"/>
      <c r="AZ46" s="30"/>
      <c r="BA46" s="30"/>
      <c r="BB46" s="20"/>
      <c r="BC46" s="20"/>
      <c r="BD46" s="20"/>
      <c r="BE46" s="20"/>
      <c r="BF46" s="20"/>
      <c r="BG46" s="20"/>
      <c r="BH46" s="20"/>
      <c r="BI46" s="45"/>
      <c r="BJ46" s="48"/>
      <c r="BK46" s="30"/>
      <c r="BL46" s="30"/>
      <c r="BM46" s="30"/>
      <c r="BN46" s="20"/>
      <c r="BO46" s="20"/>
      <c r="BP46" s="20"/>
      <c r="BQ46" s="20"/>
      <c r="BR46" s="20"/>
      <c r="BS46" s="20"/>
      <c r="BT46" s="20"/>
      <c r="BU46" s="45"/>
      <c r="BV46" s="48"/>
      <c r="BW46" s="30"/>
      <c r="BX46" s="30"/>
      <c r="BY46" s="30"/>
      <c r="BZ46" s="20"/>
      <c r="CA46" s="20"/>
      <c r="CB46" s="20"/>
      <c r="CC46" s="20"/>
      <c r="CD46" s="20"/>
      <c r="CE46" s="20"/>
      <c r="CF46" s="20"/>
      <c r="CG46" s="45"/>
      <c r="CH46" s="48"/>
      <c r="CI46" s="30"/>
      <c r="CJ46" s="30"/>
      <c r="CK46" s="30"/>
      <c r="CL46" s="20"/>
      <c r="CM46" s="20"/>
      <c r="CN46" s="20"/>
      <c r="CO46" s="20"/>
      <c r="CP46" s="20"/>
      <c r="CQ46" s="20"/>
      <c r="CR46" s="20"/>
      <c r="CS46" s="45"/>
      <c r="CT46" s="48"/>
      <c r="CU46" s="30"/>
      <c r="CV46" s="30"/>
      <c r="CW46" s="30"/>
      <c r="CX46" s="20"/>
      <c r="CY46" s="20"/>
      <c r="CZ46" s="20"/>
      <c r="DA46" s="20"/>
      <c r="DB46" s="20"/>
      <c r="DC46" s="20"/>
      <c r="DD46" s="20"/>
      <c r="DE46" s="45"/>
      <c r="DF46" s="48"/>
      <c r="DG46" s="30"/>
      <c r="DH46" s="30"/>
      <c r="DI46" s="30"/>
      <c r="DJ46" s="20"/>
      <c r="DK46" s="20"/>
      <c r="DL46" s="20"/>
      <c r="DM46" s="20"/>
      <c r="DN46" s="20"/>
      <c r="DO46" s="20"/>
      <c r="DP46" s="20"/>
      <c r="DQ46" s="45"/>
      <c r="DR46" s="48"/>
      <c r="DS46" s="20"/>
      <c r="DT46" s="20"/>
      <c r="DU46" s="20"/>
      <c r="DV46" s="20"/>
      <c r="DW46" s="20"/>
      <c r="DX46" s="20"/>
      <c r="DY46" s="20"/>
      <c r="DZ46" s="20"/>
      <c r="EA46" s="20"/>
      <c r="EB46" s="20"/>
    </row>
    <row r="47" spans="1:132" s="29" customFormat="1" ht="12.75">
      <c r="A47" s="46">
        <v>1996</v>
      </c>
      <c r="B47" s="47" t="s">
        <v>43</v>
      </c>
      <c r="C47" s="35">
        <f t="shared" si="2"/>
        <v>0.97704160246533123</v>
      </c>
      <c r="D47" s="35">
        <f t="shared" si="3"/>
        <v>0.97880113197838947</v>
      </c>
      <c r="E47" s="35">
        <f t="shared" si="4"/>
        <v>0.9982023626091423</v>
      </c>
      <c r="F47" s="20">
        <v>19470</v>
      </c>
      <c r="G47" s="20">
        <f t="shared" si="9"/>
        <v>35</v>
      </c>
      <c r="H47" s="20">
        <v>19435</v>
      </c>
      <c r="I47" s="20">
        <v>19023</v>
      </c>
      <c r="J47" s="20">
        <f t="shared" si="10"/>
        <v>412</v>
      </c>
      <c r="K47" s="20"/>
      <c r="L47" s="20"/>
      <c r="M47" s="46"/>
      <c r="N47" s="47"/>
      <c r="O47" s="30"/>
      <c r="P47" s="30"/>
      <c r="Q47" s="30"/>
      <c r="R47" s="20"/>
      <c r="S47" s="20"/>
      <c r="T47" s="20"/>
      <c r="U47" s="20"/>
      <c r="V47" s="20"/>
      <c r="W47" s="20"/>
      <c r="X47" s="20"/>
      <c r="Y47" s="46"/>
      <c r="Z47" s="47"/>
      <c r="AA47" s="30"/>
      <c r="AB47" s="30"/>
      <c r="AC47" s="30"/>
      <c r="AD47" s="20"/>
      <c r="AE47" s="20"/>
      <c r="AF47" s="20"/>
      <c r="AG47" s="20"/>
      <c r="AH47" s="20"/>
      <c r="AI47" s="20"/>
      <c r="AJ47" s="20"/>
      <c r="AK47" s="46"/>
      <c r="AL47" s="47"/>
      <c r="AM47" s="30"/>
      <c r="AN47" s="30"/>
      <c r="AO47" s="30"/>
      <c r="AP47" s="20"/>
      <c r="AQ47" s="20"/>
      <c r="AR47" s="20"/>
      <c r="AS47" s="20"/>
      <c r="AT47" s="20"/>
      <c r="AU47" s="20"/>
      <c r="AV47" s="20"/>
      <c r="AW47" s="46"/>
      <c r="AX47" s="47"/>
      <c r="AY47" s="30"/>
      <c r="AZ47" s="30"/>
      <c r="BA47" s="30"/>
      <c r="BB47" s="20"/>
      <c r="BC47" s="20"/>
      <c r="BD47" s="20"/>
      <c r="BE47" s="20"/>
      <c r="BF47" s="20"/>
      <c r="BG47" s="20"/>
      <c r="BH47" s="20"/>
      <c r="BI47" s="46"/>
      <c r="BJ47" s="47"/>
      <c r="BK47" s="30"/>
      <c r="BL47" s="30"/>
      <c r="BM47" s="30"/>
      <c r="BN47" s="20"/>
      <c r="BO47" s="20"/>
      <c r="BP47" s="20"/>
      <c r="BQ47" s="20"/>
      <c r="BR47" s="20"/>
      <c r="BS47" s="20"/>
      <c r="BT47" s="20"/>
      <c r="BU47" s="46"/>
      <c r="BV47" s="47"/>
      <c r="BW47" s="30"/>
      <c r="BX47" s="30"/>
      <c r="BY47" s="30"/>
      <c r="BZ47" s="20"/>
      <c r="CA47" s="20"/>
      <c r="CB47" s="20"/>
      <c r="CC47" s="20"/>
      <c r="CD47" s="20"/>
      <c r="CE47" s="20"/>
      <c r="CF47" s="20"/>
      <c r="CG47" s="46"/>
      <c r="CH47" s="47"/>
      <c r="CI47" s="30"/>
      <c r="CJ47" s="30"/>
      <c r="CK47" s="30"/>
      <c r="CL47" s="20"/>
      <c r="CM47" s="20"/>
      <c r="CN47" s="20"/>
      <c r="CO47" s="20"/>
      <c r="CP47" s="20"/>
      <c r="CQ47" s="20"/>
      <c r="CR47" s="20"/>
      <c r="CS47" s="46"/>
      <c r="CT47" s="47"/>
      <c r="CU47" s="30"/>
      <c r="CV47" s="30"/>
      <c r="CW47" s="30"/>
      <c r="CX47" s="20"/>
      <c r="CY47" s="20"/>
      <c r="CZ47" s="20"/>
      <c r="DA47" s="20"/>
      <c r="DB47" s="20"/>
      <c r="DC47" s="20"/>
      <c r="DD47" s="20"/>
      <c r="DE47" s="46"/>
      <c r="DF47" s="47"/>
      <c r="DG47" s="30"/>
      <c r="DH47" s="30"/>
      <c r="DI47" s="30"/>
      <c r="DJ47" s="20"/>
      <c r="DK47" s="20"/>
      <c r="DL47" s="20"/>
      <c r="DM47" s="20"/>
      <c r="DN47" s="20"/>
      <c r="DO47" s="20"/>
      <c r="DP47" s="20"/>
      <c r="DQ47" s="46"/>
      <c r="DR47" s="47"/>
      <c r="DS47" s="20"/>
      <c r="DT47" s="20"/>
      <c r="DU47" s="20"/>
      <c r="DV47" s="20"/>
      <c r="DW47" s="20"/>
      <c r="DX47" s="20"/>
      <c r="DY47" s="20"/>
      <c r="DZ47" s="20"/>
      <c r="EA47" s="20"/>
      <c r="EB47" s="20"/>
    </row>
    <row r="48" spans="1:132" s="29" customFormat="1" ht="12.75">
      <c r="A48" s="45">
        <v>1996</v>
      </c>
      <c r="B48" s="48" t="s">
        <v>44</v>
      </c>
      <c r="C48" s="35">
        <f t="shared" si="2"/>
        <v>0.97452046951044946</v>
      </c>
      <c r="D48" s="35">
        <f t="shared" si="3"/>
        <v>0.97872340425531912</v>
      </c>
      <c r="E48" s="35">
        <f t="shared" si="4"/>
        <v>0.99570569710850276</v>
      </c>
      <c r="F48" s="20">
        <v>20958</v>
      </c>
      <c r="G48" s="20">
        <f t="shared" si="9"/>
        <v>90</v>
      </c>
      <c r="H48" s="20">
        <v>20868</v>
      </c>
      <c r="I48" s="20">
        <v>20424</v>
      </c>
      <c r="J48" s="20">
        <f t="shared" si="10"/>
        <v>444</v>
      </c>
      <c r="K48" s="20"/>
      <c r="L48" s="20"/>
      <c r="M48" s="45"/>
      <c r="N48" s="48"/>
      <c r="O48" s="30"/>
      <c r="P48" s="30"/>
      <c r="Q48" s="30"/>
      <c r="R48" s="20"/>
      <c r="S48" s="20"/>
      <c r="T48" s="20"/>
      <c r="U48" s="20"/>
      <c r="V48" s="20"/>
      <c r="W48" s="20"/>
      <c r="X48" s="20"/>
      <c r="Y48" s="45"/>
      <c r="Z48" s="48"/>
      <c r="AA48" s="30"/>
      <c r="AB48" s="30"/>
      <c r="AC48" s="30"/>
      <c r="AD48" s="20"/>
      <c r="AE48" s="20"/>
      <c r="AF48" s="20"/>
      <c r="AG48" s="20"/>
      <c r="AH48" s="20"/>
      <c r="AI48" s="20"/>
      <c r="AJ48" s="20"/>
      <c r="AK48" s="45"/>
      <c r="AL48" s="48"/>
      <c r="AM48" s="30"/>
      <c r="AN48" s="30"/>
      <c r="AO48" s="30"/>
      <c r="AP48" s="20"/>
      <c r="AQ48" s="20"/>
      <c r="AR48" s="20"/>
      <c r="AS48" s="20"/>
      <c r="AT48" s="20"/>
      <c r="AU48" s="20"/>
      <c r="AV48" s="20"/>
      <c r="AW48" s="45"/>
      <c r="AX48" s="48"/>
      <c r="AY48" s="30"/>
      <c r="AZ48" s="30"/>
      <c r="BA48" s="30"/>
      <c r="BB48" s="20"/>
      <c r="BC48" s="20"/>
      <c r="BD48" s="20"/>
      <c r="BE48" s="20"/>
      <c r="BF48" s="20"/>
      <c r="BG48" s="20"/>
      <c r="BH48" s="20"/>
      <c r="BI48" s="45"/>
      <c r="BJ48" s="48"/>
      <c r="BK48" s="30"/>
      <c r="BL48" s="30"/>
      <c r="BM48" s="30"/>
      <c r="BN48" s="20"/>
      <c r="BO48" s="20"/>
      <c r="BP48" s="20"/>
      <c r="BQ48" s="20"/>
      <c r="BR48" s="20"/>
      <c r="BS48" s="20"/>
      <c r="BT48" s="20"/>
      <c r="BU48" s="45"/>
      <c r="BV48" s="48"/>
      <c r="BW48" s="30"/>
      <c r="BX48" s="30"/>
      <c r="BY48" s="30"/>
      <c r="BZ48" s="20"/>
      <c r="CA48" s="20"/>
      <c r="CB48" s="20"/>
      <c r="CC48" s="20"/>
      <c r="CD48" s="20"/>
      <c r="CE48" s="20"/>
      <c r="CF48" s="20"/>
      <c r="CG48" s="45"/>
      <c r="CH48" s="48"/>
      <c r="CI48" s="30"/>
      <c r="CJ48" s="30"/>
      <c r="CK48" s="30"/>
      <c r="CL48" s="20"/>
      <c r="CM48" s="20"/>
      <c r="CN48" s="20"/>
      <c r="CO48" s="20"/>
      <c r="CP48" s="20"/>
      <c r="CQ48" s="20"/>
      <c r="CR48" s="20"/>
      <c r="CS48" s="45"/>
      <c r="CT48" s="48"/>
      <c r="CU48" s="30"/>
      <c r="CV48" s="30"/>
      <c r="CW48" s="30"/>
      <c r="CX48" s="20"/>
      <c r="CY48" s="20"/>
      <c r="CZ48" s="20"/>
      <c r="DA48" s="20"/>
      <c r="DB48" s="20"/>
      <c r="DC48" s="20"/>
      <c r="DD48" s="20"/>
      <c r="DE48" s="45"/>
      <c r="DF48" s="48"/>
      <c r="DG48" s="30"/>
      <c r="DH48" s="30"/>
      <c r="DI48" s="30"/>
      <c r="DJ48" s="20"/>
      <c r="DK48" s="20"/>
      <c r="DL48" s="20"/>
      <c r="DM48" s="20"/>
      <c r="DN48" s="20"/>
      <c r="DO48" s="20"/>
      <c r="DP48" s="20"/>
      <c r="DQ48" s="45"/>
      <c r="DR48" s="48"/>
      <c r="DS48" s="20"/>
      <c r="DT48" s="20"/>
      <c r="DU48" s="20"/>
      <c r="DV48" s="20"/>
      <c r="DW48" s="20"/>
      <c r="DX48" s="20"/>
      <c r="DY48" s="20"/>
      <c r="DZ48" s="20"/>
      <c r="EA48" s="20"/>
      <c r="EB48" s="20"/>
    </row>
    <row r="49" spans="1:132" s="29" customFormat="1" ht="12.75">
      <c r="A49" s="46">
        <v>1996</v>
      </c>
      <c r="B49" s="47" t="s">
        <v>45</v>
      </c>
      <c r="C49" s="35">
        <f t="shared" si="2"/>
        <v>0.94029778827157517</v>
      </c>
      <c r="D49" s="35">
        <f t="shared" si="3"/>
        <v>0.97824343292560656</v>
      </c>
      <c r="E49" s="35">
        <f t="shared" si="4"/>
        <v>0.9612104274080856</v>
      </c>
      <c r="F49" s="20">
        <v>20753</v>
      </c>
      <c r="G49" s="20">
        <f t="shared" si="9"/>
        <v>805</v>
      </c>
      <c r="H49" s="20">
        <v>19948</v>
      </c>
      <c r="I49" s="20">
        <v>19514</v>
      </c>
      <c r="J49" s="20">
        <f t="shared" si="10"/>
        <v>434</v>
      </c>
      <c r="K49" s="20"/>
      <c r="L49" s="20"/>
      <c r="M49" s="46"/>
      <c r="N49" s="47"/>
      <c r="O49" s="30"/>
      <c r="P49" s="30"/>
      <c r="Q49" s="30"/>
      <c r="R49" s="20"/>
      <c r="S49" s="20"/>
      <c r="T49" s="20"/>
      <c r="U49" s="20"/>
      <c r="V49" s="20"/>
      <c r="W49" s="20"/>
      <c r="X49" s="20"/>
      <c r="Y49" s="46"/>
      <c r="Z49" s="47"/>
      <c r="AA49" s="30"/>
      <c r="AB49" s="30"/>
      <c r="AC49" s="30"/>
      <c r="AD49" s="20"/>
      <c r="AE49" s="20"/>
      <c r="AF49" s="20"/>
      <c r="AG49" s="20"/>
      <c r="AH49" s="20"/>
      <c r="AI49" s="20"/>
      <c r="AJ49" s="20"/>
      <c r="AK49" s="46"/>
      <c r="AL49" s="47"/>
      <c r="AM49" s="30"/>
      <c r="AN49" s="30"/>
      <c r="AO49" s="30"/>
      <c r="AP49" s="20"/>
      <c r="AQ49" s="20"/>
      <c r="AR49" s="20"/>
      <c r="AS49" s="20"/>
      <c r="AT49" s="20"/>
      <c r="AU49" s="20"/>
      <c r="AV49" s="20"/>
      <c r="AW49" s="46"/>
      <c r="AX49" s="47"/>
      <c r="AY49" s="30"/>
      <c r="AZ49" s="30"/>
      <c r="BA49" s="30"/>
      <c r="BB49" s="20"/>
      <c r="BC49" s="20"/>
      <c r="BD49" s="20"/>
      <c r="BE49" s="20"/>
      <c r="BF49" s="20"/>
      <c r="BG49" s="20"/>
      <c r="BH49" s="20"/>
      <c r="BI49" s="46"/>
      <c r="BJ49" s="47"/>
      <c r="BK49" s="30"/>
      <c r="BL49" s="30"/>
      <c r="BM49" s="30"/>
      <c r="BN49" s="20"/>
      <c r="BO49" s="20"/>
      <c r="BP49" s="20"/>
      <c r="BQ49" s="20"/>
      <c r="BR49" s="20"/>
      <c r="BS49" s="20"/>
      <c r="BT49" s="20"/>
      <c r="BU49" s="46"/>
      <c r="BV49" s="47"/>
      <c r="BW49" s="30"/>
      <c r="BX49" s="30"/>
      <c r="BY49" s="30"/>
      <c r="BZ49" s="20"/>
      <c r="CA49" s="20"/>
      <c r="CB49" s="20"/>
      <c r="CC49" s="20"/>
      <c r="CD49" s="20"/>
      <c r="CE49" s="20"/>
      <c r="CF49" s="20"/>
      <c r="CG49" s="46"/>
      <c r="CH49" s="47"/>
      <c r="CI49" s="30"/>
      <c r="CJ49" s="30"/>
      <c r="CK49" s="30"/>
      <c r="CL49" s="20"/>
      <c r="CM49" s="20"/>
      <c r="CN49" s="20"/>
      <c r="CO49" s="20"/>
      <c r="CP49" s="20"/>
      <c r="CQ49" s="20"/>
      <c r="CR49" s="20"/>
      <c r="CS49" s="46"/>
      <c r="CT49" s="47"/>
      <c r="CU49" s="30"/>
      <c r="CV49" s="30"/>
      <c r="CW49" s="30"/>
      <c r="CX49" s="20"/>
      <c r="CY49" s="20"/>
      <c r="CZ49" s="20"/>
      <c r="DA49" s="20"/>
      <c r="DB49" s="20"/>
      <c r="DC49" s="20"/>
      <c r="DD49" s="20"/>
      <c r="DE49" s="46"/>
      <c r="DF49" s="47"/>
      <c r="DG49" s="30"/>
      <c r="DH49" s="30"/>
      <c r="DI49" s="30"/>
      <c r="DJ49" s="20"/>
      <c r="DK49" s="20"/>
      <c r="DL49" s="20"/>
      <c r="DM49" s="20"/>
      <c r="DN49" s="20"/>
      <c r="DO49" s="20"/>
      <c r="DP49" s="20"/>
      <c r="DQ49" s="46"/>
      <c r="DR49" s="47"/>
      <c r="DS49" s="20"/>
      <c r="DT49" s="20"/>
      <c r="DU49" s="20"/>
      <c r="DV49" s="20"/>
      <c r="DW49" s="20"/>
      <c r="DX49" s="20"/>
      <c r="DY49" s="20"/>
      <c r="DZ49" s="20"/>
      <c r="EA49" s="20"/>
      <c r="EB49" s="20"/>
    </row>
    <row r="50" spans="1:132" s="29" customFormat="1" ht="12.75">
      <c r="A50" s="45">
        <v>1996</v>
      </c>
      <c r="B50" s="48" t="s">
        <v>46</v>
      </c>
      <c r="C50" s="35">
        <f t="shared" si="2"/>
        <v>0.95295933097715169</v>
      </c>
      <c r="D50" s="35">
        <f t="shared" si="3"/>
        <v>0.97758259715058982</v>
      </c>
      <c r="E50" s="35">
        <f t="shared" si="4"/>
        <v>0.9748120862163373</v>
      </c>
      <c r="F50" s="20">
        <v>20089</v>
      </c>
      <c r="G50" s="20">
        <f t="shared" si="9"/>
        <v>506</v>
      </c>
      <c r="H50" s="20">
        <v>19583</v>
      </c>
      <c r="I50" s="20">
        <v>19144</v>
      </c>
      <c r="J50" s="20">
        <f t="shared" si="10"/>
        <v>439</v>
      </c>
      <c r="K50" s="20"/>
      <c r="L50" s="20"/>
      <c r="M50" s="45"/>
      <c r="N50" s="48"/>
      <c r="O50" s="30"/>
      <c r="P50" s="30"/>
      <c r="Q50" s="30"/>
      <c r="R50" s="20"/>
      <c r="S50" s="20"/>
      <c r="T50" s="20"/>
      <c r="U50" s="20"/>
      <c r="V50" s="20"/>
      <c r="W50" s="20"/>
      <c r="X50" s="20"/>
      <c r="Y50" s="45"/>
      <c r="Z50" s="48"/>
      <c r="AA50" s="30"/>
      <c r="AB50" s="30"/>
      <c r="AC50" s="30"/>
      <c r="AD50" s="20"/>
      <c r="AE50" s="20"/>
      <c r="AF50" s="20"/>
      <c r="AG50" s="20"/>
      <c r="AH50" s="20"/>
      <c r="AI50" s="20"/>
      <c r="AJ50" s="20"/>
      <c r="AK50" s="45"/>
      <c r="AL50" s="48"/>
      <c r="AM50" s="30"/>
      <c r="AN50" s="30"/>
      <c r="AO50" s="30"/>
      <c r="AP50" s="20"/>
      <c r="AQ50" s="20"/>
      <c r="AR50" s="20"/>
      <c r="AS50" s="20"/>
      <c r="AT50" s="20"/>
      <c r="AU50" s="20"/>
      <c r="AV50" s="20"/>
      <c r="AW50" s="45"/>
      <c r="AX50" s="48"/>
      <c r="AY50" s="30"/>
      <c r="AZ50" s="30"/>
      <c r="BA50" s="30"/>
      <c r="BB50" s="20"/>
      <c r="BC50" s="20"/>
      <c r="BD50" s="20"/>
      <c r="BE50" s="20"/>
      <c r="BF50" s="20"/>
      <c r="BG50" s="20"/>
      <c r="BH50" s="20"/>
      <c r="BI50" s="45"/>
      <c r="BJ50" s="48"/>
      <c r="BK50" s="30"/>
      <c r="BL50" s="30"/>
      <c r="BM50" s="30"/>
      <c r="BN50" s="20"/>
      <c r="BO50" s="20"/>
      <c r="BP50" s="20"/>
      <c r="BQ50" s="20"/>
      <c r="BR50" s="20"/>
      <c r="BS50" s="20"/>
      <c r="BT50" s="20"/>
      <c r="BU50" s="45"/>
      <c r="BV50" s="48"/>
      <c r="BW50" s="30"/>
      <c r="BX50" s="30"/>
      <c r="BY50" s="30"/>
      <c r="BZ50" s="20"/>
      <c r="CA50" s="20"/>
      <c r="CB50" s="20"/>
      <c r="CC50" s="20"/>
      <c r="CD50" s="20"/>
      <c r="CE50" s="20"/>
      <c r="CF50" s="20"/>
      <c r="CG50" s="45"/>
      <c r="CH50" s="48"/>
      <c r="CI50" s="30"/>
      <c r="CJ50" s="30"/>
      <c r="CK50" s="30"/>
      <c r="CL50" s="20"/>
      <c r="CM50" s="20"/>
      <c r="CN50" s="20"/>
      <c r="CO50" s="20"/>
      <c r="CP50" s="20"/>
      <c r="CQ50" s="20"/>
      <c r="CR50" s="20"/>
      <c r="CS50" s="45"/>
      <c r="CT50" s="48"/>
      <c r="CU50" s="30"/>
      <c r="CV50" s="30"/>
      <c r="CW50" s="30"/>
      <c r="CX50" s="20"/>
      <c r="CY50" s="20"/>
      <c r="CZ50" s="20"/>
      <c r="DA50" s="20"/>
      <c r="DB50" s="20"/>
      <c r="DC50" s="20"/>
      <c r="DD50" s="20"/>
      <c r="DE50" s="45"/>
      <c r="DF50" s="48"/>
      <c r="DG50" s="30"/>
      <c r="DH50" s="30"/>
      <c r="DI50" s="30"/>
      <c r="DJ50" s="20"/>
      <c r="DK50" s="20"/>
      <c r="DL50" s="20"/>
      <c r="DM50" s="20"/>
      <c r="DN50" s="20"/>
      <c r="DO50" s="20"/>
      <c r="DP50" s="20"/>
      <c r="DQ50" s="45"/>
      <c r="DR50" s="48"/>
      <c r="DS50" s="20"/>
      <c r="DT50" s="20"/>
      <c r="DU50" s="20"/>
      <c r="DV50" s="20"/>
      <c r="DW50" s="20"/>
      <c r="DX50" s="20"/>
      <c r="DY50" s="20"/>
      <c r="DZ50" s="20"/>
      <c r="EA50" s="20"/>
      <c r="EB50" s="20"/>
    </row>
    <row r="51" spans="1:132" s="29" customFormat="1" ht="12.75">
      <c r="A51" s="46">
        <v>1996</v>
      </c>
      <c r="B51" s="47" t="s">
        <v>47</v>
      </c>
      <c r="C51" s="35">
        <f t="shared" si="2"/>
        <v>0.9421077065923863</v>
      </c>
      <c r="D51" s="35">
        <f t="shared" si="3"/>
        <v>0.978494623655914</v>
      </c>
      <c r="E51" s="35">
        <f t="shared" si="4"/>
        <v>0.96281337047353766</v>
      </c>
      <c r="F51" s="20">
        <v>21540</v>
      </c>
      <c r="G51" s="20">
        <f t="shared" si="9"/>
        <v>801</v>
      </c>
      <c r="H51" s="20">
        <v>20739</v>
      </c>
      <c r="I51" s="20">
        <v>20293</v>
      </c>
      <c r="J51" s="20">
        <f t="shared" si="10"/>
        <v>446</v>
      </c>
      <c r="K51" s="20"/>
      <c r="L51" s="20"/>
      <c r="M51" s="46"/>
      <c r="N51" s="47"/>
      <c r="O51" s="30"/>
      <c r="P51" s="30"/>
      <c r="Q51" s="30"/>
      <c r="R51" s="20"/>
      <c r="S51" s="20"/>
      <c r="T51" s="20"/>
      <c r="U51" s="20"/>
      <c r="V51" s="20"/>
      <c r="W51" s="20"/>
      <c r="X51" s="20"/>
      <c r="Y51" s="46"/>
      <c r="Z51" s="47"/>
      <c r="AA51" s="30"/>
      <c r="AB51" s="30"/>
      <c r="AC51" s="30"/>
      <c r="AD51" s="20"/>
      <c r="AE51" s="20"/>
      <c r="AF51" s="20"/>
      <c r="AG51" s="20"/>
      <c r="AH51" s="20"/>
      <c r="AI51" s="20"/>
      <c r="AJ51" s="20"/>
      <c r="AK51" s="46"/>
      <c r="AL51" s="47"/>
      <c r="AM51" s="30"/>
      <c r="AN51" s="30"/>
      <c r="AO51" s="30"/>
      <c r="AP51" s="20"/>
      <c r="AQ51" s="20"/>
      <c r="AR51" s="20"/>
      <c r="AS51" s="20"/>
      <c r="AT51" s="20"/>
      <c r="AU51" s="20"/>
      <c r="AV51" s="20"/>
      <c r="AW51" s="46"/>
      <c r="AX51" s="47"/>
      <c r="AY51" s="30"/>
      <c r="AZ51" s="30"/>
      <c r="BA51" s="30"/>
      <c r="BB51" s="20"/>
      <c r="BC51" s="20"/>
      <c r="BD51" s="20"/>
      <c r="BE51" s="20"/>
      <c r="BF51" s="20"/>
      <c r="BG51" s="20"/>
      <c r="BH51" s="20"/>
      <c r="BI51" s="46"/>
      <c r="BJ51" s="47"/>
      <c r="BK51" s="30"/>
      <c r="BL51" s="30"/>
      <c r="BM51" s="30"/>
      <c r="BN51" s="20"/>
      <c r="BO51" s="20"/>
      <c r="BP51" s="20"/>
      <c r="BQ51" s="20"/>
      <c r="BR51" s="20"/>
      <c r="BS51" s="20"/>
      <c r="BT51" s="20"/>
      <c r="BU51" s="46"/>
      <c r="BV51" s="47"/>
      <c r="BW51" s="30"/>
      <c r="BX51" s="30"/>
      <c r="BY51" s="30"/>
      <c r="BZ51" s="20"/>
      <c r="CA51" s="20"/>
      <c r="CB51" s="20"/>
      <c r="CC51" s="20"/>
      <c r="CD51" s="20"/>
      <c r="CE51" s="20"/>
      <c r="CF51" s="20"/>
      <c r="CG51" s="46"/>
      <c r="CH51" s="47"/>
      <c r="CI51" s="30"/>
      <c r="CJ51" s="30"/>
      <c r="CK51" s="30"/>
      <c r="CL51" s="20"/>
      <c r="CM51" s="20"/>
      <c r="CN51" s="20"/>
      <c r="CO51" s="20"/>
      <c r="CP51" s="20"/>
      <c r="CQ51" s="20"/>
      <c r="CR51" s="20"/>
      <c r="CS51" s="46"/>
      <c r="CT51" s="47"/>
      <c r="CU51" s="30"/>
      <c r="CV51" s="30"/>
      <c r="CW51" s="30"/>
      <c r="CX51" s="20"/>
      <c r="CY51" s="20"/>
      <c r="CZ51" s="20"/>
      <c r="DA51" s="20"/>
      <c r="DB51" s="20"/>
      <c r="DC51" s="20"/>
      <c r="DD51" s="20"/>
      <c r="DE51" s="46"/>
      <c r="DF51" s="47"/>
      <c r="DG51" s="30"/>
      <c r="DH51" s="30"/>
      <c r="DI51" s="30"/>
      <c r="DJ51" s="20"/>
      <c r="DK51" s="20"/>
      <c r="DL51" s="20"/>
      <c r="DM51" s="20"/>
      <c r="DN51" s="20"/>
      <c r="DO51" s="20"/>
      <c r="DP51" s="20"/>
      <c r="DQ51" s="46"/>
      <c r="DR51" s="47"/>
      <c r="DS51" s="20"/>
      <c r="DT51" s="20"/>
      <c r="DU51" s="20"/>
      <c r="DV51" s="20"/>
      <c r="DW51" s="20"/>
      <c r="DX51" s="20"/>
      <c r="DY51" s="20"/>
      <c r="DZ51" s="20"/>
      <c r="EA51" s="20"/>
      <c r="EB51" s="20"/>
    </row>
    <row r="52" spans="1:132" s="29" customFormat="1" ht="12.75">
      <c r="A52" s="45">
        <v>1996</v>
      </c>
      <c r="B52" s="48" t="s">
        <v>48</v>
      </c>
      <c r="C52" s="35">
        <f t="shared" si="2"/>
        <v>0.95417839509021274</v>
      </c>
      <c r="D52" s="35">
        <f t="shared" si="3"/>
        <v>0.96114158222552759</v>
      </c>
      <c r="E52" s="35">
        <f t="shared" si="4"/>
        <v>0.99275529509482718</v>
      </c>
      <c r="F52" s="20">
        <v>21671</v>
      </c>
      <c r="G52" s="20">
        <f t="shared" si="9"/>
        <v>157</v>
      </c>
      <c r="H52" s="20">
        <v>21514</v>
      </c>
      <c r="I52" s="20">
        <v>20678</v>
      </c>
      <c r="J52" s="20">
        <f t="shared" si="10"/>
        <v>836</v>
      </c>
      <c r="K52" s="20"/>
      <c r="L52" s="20"/>
      <c r="M52" s="45"/>
      <c r="N52" s="48"/>
      <c r="O52" s="30"/>
      <c r="P52" s="30"/>
      <c r="Q52" s="30"/>
      <c r="R52" s="20"/>
      <c r="S52" s="20"/>
      <c r="T52" s="20"/>
      <c r="U52" s="20"/>
      <c r="V52" s="20"/>
      <c r="W52" s="20"/>
      <c r="X52" s="20"/>
      <c r="Y52" s="45"/>
      <c r="Z52" s="48"/>
      <c r="AA52" s="30"/>
      <c r="AB52" s="30"/>
      <c r="AC52" s="30"/>
      <c r="AD52" s="20"/>
      <c r="AE52" s="20"/>
      <c r="AF52" s="20"/>
      <c r="AG52" s="20"/>
      <c r="AH52" s="20"/>
      <c r="AI52" s="20"/>
      <c r="AJ52" s="20"/>
      <c r="AK52" s="45"/>
      <c r="AL52" s="48"/>
      <c r="AM52" s="30"/>
      <c r="AN52" s="30"/>
      <c r="AO52" s="30"/>
      <c r="AP52" s="20"/>
      <c r="AQ52" s="20"/>
      <c r="AR52" s="20"/>
      <c r="AS52" s="20"/>
      <c r="AT52" s="20"/>
      <c r="AU52" s="20"/>
      <c r="AV52" s="20"/>
      <c r="AW52" s="45"/>
      <c r="AX52" s="48"/>
      <c r="AY52" s="30"/>
      <c r="AZ52" s="30"/>
      <c r="BA52" s="30"/>
      <c r="BB52" s="20"/>
      <c r="BC52" s="20"/>
      <c r="BD52" s="20"/>
      <c r="BE52" s="20"/>
      <c r="BF52" s="20"/>
      <c r="BG52" s="20"/>
      <c r="BH52" s="20"/>
      <c r="BI52" s="45"/>
      <c r="BJ52" s="48"/>
      <c r="BK52" s="30"/>
      <c r="BL52" s="30"/>
      <c r="BM52" s="30"/>
      <c r="BN52" s="20"/>
      <c r="BO52" s="20"/>
      <c r="BP52" s="20"/>
      <c r="BQ52" s="20"/>
      <c r="BR52" s="20"/>
      <c r="BS52" s="20"/>
      <c r="BT52" s="20"/>
      <c r="BU52" s="45"/>
      <c r="BV52" s="48"/>
      <c r="BW52" s="30"/>
      <c r="BX52" s="30"/>
      <c r="BY52" s="30"/>
      <c r="BZ52" s="20"/>
      <c r="CA52" s="20"/>
      <c r="CB52" s="20"/>
      <c r="CC52" s="20"/>
      <c r="CD52" s="20"/>
      <c r="CE52" s="20"/>
      <c r="CF52" s="20"/>
      <c r="CG52" s="45"/>
      <c r="CH52" s="48"/>
      <c r="CI52" s="30"/>
      <c r="CJ52" s="30"/>
      <c r="CK52" s="30"/>
      <c r="CL52" s="20"/>
      <c r="CM52" s="20"/>
      <c r="CN52" s="20"/>
      <c r="CO52" s="20"/>
      <c r="CP52" s="20"/>
      <c r="CQ52" s="20"/>
      <c r="CR52" s="20"/>
      <c r="CS52" s="45"/>
      <c r="CT52" s="48"/>
      <c r="CU52" s="30"/>
      <c r="CV52" s="30"/>
      <c r="CW52" s="30"/>
      <c r="CX52" s="20"/>
      <c r="CY52" s="20"/>
      <c r="CZ52" s="20"/>
      <c r="DA52" s="20"/>
      <c r="DB52" s="20"/>
      <c r="DC52" s="20"/>
      <c r="DD52" s="20"/>
      <c r="DE52" s="45"/>
      <c r="DF52" s="48"/>
      <c r="DG52" s="30"/>
      <c r="DH52" s="30"/>
      <c r="DI52" s="30"/>
      <c r="DJ52" s="20"/>
      <c r="DK52" s="20"/>
      <c r="DL52" s="20"/>
      <c r="DM52" s="20"/>
      <c r="DN52" s="20"/>
      <c r="DO52" s="20"/>
      <c r="DP52" s="20"/>
      <c r="DQ52" s="45"/>
      <c r="DR52" s="48"/>
      <c r="DS52" s="20"/>
      <c r="DT52" s="20"/>
      <c r="DU52" s="20"/>
      <c r="DV52" s="20"/>
      <c r="DW52" s="20"/>
      <c r="DX52" s="20"/>
      <c r="DY52" s="20"/>
      <c r="DZ52" s="20"/>
      <c r="EA52" s="20"/>
      <c r="EB52" s="20"/>
    </row>
    <row r="53" spans="1:132" s="29" customFormat="1" ht="12.75">
      <c r="A53" s="46">
        <v>1996</v>
      </c>
      <c r="B53" s="47" t="s">
        <v>49</v>
      </c>
      <c r="C53" s="35">
        <f t="shared" si="2"/>
        <v>0.90752923976608191</v>
      </c>
      <c r="D53" s="35">
        <f t="shared" si="3"/>
        <v>0.96161107614852104</v>
      </c>
      <c r="E53" s="35">
        <f t="shared" si="4"/>
        <v>0.94375913742690054</v>
      </c>
      <c r="F53" s="20">
        <v>21888</v>
      </c>
      <c r="G53" s="20">
        <f t="shared" si="9"/>
        <v>1231</v>
      </c>
      <c r="H53" s="20">
        <v>20657</v>
      </c>
      <c r="I53" s="20">
        <v>19864</v>
      </c>
      <c r="J53" s="20">
        <f t="shared" si="10"/>
        <v>793</v>
      </c>
      <c r="K53" s="20"/>
      <c r="L53" s="20"/>
      <c r="M53" s="46"/>
      <c r="N53" s="47"/>
      <c r="O53" s="30"/>
      <c r="P53" s="30"/>
      <c r="Q53" s="30"/>
      <c r="R53" s="20"/>
      <c r="S53" s="20"/>
      <c r="T53" s="20"/>
      <c r="U53" s="20"/>
      <c r="V53" s="20"/>
      <c r="W53" s="20"/>
      <c r="X53" s="20"/>
      <c r="Y53" s="46"/>
      <c r="Z53" s="47"/>
      <c r="AA53" s="30"/>
      <c r="AB53" s="30"/>
      <c r="AC53" s="30"/>
      <c r="AD53" s="20"/>
      <c r="AE53" s="20"/>
      <c r="AF53" s="20"/>
      <c r="AG53" s="20"/>
      <c r="AH53" s="20"/>
      <c r="AI53" s="20"/>
      <c r="AJ53" s="20"/>
      <c r="AK53" s="46"/>
      <c r="AL53" s="47"/>
      <c r="AM53" s="30"/>
      <c r="AN53" s="30"/>
      <c r="AO53" s="30"/>
      <c r="AP53" s="20"/>
      <c r="AQ53" s="20"/>
      <c r="AR53" s="20"/>
      <c r="AS53" s="20"/>
      <c r="AT53" s="20"/>
      <c r="AU53" s="20"/>
      <c r="AV53" s="20"/>
      <c r="AW53" s="46"/>
      <c r="AX53" s="47"/>
      <c r="AY53" s="30"/>
      <c r="AZ53" s="30"/>
      <c r="BA53" s="30"/>
      <c r="BB53" s="20"/>
      <c r="BC53" s="20"/>
      <c r="BD53" s="20"/>
      <c r="BE53" s="20"/>
      <c r="BF53" s="20"/>
      <c r="BG53" s="20"/>
      <c r="BH53" s="20"/>
      <c r="BI53" s="46"/>
      <c r="BJ53" s="47"/>
      <c r="BK53" s="30"/>
      <c r="BL53" s="30"/>
      <c r="BM53" s="30"/>
      <c r="BN53" s="20"/>
      <c r="BO53" s="20"/>
      <c r="BP53" s="20"/>
      <c r="BQ53" s="20"/>
      <c r="BR53" s="20"/>
      <c r="BS53" s="20"/>
      <c r="BT53" s="20"/>
      <c r="BU53" s="46"/>
      <c r="BV53" s="47"/>
      <c r="BW53" s="30"/>
      <c r="BX53" s="30"/>
      <c r="BY53" s="30"/>
      <c r="BZ53" s="20"/>
      <c r="CA53" s="20"/>
      <c r="CB53" s="20"/>
      <c r="CC53" s="20"/>
      <c r="CD53" s="20"/>
      <c r="CE53" s="20"/>
      <c r="CF53" s="20"/>
      <c r="CG53" s="46"/>
      <c r="CH53" s="47"/>
      <c r="CI53" s="30"/>
      <c r="CJ53" s="30"/>
      <c r="CK53" s="30"/>
      <c r="CL53" s="20"/>
      <c r="CM53" s="20"/>
      <c r="CN53" s="20"/>
      <c r="CO53" s="20"/>
      <c r="CP53" s="20"/>
      <c r="CQ53" s="20"/>
      <c r="CR53" s="20"/>
      <c r="CS53" s="46"/>
      <c r="CT53" s="47"/>
      <c r="CU53" s="30"/>
      <c r="CV53" s="30"/>
      <c r="CW53" s="30"/>
      <c r="CX53" s="20"/>
      <c r="CY53" s="20"/>
      <c r="CZ53" s="20"/>
      <c r="DA53" s="20"/>
      <c r="DB53" s="20"/>
      <c r="DC53" s="20"/>
      <c r="DD53" s="20"/>
      <c r="DE53" s="46"/>
      <c r="DF53" s="47"/>
      <c r="DG53" s="30"/>
      <c r="DH53" s="30"/>
      <c r="DI53" s="30"/>
      <c r="DJ53" s="20"/>
      <c r="DK53" s="20"/>
      <c r="DL53" s="20"/>
      <c r="DM53" s="20"/>
      <c r="DN53" s="20"/>
      <c r="DO53" s="20"/>
      <c r="DP53" s="20"/>
      <c r="DQ53" s="46"/>
      <c r="DR53" s="47"/>
      <c r="DS53" s="20"/>
      <c r="DT53" s="20"/>
      <c r="DU53" s="20"/>
      <c r="DV53" s="20"/>
      <c r="DW53" s="20"/>
      <c r="DX53" s="20"/>
      <c r="DY53" s="20"/>
      <c r="DZ53" s="20"/>
      <c r="EA53" s="20"/>
      <c r="EB53" s="20"/>
    </row>
    <row r="54" spans="1:132" s="29" customFormat="1" ht="12.75">
      <c r="A54" s="45">
        <v>1997</v>
      </c>
      <c r="B54" s="48" t="s">
        <v>38</v>
      </c>
      <c r="C54" s="35">
        <f t="shared" si="2"/>
        <v>0.96419919246298791</v>
      </c>
      <c r="D54" s="35">
        <f t="shared" si="3"/>
        <v>0.9709948495527243</v>
      </c>
      <c r="E54" s="35">
        <f t="shared" si="4"/>
        <v>0.9930013458950202</v>
      </c>
      <c r="F54" s="20">
        <v>22290</v>
      </c>
      <c r="G54" s="20">
        <f t="shared" ref="G54:G65" si="11">F54-H54</f>
        <v>156</v>
      </c>
      <c r="H54" s="20">
        <v>22134</v>
      </c>
      <c r="I54" s="20">
        <v>21492</v>
      </c>
      <c r="J54" s="20">
        <f t="shared" ref="J54:J65" si="12">H54-I54</f>
        <v>642</v>
      </c>
      <c r="K54" s="20"/>
      <c r="L54" s="20"/>
      <c r="M54" s="45"/>
      <c r="N54" s="48"/>
      <c r="O54" s="30"/>
      <c r="P54" s="30"/>
      <c r="Q54" s="30"/>
      <c r="R54" s="20"/>
      <c r="S54" s="20"/>
      <c r="T54" s="20"/>
      <c r="U54" s="20"/>
      <c r="V54" s="20"/>
      <c r="W54" s="20"/>
      <c r="X54" s="20"/>
      <c r="Y54" s="45"/>
      <c r="Z54" s="48"/>
      <c r="AA54" s="30"/>
      <c r="AB54" s="30"/>
      <c r="AC54" s="30"/>
      <c r="AD54" s="20"/>
      <c r="AE54" s="20"/>
      <c r="AF54" s="20"/>
      <c r="AG54" s="20"/>
      <c r="AH54" s="20"/>
      <c r="AI54" s="20"/>
      <c r="AJ54" s="20"/>
      <c r="AK54" s="45"/>
      <c r="AL54" s="48"/>
      <c r="AM54" s="30"/>
      <c r="AN54" s="30"/>
      <c r="AO54" s="30"/>
      <c r="AP54" s="20"/>
      <c r="AQ54" s="20"/>
      <c r="AR54" s="20"/>
      <c r="AS54" s="20"/>
      <c r="AT54" s="20"/>
      <c r="AU54" s="20"/>
      <c r="AV54" s="20"/>
      <c r="AW54" s="45"/>
      <c r="AX54" s="48"/>
      <c r="AY54" s="30"/>
      <c r="AZ54" s="30"/>
      <c r="BA54" s="30"/>
      <c r="BB54" s="20"/>
      <c r="BC54" s="20"/>
      <c r="BD54" s="20"/>
      <c r="BE54" s="20"/>
      <c r="BF54" s="20"/>
      <c r="BG54" s="20"/>
      <c r="BH54" s="20"/>
      <c r="BI54" s="45"/>
      <c r="BJ54" s="48"/>
      <c r="BK54" s="30"/>
      <c r="BL54" s="30"/>
      <c r="BM54" s="30"/>
      <c r="BN54" s="20"/>
      <c r="BO54" s="20"/>
      <c r="BP54" s="20"/>
      <c r="BQ54" s="20"/>
      <c r="BR54" s="20"/>
      <c r="BS54" s="20"/>
      <c r="BT54" s="20"/>
      <c r="BU54" s="45"/>
      <c r="BV54" s="48"/>
      <c r="BW54" s="30"/>
      <c r="BX54" s="30"/>
      <c r="BY54" s="30"/>
      <c r="BZ54" s="20"/>
      <c r="CA54" s="20"/>
      <c r="CB54" s="20"/>
      <c r="CC54" s="20"/>
      <c r="CD54" s="20"/>
      <c r="CE54" s="20"/>
      <c r="CF54" s="20"/>
      <c r="CG54" s="45"/>
      <c r="CH54" s="48"/>
      <c r="CI54" s="30"/>
      <c r="CJ54" s="30"/>
      <c r="CK54" s="30"/>
      <c r="CL54" s="20"/>
      <c r="CM54" s="20"/>
      <c r="CN54" s="20"/>
      <c r="CO54" s="20"/>
      <c r="CP54" s="20"/>
      <c r="CQ54" s="20"/>
      <c r="CR54" s="20"/>
      <c r="CS54" s="45"/>
      <c r="CT54" s="48"/>
      <c r="CU54" s="30"/>
      <c r="CV54" s="30"/>
      <c r="CW54" s="30"/>
      <c r="CX54" s="20"/>
      <c r="CY54" s="20"/>
      <c r="CZ54" s="20"/>
      <c r="DA54" s="20"/>
      <c r="DB54" s="20"/>
      <c r="DC54" s="20"/>
      <c r="DD54" s="20"/>
      <c r="DE54" s="45"/>
      <c r="DF54" s="48"/>
      <c r="DG54" s="30"/>
      <c r="DH54" s="30"/>
      <c r="DI54" s="30"/>
      <c r="DJ54" s="20"/>
      <c r="DK54" s="20"/>
      <c r="DL54" s="20"/>
      <c r="DM54" s="20"/>
      <c r="DN54" s="20"/>
      <c r="DO54" s="20"/>
      <c r="DP54" s="20"/>
      <c r="DQ54" s="45"/>
      <c r="DR54" s="48"/>
      <c r="DS54" s="20"/>
      <c r="DT54" s="20"/>
      <c r="DU54" s="20"/>
      <c r="DV54" s="20"/>
      <c r="DW54" s="20"/>
      <c r="DX54" s="20"/>
      <c r="DY54" s="20"/>
      <c r="DZ54" s="20"/>
      <c r="EA54" s="20"/>
      <c r="EB54" s="20"/>
    </row>
    <row r="55" spans="1:132" s="29" customFormat="1" ht="12.75">
      <c r="A55" s="46">
        <v>1997</v>
      </c>
      <c r="B55" s="47" t="s">
        <v>39</v>
      </c>
      <c r="C55" s="35">
        <f t="shared" si="2"/>
        <v>0.94056082148499209</v>
      </c>
      <c r="D55" s="35">
        <f t="shared" si="3"/>
        <v>0.96251389309891888</v>
      </c>
      <c r="E55" s="35">
        <f t="shared" si="4"/>
        <v>0.97719194312796209</v>
      </c>
      <c r="F55" s="20">
        <v>20256</v>
      </c>
      <c r="G55" s="20">
        <f t="shared" si="11"/>
        <v>462</v>
      </c>
      <c r="H55" s="20">
        <v>19794</v>
      </c>
      <c r="I55" s="20">
        <v>19052</v>
      </c>
      <c r="J55" s="20">
        <f t="shared" si="12"/>
        <v>742</v>
      </c>
      <c r="K55" s="20"/>
      <c r="L55" s="20"/>
      <c r="M55" s="46"/>
      <c r="N55" s="47"/>
      <c r="O55" s="30"/>
      <c r="P55" s="30"/>
      <c r="Q55" s="30"/>
      <c r="R55" s="20"/>
      <c r="S55" s="20"/>
      <c r="T55" s="20"/>
      <c r="U55" s="20"/>
      <c r="V55" s="20"/>
      <c r="W55" s="20"/>
      <c r="X55" s="20"/>
      <c r="Y55" s="46"/>
      <c r="Z55" s="47"/>
      <c r="AA55" s="30"/>
      <c r="AB55" s="30"/>
      <c r="AC55" s="30"/>
      <c r="AD55" s="20"/>
      <c r="AE55" s="20"/>
      <c r="AF55" s="20"/>
      <c r="AG55" s="20"/>
      <c r="AH55" s="20"/>
      <c r="AI55" s="20"/>
      <c r="AJ55" s="20"/>
      <c r="AK55" s="46"/>
      <c r="AL55" s="47"/>
      <c r="AM55" s="30"/>
      <c r="AN55" s="30"/>
      <c r="AO55" s="30"/>
      <c r="AP55" s="20"/>
      <c r="AQ55" s="20"/>
      <c r="AR55" s="20"/>
      <c r="AS55" s="20"/>
      <c r="AT55" s="20"/>
      <c r="AU55" s="20"/>
      <c r="AV55" s="20"/>
      <c r="AW55" s="46"/>
      <c r="AX55" s="47"/>
      <c r="AY55" s="30"/>
      <c r="AZ55" s="30"/>
      <c r="BA55" s="30"/>
      <c r="BB55" s="20"/>
      <c r="BC55" s="20"/>
      <c r="BD55" s="20"/>
      <c r="BE55" s="20"/>
      <c r="BF55" s="20"/>
      <c r="BG55" s="20"/>
      <c r="BH55" s="20"/>
      <c r="BI55" s="46"/>
      <c r="BJ55" s="47"/>
      <c r="BK55" s="30"/>
      <c r="BL55" s="30"/>
      <c r="BM55" s="30"/>
      <c r="BN55" s="20"/>
      <c r="BO55" s="20"/>
      <c r="BP55" s="20"/>
      <c r="BQ55" s="20"/>
      <c r="BR55" s="20"/>
      <c r="BS55" s="20"/>
      <c r="BT55" s="20"/>
      <c r="BU55" s="46"/>
      <c r="BV55" s="47"/>
      <c r="BW55" s="30"/>
      <c r="BX55" s="30"/>
      <c r="BY55" s="30"/>
      <c r="BZ55" s="20"/>
      <c r="CA55" s="20"/>
      <c r="CB55" s="20"/>
      <c r="CC55" s="20"/>
      <c r="CD55" s="20"/>
      <c r="CE55" s="20"/>
      <c r="CF55" s="20"/>
      <c r="CG55" s="46"/>
      <c r="CH55" s="47"/>
      <c r="CI55" s="30"/>
      <c r="CJ55" s="30"/>
      <c r="CK55" s="30"/>
      <c r="CL55" s="20"/>
      <c r="CM55" s="20"/>
      <c r="CN55" s="20"/>
      <c r="CO55" s="20"/>
      <c r="CP55" s="20"/>
      <c r="CQ55" s="20"/>
      <c r="CR55" s="20"/>
      <c r="CS55" s="46"/>
      <c r="CT55" s="47"/>
      <c r="CU55" s="30"/>
      <c r="CV55" s="30"/>
      <c r="CW55" s="30"/>
      <c r="CX55" s="20"/>
      <c r="CY55" s="20"/>
      <c r="CZ55" s="20"/>
      <c r="DA55" s="20"/>
      <c r="DB55" s="20"/>
      <c r="DC55" s="20"/>
      <c r="DD55" s="20"/>
      <c r="DE55" s="46"/>
      <c r="DF55" s="47"/>
      <c r="DG55" s="30"/>
      <c r="DH55" s="30"/>
      <c r="DI55" s="30"/>
      <c r="DJ55" s="20"/>
      <c r="DK55" s="20"/>
      <c r="DL55" s="20"/>
      <c r="DM55" s="20"/>
      <c r="DN55" s="20"/>
      <c r="DO55" s="20"/>
      <c r="DP55" s="20"/>
      <c r="DQ55" s="46"/>
      <c r="DR55" s="47"/>
      <c r="DS55" s="20"/>
      <c r="DT55" s="20"/>
      <c r="DU55" s="20"/>
      <c r="DV55" s="20"/>
      <c r="DW55" s="20"/>
      <c r="DX55" s="20"/>
      <c r="DY55" s="20"/>
      <c r="DZ55" s="20"/>
      <c r="EA55" s="20"/>
      <c r="EB55" s="20"/>
    </row>
    <row r="56" spans="1:132" s="29" customFormat="1" ht="12.75">
      <c r="A56" s="45">
        <v>1997</v>
      </c>
      <c r="B56" s="48" t="s">
        <v>40</v>
      </c>
      <c r="C56" s="35">
        <f t="shared" si="2"/>
        <v>0.96702740041446</v>
      </c>
      <c r="D56" s="35">
        <f t="shared" si="3"/>
        <v>0.97046862002033463</v>
      </c>
      <c r="E56" s="35">
        <f t="shared" si="4"/>
        <v>0.9964540640110523</v>
      </c>
      <c r="F56" s="20">
        <v>21715</v>
      </c>
      <c r="G56" s="20">
        <f t="shared" si="11"/>
        <v>77</v>
      </c>
      <c r="H56" s="20">
        <v>21638</v>
      </c>
      <c r="I56" s="20">
        <v>20999</v>
      </c>
      <c r="J56" s="20">
        <f t="shared" si="12"/>
        <v>639</v>
      </c>
      <c r="K56" s="20"/>
      <c r="L56" s="20"/>
      <c r="M56" s="45"/>
      <c r="N56" s="48"/>
      <c r="O56" s="30"/>
      <c r="P56" s="30"/>
      <c r="Q56" s="30"/>
      <c r="R56" s="20"/>
      <c r="S56" s="20"/>
      <c r="T56" s="20"/>
      <c r="U56" s="20"/>
      <c r="V56" s="20"/>
      <c r="W56" s="20"/>
      <c r="X56" s="20"/>
      <c r="Y56" s="45"/>
      <c r="Z56" s="48"/>
      <c r="AA56" s="30"/>
      <c r="AB56" s="30"/>
      <c r="AC56" s="30"/>
      <c r="AD56" s="20"/>
      <c r="AE56" s="20"/>
      <c r="AF56" s="20"/>
      <c r="AG56" s="20"/>
      <c r="AH56" s="20"/>
      <c r="AI56" s="20"/>
      <c r="AJ56" s="20"/>
      <c r="AK56" s="45"/>
      <c r="AL56" s="48"/>
      <c r="AM56" s="30"/>
      <c r="AN56" s="30"/>
      <c r="AO56" s="30"/>
      <c r="AP56" s="20"/>
      <c r="AQ56" s="20"/>
      <c r="AR56" s="20"/>
      <c r="AS56" s="20"/>
      <c r="AT56" s="20"/>
      <c r="AU56" s="20"/>
      <c r="AV56" s="20"/>
      <c r="AW56" s="45"/>
      <c r="AX56" s="48"/>
      <c r="AY56" s="30"/>
      <c r="AZ56" s="30"/>
      <c r="BA56" s="30"/>
      <c r="BB56" s="20"/>
      <c r="BC56" s="20"/>
      <c r="BD56" s="20"/>
      <c r="BE56" s="20"/>
      <c r="BF56" s="20"/>
      <c r="BG56" s="20"/>
      <c r="BH56" s="20"/>
      <c r="BI56" s="45"/>
      <c r="BJ56" s="48"/>
      <c r="BK56" s="30"/>
      <c r="BL56" s="30"/>
      <c r="BM56" s="30"/>
      <c r="BN56" s="20"/>
      <c r="BO56" s="20"/>
      <c r="BP56" s="20"/>
      <c r="BQ56" s="20"/>
      <c r="BR56" s="20"/>
      <c r="BS56" s="20"/>
      <c r="BT56" s="20"/>
      <c r="BU56" s="45"/>
      <c r="BV56" s="48"/>
      <c r="BW56" s="30"/>
      <c r="BX56" s="30"/>
      <c r="BY56" s="30"/>
      <c r="BZ56" s="20"/>
      <c r="CA56" s="20"/>
      <c r="CB56" s="20"/>
      <c r="CC56" s="20"/>
      <c r="CD56" s="20"/>
      <c r="CE56" s="20"/>
      <c r="CF56" s="20"/>
      <c r="CG56" s="45"/>
      <c r="CH56" s="48"/>
      <c r="CI56" s="30"/>
      <c r="CJ56" s="30"/>
      <c r="CK56" s="30"/>
      <c r="CL56" s="20"/>
      <c r="CM56" s="20"/>
      <c r="CN56" s="20"/>
      <c r="CO56" s="20"/>
      <c r="CP56" s="20"/>
      <c r="CQ56" s="20"/>
      <c r="CR56" s="20"/>
      <c r="CS56" s="45"/>
      <c r="CT56" s="48"/>
      <c r="CU56" s="30"/>
      <c r="CV56" s="30"/>
      <c r="CW56" s="30"/>
      <c r="CX56" s="20"/>
      <c r="CY56" s="20"/>
      <c r="CZ56" s="20"/>
      <c r="DA56" s="20"/>
      <c r="DB56" s="20"/>
      <c r="DC56" s="20"/>
      <c r="DD56" s="20"/>
      <c r="DE56" s="45"/>
      <c r="DF56" s="48"/>
      <c r="DG56" s="30"/>
      <c r="DH56" s="30"/>
      <c r="DI56" s="30"/>
      <c r="DJ56" s="20"/>
      <c r="DK56" s="20"/>
      <c r="DL56" s="20"/>
      <c r="DM56" s="20"/>
      <c r="DN56" s="20"/>
      <c r="DO56" s="20"/>
      <c r="DP56" s="20"/>
      <c r="DQ56" s="45"/>
      <c r="DR56" s="48"/>
      <c r="DS56" s="20"/>
      <c r="DT56" s="20"/>
      <c r="DU56" s="20"/>
      <c r="DV56" s="20"/>
      <c r="DW56" s="20"/>
      <c r="DX56" s="20"/>
      <c r="DY56" s="20"/>
      <c r="DZ56" s="20"/>
      <c r="EA56" s="20"/>
      <c r="EB56" s="20"/>
    </row>
    <row r="57" spans="1:132" s="29" customFormat="1" ht="12.75">
      <c r="A57" s="46">
        <v>1997</v>
      </c>
      <c r="B57" s="47" t="s">
        <v>41</v>
      </c>
      <c r="C57" s="35">
        <f t="shared" si="2"/>
        <v>0.95088264886124574</v>
      </c>
      <c r="D57" s="35">
        <f t="shared" si="3"/>
        <v>0.95745072757413885</v>
      </c>
      <c r="E57" s="35">
        <f t="shared" si="4"/>
        <v>0.99314003475715718</v>
      </c>
      <c r="F57" s="20">
        <v>21866</v>
      </c>
      <c r="G57" s="20">
        <f t="shared" si="11"/>
        <v>150</v>
      </c>
      <c r="H57" s="20">
        <v>21716</v>
      </c>
      <c r="I57" s="20">
        <v>20792</v>
      </c>
      <c r="J57" s="20">
        <f t="shared" si="12"/>
        <v>924</v>
      </c>
      <c r="K57" s="20"/>
      <c r="L57" s="20"/>
      <c r="M57" s="46"/>
      <c r="N57" s="47"/>
      <c r="O57" s="30"/>
      <c r="P57" s="30"/>
      <c r="Q57" s="30"/>
      <c r="R57" s="20"/>
      <c r="S57" s="20"/>
      <c r="T57" s="20"/>
      <c r="U57" s="20"/>
      <c r="V57" s="20"/>
      <c r="W57" s="20"/>
      <c r="X57" s="20"/>
      <c r="Y57" s="46"/>
      <c r="Z57" s="47"/>
      <c r="AA57" s="30"/>
      <c r="AB57" s="30"/>
      <c r="AC57" s="30"/>
      <c r="AD57" s="20"/>
      <c r="AE57" s="20"/>
      <c r="AF57" s="20"/>
      <c r="AG57" s="20"/>
      <c r="AH57" s="20"/>
      <c r="AI57" s="20"/>
      <c r="AJ57" s="20"/>
      <c r="AK57" s="46"/>
      <c r="AL57" s="47"/>
      <c r="AM57" s="30"/>
      <c r="AN57" s="30"/>
      <c r="AO57" s="30"/>
      <c r="AP57" s="20"/>
      <c r="AQ57" s="20"/>
      <c r="AR57" s="20"/>
      <c r="AS57" s="20"/>
      <c r="AT57" s="20"/>
      <c r="AU57" s="20"/>
      <c r="AV57" s="20"/>
      <c r="AW57" s="46"/>
      <c r="AX57" s="47"/>
      <c r="AY57" s="30"/>
      <c r="AZ57" s="30"/>
      <c r="BA57" s="30"/>
      <c r="BB57" s="20"/>
      <c r="BC57" s="20"/>
      <c r="BD57" s="20"/>
      <c r="BE57" s="20"/>
      <c r="BF57" s="20"/>
      <c r="BG57" s="20"/>
      <c r="BH57" s="20"/>
      <c r="BI57" s="46"/>
      <c r="BJ57" s="47"/>
      <c r="BK57" s="30"/>
      <c r="BL57" s="30"/>
      <c r="BM57" s="30"/>
      <c r="BN57" s="20"/>
      <c r="BO57" s="20"/>
      <c r="BP57" s="20"/>
      <c r="BQ57" s="20"/>
      <c r="BR57" s="20"/>
      <c r="BS57" s="20"/>
      <c r="BT57" s="20"/>
      <c r="BU57" s="46"/>
      <c r="BV57" s="47"/>
      <c r="BW57" s="30"/>
      <c r="BX57" s="30"/>
      <c r="BY57" s="30"/>
      <c r="BZ57" s="20"/>
      <c r="CA57" s="20"/>
      <c r="CB57" s="20"/>
      <c r="CC57" s="20"/>
      <c r="CD57" s="20"/>
      <c r="CE57" s="20"/>
      <c r="CF57" s="20"/>
      <c r="CG57" s="46"/>
      <c r="CH57" s="47"/>
      <c r="CI57" s="30"/>
      <c r="CJ57" s="30"/>
      <c r="CK57" s="30"/>
      <c r="CL57" s="20"/>
      <c r="CM57" s="20"/>
      <c r="CN57" s="20"/>
      <c r="CO57" s="20"/>
      <c r="CP57" s="20"/>
      <c r="CQ57" s="20"/>
      <c r="CR57" s="20"/>
      <c r="CS57" s="46"/>
      <c r="CT57" s="47"/>
      <c r="CU57" s="30"/>
      <c r="CV57" s="30"/>
      <c r="CW57" s="30"/>
      <c r="CX57" s="20"/>
      <c r="CY57" s="20"/>
      <c r="CZ57" s="20"/>
      <c r="DA57" s="20"/>
      <c r="DB57" s="20"/>
      <c r="DC57" s="20"/>
      <c r="DD57" s="20"/>
      <c r="DE57" s="46"/>
      <c r="DF57" s="47"/>
      <c r="DG57" s="30"/>
      <c r="DH57" s="30"/>
      <c r="DI57" s="30"/>
      <c r="DJ57" s="20"/>
      <c r="DK57" s="20"/>
      <c r="DL57" s="20"/>
      <c r="DM57" s="20"/>
      <c r="DN57" s="20"/>
      <c r="DO57" s="20"/>
      <c r="DP57" s="20"/>
      <c r="DQ57" s="46"/>
      <c r="DR57" s="47"/>
      <c r="DS57" s="20"/>
      <c r="DT57" s="20"/>
      <c r="DU57" s="20"/>
      <c r="DV57" s="20"/>
      <c r="DW57" s="20"/>
      <c r="DX57" s="20"/>
      <c r="DY57" s="20"/>
      <c r="DZ57" s="20"/>
      <c r="EA57" s="20"/>
      <c r="EB57" s="20"/>
    </row>
    <row r="58" spans="1:132" s="29" customFormat="1" ht="12.75">
      <c r="A58" s="45">
        <v>1997</v>
      </c>
      <c r="B58" s="48" t="s">
        <v>42</v>
      </c>
      <c r="C58" s="35">
        <f t="shared" si="2"/>
        <v>0.94810361195244341</v>
      </c>
      <c r="D58" s="35">
        <f t="shared" si="3"/>
        <v>0.95684109676536333</v>
      </c>
      <c r="E58" s="35">
        <f t="shared" si="4"/>
        <v>0.99086840558745082</v>
      </c>
      <c r="F58" s="20">
        <v>22121</v>
      </c>
      <c r="G58" s="20">
        <f t="shared" si="11"/>
        <v>202</v>
      </c>
      <c r="H58" s="20">
        <v>21919</v>
      </c>
      <c r="I58" s="20">
        <v>20973</v>
      </c>
      <c r="J58" s="20">
        <f t="shared" si="12"/>
        <v>946</v>
      </c>
      <c r="K58" s="20"/>
      <c r="L58" s="20"/>
      <c r="M58" s="45"/>
      <c r="N58" s="48"/>
      <c r="O58" s="30"/>
      <c r="P58" s="30"/>
      <c r="Q58" s="30"/>
      <c r="R58" s="20"/>
      <c r="S58" s="20"/>
      <c r="T58" s="20"/>
      <c r="U58" s="20"/>
      <c r="V58" s="20"/>
      <c r="W58" s="20"/>
      <c r="X58" s="20"/>
      <c r="Y58" s="45"/>
      <c r="Z58" s="48"/>
      <c r="AA58" s="30"/>
      <c r="AB58" s="30"/>
      <c r="AC58" s="30"/>
      <c r="AD58" s="20"/>
      <c r="AE58" s="20"/>
      <c r="AF58" s="20"/>
      <c r="AG58" s="20"/>
      <c r="AH58" s="20"/>
      <c r="AI58" s="20"/>
      <c r="AJ58" s="20"/>
      <c r="AK58" s="45"/>
      <c r="AL58" s="48"/>
      <c r="AM58" s="30"/>
      <c r="AN58" s="30"/>
      <c r="AO58" s="30"/>
      <c r="AP58" s="20"/>
      <c r="AQ58" s="20"/>
      <c r="AR58" s="20"/>
      <c r="AS58" s="20"/>
      <c r="AT58" s="20"/>
      <c r="AU58" s="20"/>
      <c r="AV58" s="20"/>
      <c r="AW58" s="45"/>
      <c r="AX58" s="48"/>
      <c r="AY58" s="30"/>
      <c r="AZ58" s="30"/>
      <c r="BA58" s="30"/>
      <c r="BB58" s="20"/>
      <c r="BC58" s="20"/>
      <c r="BD58" s="20"/>
      <c r="BE58" s="20"/>
      <c r="BF58" s="20"/>
      <c r="BG58" s="20"/>
      <c r="BH58" s="20"/>
      <c r="BI58" s="45"/>
      <c r="BJ58" s="48"/>
      <c r="BK58" s="30"/>
      <c r="BL58" s="30"/>
      <c r="BM58" s="30"/>
      <c r="BN58" s="20"/>
      <c r="BO58" s="20"/>
      <c r="BP58" s="20"/>
      <c r="BQ58" s="20"/>
      <c r="BR58" s="20"/>
      <c r="BS58" s="20"/>
      <c r="BT58" s="20"/>
      <c r="BU58" s="45"/>
      <c r="BV58" s="48"/>
      <c r="BW58" s="30"/>
      <c r="BX58" s="30"/>
      <c r="BY58" s="30"/>
      <c r="BZ58" s="20"/>
      <c r="CA58" s="20"/>
      <c r="CB58" s="20"/>
      <c r="CC58" s="20"/>
      <c r="CD58" s="20"/>
      <c r="CE58" s="20"/>
      <c r="CF58" s="20"/>
      <c r="CG58" s="45"/>
      <c r="CH58" s="48"/>
      <c r="CI58" s="30"/>
      <c r="CJ58" s="30"/>
      <c r="CK58" s="30"/>
      <c r="CL58" s="20"/>
      <c r="CM58" s="20"/>
      <c r="CN58" s="20"/>
      <c r="CO58" s="20"/>
      <c r="CP58" s="20"/>
      <c r="CQ58" s="20"/>
      <c r="CR58" s="20"/>
      <c r="CS58" s="45"/>
      <c r="CT58" s="48"/>
      <c r="CU58" s="30"/>
      <c r="CV58" s="30"/>
      <c r="CW58" s="30"/>
      <c r="CX58" s="20"/>
      <c r="CY58" s="20"/>
      <c r="CZ58" s="20"/>
      <c r="DA58" s="20"/>
      <c r="DB58" s="20"/>
      <c r="DC58" s="20"/>
      <c r="DD58" s="20"/>
      <c r="DE58" s="45"/>
      <c r="DF58" s="48"/>
      <c r="DG58" s="30"/>
      <c r="DH58" s="30"/>
      <c r="DI58" s="30"/>
      <c r="DJ58" s="20"/>
      <c r="DK58" s="20"/>
      <c r="DL58" s="20"/>
      <c r="DM58" s="20"/>
      <c r="DN58" s="20"/>
      <c r="DO58" s="20"/>
      <c r="DP58" s="20"/>
      <c r="DQ58" s="45"/>
      <c r="DR58" s="48"/>
      <c r="DS58" s="20"/>
      <c r="DT58" s="20"/>
      <c r="DU58" s="20"/>
      <c r="DV58" s="20"/>
      <c r="DW58" s="20"/>
      <c r="DX58" s="20"/>
      <c r="DY58" s="20"/>
      <c r="DZ58" s="20"/>
      <c r="EA58" s="20"/>
      <c r="EB58" s="20"/>
    </row>
    <row r="59" spans="1:132" s="29" customFormat="1" ht="12.75">
      <c r="A59" s="46">
        <v>1997</v>
      </c>
      <c r="B59" s="47" t="s">
        <v>43</v>
      </c>
      <c r="C59" s="35">
        <f t="shared" si="2"/>
        <v>0.95685894328647603</v>
      </c>
      <c r="D59" s="35">
        <f t="shared" si="3"/>
        <v>0.96273897776043704</v>
      </c>
      <c r="E59" s="35">
        <f t="shared" si="4"/>
        <v>0.99389238972370331</v>
      </c>
      <c r="F59" s="20">
        <v>20630</v>
      </c>
      <c r="G59" s="20">
        <f t="shared" si="11"/>
        <v>126</v>
      </c>
      <c r="H59" s="20">
        <v>20504</v>
      </c>
      <c r="I59" s="20">
        <v>19740</v>
      </c>
      <c r="J59" s="20">
        <f t="shared" si="12"/>
        <v>764</v>
      </c>
      <c r="K59" s="20"/>
      <c r="L59" s="20"/>
      <c r="M59" s="46"/>
      <c r="N59" s="47"/>
      <c r="O59" s="30"/>
      <c r="P59" s="30"/>
      <c r="Q59" s="30"/>
      <c r="R59" s="20"/>
      <c r="S59" s="20"/>
      <c r="T59" s="20"/>
      <c r="U59" s="20"/>
      <c r="V59" s="20"/>
      <c r="W59" s="20"/>
      <c r="X59" s="20"/>
      <c r="Y59" s="46"/>
      <c r="Z59" s="47"/>
      <c r="AA59" s="30"/>
      <c r="AB59" s="30"/>
      <c r="AC59" s="30"/>
      <c r="AD59" s="20"/>
      <c r="AE59" s="20"/>
      <c r="AF59" s="20"/>
      <c r="AG59" s="20"/>
      <c r="AH59" s="20"/>
      <c r="AI59" s="20"/>
      <c r="AJ59" s="20"/>
      <c r="AK59" s="46"/>
      <c r="AL59" s="47"/>
      <c r="AM59" s="30"/>
      <c r="AN59" s="30"/>
      <c r="AO59" s="30"/>
      <c r="AP59" s="20"/>
      <c r="AQ59" s="20"/>
      <c r="AR59" s="20"/>
      <c r="AS59" s="20"/>
      <c r="AT59" s="20"/>
      <c r="AU59" s="20"/>
      <c r="AV59" s="20"/>
      <c r="AW59" s="46"/>
      <c r="AX59" s="47"/>
      <c r="AY59" s="30"/>
      <c r="AZ59" s="30"/>
      <c r="BA59" s="30"/>
      <c r="BB59" s="20"/>
      <c r="BC59" s="20"/>
      <c r="BD59" s="20"/>
      <c r="BE59" s="20"/>
      <c r="BF59" s="20"/>
      <c r="BG59" s="20"/>
      <c r="BH59" s="20"/>
      <c r="BI59" s="46"/>
      <c r="BJ59" s="47"/>
      <c r="BK59" s="30"/>
      <c r="BL59" s="30"/>
      <c r="BM59" s="30"/>
      <c r="BN59" s="20"/>
      <c r="BO59" s="20"/>
      <c r="BP59" s="20"/>
      <c r="BQ59" s="20"/>
      <c r="BR59" s="20"/>
      <c r="BS59" s="20"/>
      <c r="BT59" s="20"/>
      <c r="BU59" s="46"/>
      <c r="BV59" s="47"/>
      <c r="BW59" s="30"/>
      <c r="BX59" s="30"/>
      <c r="BY59" s="30"/>
      <c r="BZ59" s="20"/>
      <c r="CA59" s="20"/>
      <c r="CB59" s="20"/>
      <c r="CC59" s="20"/>
      <c r="CD59" s="20"/>
      <c r="CE59" s="20"/>
      <c r="CF59" s="20"/>
      <c r="CG59" s="46"/>
      <c r="CH59" s="47"/>
      <c r="CI59" s="30"/>
      <c r="CJ59" s="30"/>
      <c r="CK59" s="30"/>
      <c r="CL59" s="20"/>
      <c r="CM59" s="20"/>
      <c r="CN59" s="20"/>
      <c r="CO59" s="20"/>
      <c r="CP59" s="20"/>
      <c r="CQ59" s="20"/>
      <c r="CR59" s="20"/>
      <c r="CS59" s="46"/>
      <c r="CT59" s="47"/>
      <c r="CU59" s="30"/>
      <c r="CV59" s="30"/>
      <c r="CW59" s="30"/>
      <c r="CX59" s="20"/>
      <c r="CY59" s="20"/>
      <c r="CZ59" s="20"/>
      <c r="DA59" s="20"/>
      <c r="DB59" s="20"/>
      <c r="DC59" s="20"/>
      <c r="DD59" s="20"/>
      <c r="DE59" s="46"/>
      <c r="DF59" s="47"/>
      <c r="DG59" s="30"/>
      <c r="DH59" s="30"/>
      <c r="DI59" s="30"/>
      <c r="DJ59" s="20"/>
      <c r="DK59" s="20"/>
      <c r="DL59" s="20"/>
      <c r="DM59" s="20"/>
      <c r="DN59" s="20"/>
      <c r="DO59" s="20"/>
      <c r="DP59" s="20"/>
      <c r="DQ59" s="46"/>
      <c r="DR59" s="47"/>
      <c r="DS59" s="20"/>
      <c r="DT59" s="20"/>
      <c r="DU59" s="20"/>
      <c r="DV59" s="20"/>
      <c r="DW59" s="20"/>
      <c r="DX59" s="20"/>
      <c r="DY59" s="20"/>
      <c r="DZ59" s="20"/>
      <c r="EA59" s="20"/>
      <c r="EB59" s="20"/>
    </row>
    <row r="60" spans="1:132" s="29" customFormat="1" ht="12.75">
      <c r="A60" s="45">
        <v>1997</v>
      </c>
      <c r="B60" s="48" t="s">
        <v>44</v>
      </c>
      <c r="C60" s="35">
        <f t="shared" si="2"/>
        <v>0.96425249169435212</v>
      </c>
      <c r="D60" s="35">
        <f t="shared" si="3"/>
        <v>0.96798292422625398</v>
      </c>
      <c r="E60" s="35">
        <f t="shared" si="4"/>
        <v>0.99614617940199335</v>
      </c>
      <c r="F60" s="20">
        <v>22575</v>
      </c>
      <c r="G60" s="20">
        <f t="shared" si="11"/>
        <v>87</v>
      </c>
      <c r="H60" s="20">
        <v>22488</v>
      </c>
      <c r="I60" s="20">
        <v>21768</v>
      </c>
      <c r="J60" s="20">
        <f t="shared" si="12"/>
        <v>720</v>
      </c>
      <c r="K60" s="20"/>
      <c r="L60" s="20"/>
      <c r="M60" s="45"/>
      <c r="N60" s="48"/>
      <c r="O60" s="30"/>
      <c r="P60" s="30"/>
      <c r="Q60" s="30"/>
      <c r="R60" s="20"/>
      <c r="S60" s="20"/>
      <c r="T60" s="20"/>
      <c r="U60" s="20"/>
      <c r="V60" s="20"/>
      <c r="W60" s="20"/>
      <c r="X60" s="20"/>
      <c r="Y60" s="45"/>
      <c r="Z60" s="48"/>
      <c r="AA60" s="30"/>
      <c r="AB60" s="30"/>
      <c r="AC60" s="30"/>
      <c r="AD60" s="20"/>
      <c r="AE60" s="20"/>
      <c r="AF60" s="20"/>
      <c r="AG60" s="20"/>
      <c r="AH60" s="20"/>
      <c r="AI60" s="20"/>
      <c r="AJ60" s="20"/>
      <c r="AK60" s="45"/>
      <c r="AL60" s="48"/>
      <c r="AM60" s="30"/>
      <c r="AN60" s="30"/>
      <c r="AO60" s="30"/>
      <c r="AP60" s="20"/>
      <c r="AQ60" s="20"/>
      <c r="AR60" s="20"/>
      <c r="AS60" s="20"/>
      <c r="AT60" s="20"/>
      <c r="AU60" s="20"/>
      <c r="AV60" s="20"/>
      <c r="AW60" s="45"/>
      <c r="AX60" s="48"/>
      <c r="AY60" s="30"/>
      <c r="AZ60" s="30"/>
      <c r="BA60" s="30"/>
      <c r="BB60" s="20"/>
      <c r="BC60" s="20"/>
      <c r="BD60" s="20"/>
      <c r="BE60" s="20"/>
      <c r="BF60" s="20"/>
      <c r="BG60" s="20"/>
      <c r="BH60" s="20"/>
      <c r="BI60" s="45"/>
      <c r="BJ60" s="48"/>
      <c r="BK60" s="30"/>
      <c r="BL60" s="30"/>
      <c r="BM60" s="30"/>
      <c r="BN60" s="20"/>
      <c r="BO60" s="20"/>
      <c r="BP60" s="20"/>
      <c r="BQ60" s="20"/>
      <c r="BR60" s="20"/>
      <c r="BS60" s="20"/>
      <c r="BT60" s="20"/>
      <c r="BU60" s="45"/>
      <c r="BV60" s="48"/>
      <c r="BW60" s="30"/>
      <c r="BX60" s="30"/>
      <c r="BY60" s="30"/>
      <c r="BZ60" s="20"/>
      <c r="CA60" s="20"/>
      <c r="CB60" s="20"/>
      <c r="CC60" s="20"/>
      <c r="CD60" s="20"/>
      <c r="CE60" s="20"/>
      <c r="CF60" s="20"/>
      <c r="CG60" s="45"/>
      <c r="CH60" s="48"/>
      <c r="CI60" s="30"/>
      <c r="CJ60" s="30"/>
      <c r="CK60" s="30"/>
      <c r="CL60" s="20"/>
      <c r="CM60" s="20"/>
      <c r="CN60" s="20"/>
      <c r="CO60" s="20"/>
      <c r="CP60" s="20"/>
      <c r="CQ60" s="20"/>
      <c r="CR60" s="20"/>
      <c r="CS60" s="45"/>
      <c r="CT60" s="48"/>
      <c r="CU60" s="30"/>
      <c r="CV60" s="30"/>
      <c r="CW60" s="30"/>
      <c r="CX60" s="20"/>
      <c r="CY60" s="20"/>
      <c r="CZ60" s="20"/>
      <c r="DA60" s="20"/>
      <c r="DB60" s="20"/>
      <c r="DC60" s="20"/>
      <c r="DD60" s="20"/>
      <c r="DE60" s="45"/>
      <c r="DF60" s="48"/>
      <c r="DG60" s="30"/>
      <c r="DH60" s="30"/>
      <c r="DI60" s="30"/>
      <c r="DJ60" s="20"/>
      <c r="DK60" s="20"/>
      <c r="DL60" s="20"/>
      <c r="DM60" s="20"/>
      <c r="DN60" s="20"/>
      <c r="DO60" s="20"/>
      <c r="DP60" s="20"/>
      <c r="DQ60" s="45"/>
      <c r="DR60" s="48"/>
      <c r="DS60" s="20"/>
      <c r="DT60" s="20"/>
      <c r="DU60" s="20"/>
      <c r="DV60" s="20"/>
      <c r="DW60" s="20"/>
      <c r="DX60" s="20"/>
      <c r="DY60" s="20"/>
      <c r="DZ60" s="20"/>
      <c r="EA60" s="20"/>
      <c r="EB60" s="20"/>
    </row>
    <row r="61" spans="1:132" s="29" customFormat="1" ht="12.75">
      <c r="A61" s="46">
        <v>1997</v>
      </c>
      <c r="B61" s="47" t="s">
        <v>45</v>
      </c>
      <c r="C61" s="35">
        <f t="shared" si="2"/>
        <v>0.96230538104343077</v>
      </c>
      <c r="D61" s="35">
        <f t="shared" si="3"/>
        <v>0.98042671614100185</v>
      </c>
      <c r="E61" s="35">
        <f t="shared" si="4"/>
        <v>0.98151688973868711</v>
      </c>
      <c r="F61" s="20">
        <v>21966</v>
      </c>
      <c r="G61" s="20">
        <f t="shared" si="11"/>
        <v>406</v>
      </c>
      <c r="H61" s="20">
        <v>21560</v>
      </c>
      <c r="I61" s="20">
        <v>21138</v>
      </c>
      <c r="J61" s="20">
        <f t="shared" si="12"/>
        <v>422</v>
      </c>
      <c r="K61" s="20"/>
      <c r="L61" s="20"/>
      <c r="M61" s="46"/>
      <c r="N61" s="47"/>
      <c r="O61" s="30"/>
      <c r="P61" s="30"/>
      <c r="Q61" s="30"/>
      <c r="R61" s="20"/>
      <c r="S61" s="20"/>
      <c r="T61" s="20"/>
      <c r="U61" s="20"/>
      <c r="V61" s="20"/>
      <c r="W61" s="20"/>
      <c r="X61" s="20"/>
      <c r="Y61" s="46"/>
      <c r="Z61" s="47"/>
      <c r="AA61" s="30"/>
      <c r="AB61" s="30"/>
      <c r="AC61" s="30"/>
      <c r="AD61" s="20"/>
      <c r="AE61" s="20"/>
      <c r="AF61" s="20"/>
      <c r="AG61" s="20"/>
      <c r="AH61" s="20"/>
      <c r="AI61" s="20"/>
      <c r="AJ61" s="20"/>
      <c r="AK61" s="46"/>
      <c r="AL61" s="47"/>
      <c r="AM61" s="30"/>
      <c r="AN61" s="30"/>
      <c r="AO61" s="30"/>
      <c r="AP61" s="20"/>
      <c r="AQ61" s="20"/>
      <c r="AR61" s="20"/>
      <c r="AS61" s="20"/>
      <c r="AT61" s="20"/>
      <c r="AU61" s="20"/>
      <c r="AV61" s="20"/>
      <c r="AW61" s="46"/>
      <c r="AX61" s="47"/>
      <c r="AY61" s="30"/>
      <c r="AZ61" s="30"/>
      <c r="BA61" s="30"/>
      <c r="BB61" s="20"/>
      <c r="BC61" s="20"/>
      <c r="BD61" s="20"/>
      <c r="BE61" s="20"/>
      <c r="BF61" s="20"/>
      <c r="BG61" s="20"/>
      <c r="BH61" s="20"/>
      <c r="BI61" s="46"/>
      <c r="BJ61" s="47"/>
      <c r="BK61" s="30"/>
      <c r="BL61" s="30"/>
      <c r="BM61" s="30"/>
      <c r="BN61" s="20"/>
      <c r="BO61" s="20"/>
      <c r="BP61" s="20"/>
      <c r="BQ61" s="20"/>
      <c r="BR61" s="20"/>
      <c r="BS61" s="20"/>
      <c r="BT61" s="20"/>
      <c r="BU61" s="46"/>
      <c r="BV61" s="47"/>
      <c r="BW61" s="30"/>
      <c r="BX61" s="30"/>
      <c r="BY61" s="30"/>
      <c r="BZ61" s="20"/>
      <c r="CA61" s="20"/>
      <c r="CB61" s="20"/>
      <c r="CC61" s="20"/>
      <c r="CD61" s="20"/>
      <c r="CE61" s="20"/>
      <c r="CF61" s="20"/>
      <c r="CG61" s="46"/>
      <c r="CH61" s="47"/>
      <c r="CI61" s="30"/>
      <c r="CJ61" s="30"/>
      <c r="CK61" s="30"/>
      <c r="CL61" s="20"/>
      <c r="CM61" s="20"/>
      <c r="CN61" s="20"/>
      <c r="CO61" s="20"/>
      <c r="CP61" s="20"/>
      <c r="CQ61" s="20"/>
      <c r="CR61" s="20"/>
      <c r="CS61" s="46"/>
      <c r="CT61" s="47"/>
      <c r="CU61" s="30"/>
      <c r="CV61" s="30"/>
      <c r="CW61" s="30"/>
      <c r="CX61" s="20"/>
      <c r="CY61" s="20"/>
      <c r="CZ61" s="20"/>
      <c r="DA61" s="20"/>
      <c r="DB61" s="20"/>
      <c r="DC61" s="20"/>
      <c r="DD61" s="20"/>
      <c r="DE61" s="46"/>
      <c r="DF61" s="47"/>
      <c r="DG61" s="30"/>
      <c r="DH61" s="30"/>
      <c r="DI61" s="30"/>
      <c r="DJ61" s="20"/>
      <c r="DK61" s="20"/>
      <c r="DL61" s="20"/>
      <c r="DM61" s="20"/>
      <c r="DN61" s="20"/>
      <c r="DO61" s="20"/>
      <c r="DP61" s="20"/>
      <c r="DQ61" s="46"/>
      <c r="DR61" s="47"/>
      <c r="DS61" s="20"/>
      <c r="DT61" s="20"/>
      <c r="DU61" s="20"/>
      <c r="DV61" s="20"/>
      <c r="DW61" s="20"/>
      <c r="DX61" s="20"/>
      <c r="DY61" s="20"/>
      <c r="DZ61" s="20"/>
      <c r="EA61" s="20"/>
      <c r="EB61" s="20"/>
    </row>
    <row r="62" spans="1:132" s="29" customFormat="1" ht="12.75">
      <c r="A62" s="45">
        <v>1997</v>
      </c>
      <c r="B62" s="48" t="s">
        <v>46</v>
      </c>
      <c r="C62" s="35">
        <f t="shared" si="2"/>
        <v>0.96641656120050623</v>
      </c>
      <c r="D62" s="35">
        <f t="shared" si="3"/>
        <v>0.97509919277602952</v>
      </c>
      <c r="E62" s="35">
        <f t="shared" si="4"/>
        <v>0.99109564274091488</v>
      </c>
      <c r="F62" s="20">
        <v>22124</v>
      </c>
      <c r="G62" s="20">
        <f t="shared" si="11"/>
        <v>197</v>
      </c>
      <c r="H62" s="20">
        <v>21927</v>
      </c>
      <c r="I62" s="20">
        <v>21381</v>
      </c>
      <c r="J62" s="20">
        <f t="shared" si="12"/>
        <v>546</v>
      </c>
      <c r="K62" s="20"/>
      <c r="L62" s="20"/>
      <c r="M62" s="45"/>
      <c r="N62" s="48"/>
      <c r="O62" s="30"/>
      <c r="P62" s="30"/>
      <c r="Q62" s="30"/>
      <c r="R62" s="20"/>
      <c r="S62" s="20"/>
      <c r="T62" s="20"/>
      <c r="U62" s="20"/>
      <c r="V62" s="20"/>
      <c r="W62" s="20"/>
      <c r="X62" s="20"/>
      <c r="Y62" s="45"/>
      <c r="Z62" s="48"/>
      <c r="AA62" s="30"/>
      <c r="AB62" s="30"/>
      <c r="AC62" s="30"/>
      <c r="AD62" s="20"/>
      <c r="AE62" s="20"/>
      <c r="AF62" s="20"/>
      <c r="AG62" s="20"/>
      <c r="AH62" s="20"/>
      <c r="AI62" s="20"/>
      <c r="AJ62" s="20"/>
      <c r="AK62" s="45"/>
      <c r="AL62" s="48"/>
      <c r="AM62" s="30"/>
      <c r="AN62" s="30"/>
      <c r="AO62" s="30"/>
      <c r="AP62" s="20"/>
      <c r="AQ62" s="20"/>
      <c r="AR62" s="20"/>
      <c r="AS62" s="20"/>
      <c r="AT62" s="20"/>
      <c r="AU62" s="20"/>
      <c r="AV62" s="20"/>
      <c r="AW62" s="45"/>
      <c r="AX62" s="48"/>
      <c r="AY62" s="30"/>
      <c r="AZ62" s="30"/>
      <c r="BA62" s="30"/>
      <c r="BB62" s="20"/>
      <c r="BC62" s="20"/>
      <c r="BD62" s="20"/>
      <c r="BE62" s="20"/>
      <c r="BF62" s="20"/>
      <c r="BG62" s="20"/>
      <c r="BH62" s="20"/>
      <c r="BI62" s="45"/>
      <c r="BJ62" s="48"/>
      <c r="BK62" s="30"/>
      <c r="BL62" s="30"/>
      <c r="BM62" s="30"/>
      <c r="BN62" s="20"/>
      <c r="BO62" s="20"/>
      <c r="BP62" s="20"/>
      <c r="BQ62" s="20"/>
      <c r="BR62" s="20"/>
      <c r="BS62" s="20"/>
      <c r="BT62" s="20"/>
      <c r="BU62" s="45"/>
      <c r="BV62" s="48"/>
      <c r="BW62" s="30"/>
      <c r="BX62" s="30"/>
      <c r="BY62" s="30"/>
      <c r="BZ62" s="20"/>
      <c r="CA62" s="20"/>
      <c r="CB62" s="20"/>
      <c r="CC62" s="20"/>
      <c r="CD62" s="20"/>
      <c r="CE62" s="20"/>
      <c r="CF62" s="20"/>
      <c r="CG62" s="45"/>
      <c r="CH62" s="48"/>
      <c r="CI62" s="30"/>
      <c r="CJ62" s="30"/>
      <c r="CK62" s="30"/>
      <c r="CL62" s="20"/>
      <c r="CM62" s="20"/>
      <c r="CN62" s="20"/>
      <c r="CO62" s="20"/>
      <c r="CP62" s="20"/>
      <c r="CQ62" s="20"/>
      <c r="CR62" s="20"/>
      <c r="CS62" s="45"/>
      <c r="CT62" s="48"/>
      <c r="CU62" s="30"/>
      <c r="CV62" s="30"/>
      <c r="CW62" s="30"/>
      <c r="CX62" s="20"/>
      <c r="CY62" s="20"/>
      <c r="CZ62" s="20"/>
      <c r="DA62" s="20"/>
      <c r="DB62" s="20"/>
      <c r="DC62" s="20"/>
      <c r="DD62" s="20"/>
      <c r="DE62" s="45"/>
      <c r="DF62" s="48"/>
      <c r="DG62" s="30"/>
      <c r="DH62" s="30"/>
      <c r="DI62" s="30"/>
      <c r="DJ62" s="20"/>
      <c r="DK62" s="20"/>
      <c r="DL62" s="20"/>
      <c r="DM62" s="20"/>
      <c r="DN62" s="20"/>
      <c r="DO62" s="20"/>
      <c r="DP62" s="20"/>
      <c r="DQ62" s="45"/>
      <c r="DR62" s="48"/>
      <c r="DS62" s="20"/>
      <c r="DT62" s="20"/>
      <c r="DU62" s="20"/>
      <c r="DV62" s="20"/>
      <c r="DW62" s="20"/>
      <c r="DX62" s="20"/>
      <c r="DY62" s="20"/>
      <c r="DZ62" s="20"/>
      <c r="EA62" s="20"/>
      <c r="EB62" s="20"/>
    </row>
    <row r="63" spans="1:132" s="29" customFormat="1" ht="12.75">
      <c r="A63" s="46">
        <v>1997</v>
      </c>
      <c r="B63" s="47" t="s">
        <v>47</v>
      </c>
      <c r="C63" s="35">
        <f t="shared" si="2"/>
        <v>0.96849261341351811</v>
      </c>
      <c r="D63" s="35">
        <f t="shared" si="3"/>
        <v>0.97285939415163725</v>
      </c>
      <c r="E63" s="35">
        <f t="shared" si="4"/>
        <v>0.99551139582516235</v>
      </c>
      <c r="F63" s="20">
        <v>22947</v>
      </c>
      <c r="G63" s="20">
        <f t="shared" si="11"/>
        <v>103</v>
      </c>
      <c r="H63" s="20">
        <v>22844</v>
      </c>
      <c r="I63" s="20">
        <v>22224</v>
      </c>
      <c r="J63" s="20">
        <f t="shared" si="12"/>
        <v>620</v>
      </c>
      <c r="K63" s="20"/>
      <c r="L63" s="20"/>
      <c r="M63" s="46"/>
      <c r="N63" s="47"/>
      <c r="O63" s="30"/>
      <c r="P63" s="30"/>
      <c r="Q63" s="30"/>
      <c r="R63" s="20"/>
      <c r="S63" s="20"/>
      <c r="T63" s="20"/>
      <c r="U63" s="20"/>
      <c r="V63" s="20"/>
      <c r="W63" s="20"/>
      <c r="X63" s="20"/>
      <c r="Y63" s="46"/>
      <c r="Z63" s="47"/>
      <c r="AA63" s="30"/>
      <c r="AB63" s="30"/>
      <c r="AC63" s="30"/>
      <c r="AD63" s="20"/>
      <c r="AE63" s="20"/>
      <c r="AF63" s="20"/>
      <c r="AG63" s="20"/>
      <c r="AH63" s="20"/>
      <c r="AI63" s="20"/>
      <c r="AJ63" s="20"/>
      <c r="AK63" s="46"/>
      <c r="AL63" s="47"/>
      <c r="AM63" s="30"/>
      <c r="AN63" s="30"/>
      <c r="AO63" s="30"/>
      <c r="AP63" s="20"/>
      <c r="AQ63" s="20"/>
      <c r="AR63" s="20"/>
      <c r="AS63" s="20"/>
      <c r="AT63" s="20"/>
      <c r="AU63" s="20"/>
      <c r="AV63" s="20"/>
      <c r="AW63" s="46"/>
      <c r="AX63" s="47"/>
      <c r="AY63" s="30"/>
      <c r="AZ63" s="30"/>
      <c r="BA63" s="30"/>
      <c r="BB63" s="20"/>
      <c r="BC63" s="20"/>
      <c r="BD63" s="20"/>
      <c r="BE63" s="20"/>
      <c r="BF63" s="20"/>
      <c r="BG63" s="20"/>
      <c r="BH63" s="20"/>
      <c r="BI63" s="46"/>
      <c r="BJ63" s="47"/>
      <c r="BK63" s="30"/>
      <c r="BL63" s="30"/>
      <c r="BM63" s="30"/>
      <c r="BN63" s="20"/>
      <c r="BO63" s="20"/>
      <c r="BP63" s="20"/>
      <c r="BQ63" s="20"/>
      <c r="BR63" s="20"/>
      <c r="BS63" s="20"/>
      <c r="BT63" s="20"/>
      <c r="BU63" s="46"/>
      <c r="BV63" s="47"/>
      <c r="BW63" s="30"/>
      <c r="BX63" s="30"/>
      <c r="BY63" s="30"/>
      <c r="BZ63" s="20"/>
      <c r="CA63" s="20"/>
      <c r="CB63" s="20"/>
      <c r="CC63" s="20"/>
      <c r="CD63" s="20"/>
      <c r="CE63" s="20"/>
      <c r="CF63" s="20"/>
      <c r="CG63" s="46"/>
      <c r="CH63" s="47"/>
      <c r="CI63" s="30"/>
      <c r="CJ63" s="30"/>
      <c r="CK63" s="30"/>
      <c r="CL63" s="20"/>
      <c r="CM63" s="20"/>
      <c r="CN63" s="20"/>
      <c r="CO63" s="20"/>
      <c r="CP63" s="20"/>
      <c r="CQ63" s="20"/>
      <c r="CR63" s="20"/>
      <c r="CS63" s="46"/>
      <c r="CT63" s="47"/>
      <c r="CU63" s="30"/>
      <c r="CV63" s="30"/>
      <c r="CW63" s="30"/>
      <c r="CX63" s="20"/>
      <c r="CY63" s="20"/>
      <c r="CZ63" s="20"/>
      <c r="DA63" s="20"/>
      <c r="DB63" s="20"/>
      <c r="DC63" s="20"/>
      <c r="DD63" s="20"/>
      <c r="DE63" s="46"/>
      <c r="DF63" s="47"/>
      <c r="DG63" s="30"/>
      <c r="DH63" s="30"/>
      <c r="DI63" s="30"/>
      <c r="DJ63" s="20"/>
      <c r="DK63" s="20"/>
      <c r="DL63" s="20"/>
      <c r="DM63" s="20"/>
      <c r="DN63" s="20"/>
      <c r="DO63" s="20"/>
      <c r="DP63" s="20"/>
      <c r="DQ63" s="46"/>
      <c r="DR63" s="47"/>
      <c r="DS63" s="20"/>
      <c r="DT63" s="20"/>
      <c r="DU63" s="20"/>
      <c r="DV63" s="20"/>
      <c r="DW63" s="20"/>
      <c r="DX63" s="20"/>
      <c r="DY63" s="20"/>
      <c r="DZ63" s="20"/>
      <c r="EA63" s="20"/>
      <c r="EB63" s="20"/>
    </row>
    <row r="64" spans="1:132" s="29" customFormat="1" ht="12.75">
      <c r="A64" s="45">
        <v>1997</v>
      </c>
      <c r="B64" s="48" t="s">
        <v>48</v>
      </c>
      <c r="C64" s="35">
        <f t="shared" si="2"/>
        <v>0.95339120746483452</v>
      </c>
      <c r="D64" s="35">
        <f t="shared" si="3"/>
        <v>0.96463128229215589</v>
      </c>
      <c r="E64" s="35">
        <f t="shared" si="4"/>
        <v>0.98834780186620863</v>
      </c>
      <c r="F64" s="20">
        <v>21541</v>
      </c>
      <c r="G64" s="20">
        <f t="shared" si="11"/>
        <v>251</v>
      </c>
      <c r="H64" s="20">
        <v>21290</v>
      </c>
      <c r="I64" s="20">
        <v>20537</v>
      </c>
      <c r="J64" s="20">
        <f t="shared" si="12"/>
        <v>753</v>
      </c>
      <c r="K64" s="20"/>
      <c r="L64" s="20"/>
      <c r="M64" s="45"/>
      <c r="N64" s="48"/>
      <c r="O64" s="30"/>
      <c r="P64" s="30"/>
      <c r="Q64" s="30"/>
      <c r="R64" s="20"/>
      <c r="S64" s="20"/>
      <c r="T64" s="20"/>
      <c r="U64" s="20"/>
      <c r="V64" s="20"/>
      <c r="W64" s="20"/>
      <c r="X64" s="20"/>
      <c r="Y64" s="45"/>
      <c r="Z64" s="48"/>
      <c r="AA64" s="30"/>
      <c r="AB64" s="30"/>
      <c r="AC64" s="30"/>
      <c r="AD64" s="20"/>
      <c r="AE64" s="20"/>
      <c r="AF64" s="20"/>
      <c r="AG64" s="20"/>
      <c r="AH64" s="20"/>
      <c r="AI64" s="20"/>
      <c r="AJ64" s="20"/>
      <c r="AK64" s="45"/>
      <c r="AL64" s="48"/>
      <c r="AM64" s="30"/>
      <c r="AN64" s="30"/>
      <c r="AO64" s="30"/>
      <c r="AP64" s="20"/>
      <c r="AQ64" s="20"/>
      <c r="AR64" s="20"/>
      <c r="AS64" s="20"/>
      <c r="AT64" s="20"/>
      <c r="AU64" s="20"/>
      <c r="AV64" s="20"/>
      <c r="AW64" s="45"/>
      <c r="AX64" s="48"/>
      <c r="AY64" s="30"/>
      <c r="AZ64" s="30"/>
      <c r="BA64" s="30"/>
      <c r="BB64" s="20"/>
      <c r="BC64" s="20"/>
      <c r="BD64" s="20"/>
      <c r="BE64" s="20"/>
      <c r="BF64" s="20"/>
      <c r="BG64" s="20"/>
      <c r="BH64" s="20"/>
      <c r="BI64" s="45"/>
      <c r="BJ64" s="48"/>
      <c r="BK64" s="30"/>
      <c r="BL64" s="30"/>
      <c r="BM64" s="30"/>
      <c r="BN64" s="20"/>
      <c r="BO64" s="20"/>
      <c r="BP64" s="20"/>
      <c r="BQ64" s="20"/>
      <c r="BR64" s="20"/>
      <c r="BS64" s="20"/>
      <c r="BT64" s="20"/>
      <c r="BU64" s="45"/>
      <c r="BV64" s="48"/>
      <c r="BW64" s="30"/>
      <c r="BX64" s="30"/>
      <c r="BY64" s="30"/>
      <c r="BZ64" s="20"/>
      <c r="CA64" s="20"/>
      <c r="CB64" s="20"/>
      <c r="CC64" s="20"/>
      <c r="CD64" s="20"/>
      <c r="CE64" s="20"/>
      <c r="CF64" s="20"/>
      <c r="CG64" s="45"/>
      <c r="CH64" s="48"/>
      <c r="CI64" s="30"/>
      <c r="CJ64" s="30"/>
      <c r="CK64" s="30"/>
      <c r="CL64" s="20"/>
      <c r="CM64" s="20"/>
      <c r="CN64" s="20"/>
      <c r="CO64" s="20"/>
      <c r="CP64" s="20"/>
      <c r="CQ64" s="20"/>
      <c r="CR64" s="20"/>
      <c r="CS64" s="45"/>
      <c r="CT64" s="48"/>
      <c r="CU64" s="30"/>
      <c r="CV64" s="30"/>
      <c r="CW64" s="30"/>
      <c r="CX64" s="20"/>
      <c r="CY64" s="20"/>
      <c r="CZ64" s="20"/>
      <c r="DA64" s="20"/>
      <c r="DB64" s="20"/>
      <c r="DC64" s="20"/>
      <c r="DD64" s="20"/>
      <c r="DE64" s="45"/>
      <c r="DF64" s="48"/>
      <c r="DG64" s="30"/>
      <c r="DH64" s="30"/>
      <c r="DI64" s="30"/>
      <c r="DJ64" s="20"/>
      <c r="DK64" s="20"/>
      <c r="DL64" s="20"/>
      <c r="DM64" s="20"/>
      <c r="DN64" s="20"/>
      <c r="DO64" s="20"/>
      <c r="DP64" s="20"/>
      <c r="DQ64" s="45"/>
      <c r="DR64" s="48"/>
      <c r="DS64" s="20"/>
      <c r="DT64" s="20"/>
      <c r="DU64" s="20"/>
      <c r="DV64" s="20"/>
      <c r="DW64" s="20"/>
      <c r="DX64" s="20"/>
      <c r="DY64" s="20"/>
      <c r="DZ64" s="20"/>
      <c r="EA64" s="20"/>
      <c r="EB64" s="20"/>
    </row>
    <row r="65" spans="1:132" s="29" customFormat="1" ht="12.75">
      <c r="A65" s="46">
        <v>1997</v>
      </c>
      <c r="B65" s="47" t="s">
        <v>49</v>
      </c>
      <c r="C65" s="35">
        <f t="shared" si="2"/>
        <v>0.95513428120063193</v>
      </c>
      <c r="D65" s="35">
        <f t="shared" si="3"/>
        <v>0.97831715210355985</v>
      </c>
      <c r="E65" s="35">
        <f t="shared" si="4"/>
        <v>0.976303317535545</v>
      </c>
      <c r="F65" s="20">
        <v>22155</v>
      </c>
      <c r="G65" s="20">
        <f t="shared" si="11"/>
        <v>525</v>
      </c>
      <c r="H65" s="20">
        <v>21630</v>
      </c>
      <c r="I65" s="20">
        <v>21161</v>
      </c>
      <c r="J65" s="20">
        <f t="shared" si="12"/>
        <v>469</v>
      </c>
      <c r="K65" s="20"/>
      <c r="L65" s="20"/>
      <c r="M65" s="46"/>
      <c r="N65" s="47"/>
      <c r="O65" s="30"/>
      <c r="P65" s="30"/>
      <c r="Q65" s="30"/>
      <c r="R65" s="20"/>
      <c r="S65" s="20"/>
      <c r="T65" s="20"/>
      <c r="U65" s="20"/>
      <c r="V65" s="20"/>
      <c r="W65" s="20"/>
      <c r="X65" s="20"/>
      <c r="Y65" s="46"/>
      <c r="Z65" s="47"/>
      <c r="AA65" s="30"/>
      <c r="AB65" s="30"/>
      <c r="AC65" s="30"/>
      <c r="AD65" s="20"/>
      <c r="AE65" s="20"/>
      <c r="AF65" s="20"/>
      <c r="AG65" s="20"/>
      <c r="AH65" s="20"/>
      <c r="AI65" s="20"/>
      <c r="AJ65" s="20"/>
      <c r="AK65" s="46"/>
      <c r="AL65" s="47"/>
      <c r="AM65" s="30"/>
      <c r="AN65" s="30"/>
      <c r="AO65" s="30"/>
      <c r="AP65" s="20"/>
      <c r="AQ65" s="20"/>
      <c r="AR65" s="20"/>
      <c r="AS65" s="20"/>
      <c r="AT65" s="20"/>
      <c r="AU65" s="20"/>
      <c r="AV65" s="20"/>
      <c r="AW65" s="46"/>
      <c r="AX65" s="47"/>
      <c r="AY65" s="30"/>
      <c r="AZ65" s="30"/>
      <c r="BA65" s="30"/>
      <c r="BB65" s="20"/>
      <c r="BC65" s="20"/>
      <c r="BD65" s="20"/>
      <c r="BE65" s="20"/>
      <c r="BF65" s="20"/>
      <c r="BG65" s="20"/>
      <c r="BH65" s="20"/>
      <c r="BI65" s="46"/>
      <c r="BJ65" s="47"/>
      <c r="BK65" s="30"/>
      <c r="BL65" s="30"/>
      <c r="BM65" s="30"/>
      <c r="BN65" s="20"/>
      <c r="BO65" s="20"/>
      <c r="BP65" s="20"/>
      <c r="BQ65" s="20"/>
      <c r="BR65" s="20"/>
      <c r="BS65" s="20"/>
      <c r="BT65" s="20"/>
      <c r="BU65" s="46"/>
      <c r="BV65" s="47"/>
      <c r="BW65" s="30"/>
      <c r="BX65" s="30"/>
      <c r="BY65" s="30"/>
      <c r="BZ65" s="20"/>
      <c r="CA65" s="20"/>
      <c r="CB65" s="20"/>
      <c r="CC65" s="20"/>
      <c r="CD65" s="20"/>
      <c r="CE65" s="20"/>
      <c r="CF65" s="20"/>
      <c r="CG65" s="46"/>
      <c r="CH65" s="47"/>
      <c r="CI65" s="30"/>
      <c r="CJ65" s="30"/>
      <c r="CK65" s="30"/>
      <c r="CL65" s="20"/>
      <c r="CM65" s="20"/>
      <c r="CN65" s="20"/>
      <c r="CO65" s="20"/>
      <c r="CP65" s="20"/>
      <c r="CQ65" s="20"/>
      <c r="CR65" s="20"/>
      <c r="CS65" s="46"/>
      <c r="CT65" s="47"/>
      <c r="CU65" s="30"/>
      <c r="CV65" s="30"/>
      <c r="CW65" s="30"/>
      <c r="CX65" s="20"/>
      <c r="CY65" s="20"/>
      <c r="CZ65" s="20"/>
      <c r="DA65" s="20"/>
      <c r="DB65" s="20"/>
      <c r="DC65" s="20"/>
      <c r="DD65" s="20"/>
      <c r="DE65" s="46"/>
      <c r="DF65" s="47"/>
      <c r="DG65" s="30"/>
      <c r="DH65" s="30"/>
      <c r="DI65" s="30"/>
      <c r="DJ65" s="20"/>
      <c r="DK65" s="20"/>
      <c r="DL65" s="20"/>
      <c r="DM65" s="20"/>
      <c r="DN65" s="20"/>
      <c r="DO65" s="20"/>
      <c r="DP65" s="20"/>
      <c r="DQ65" s="46"/>
      <c r="DR65" s="47"/>
      <c r="DS65" s="20"/>
      <c r="DT65" s="20"/>
      <c r="DU65" s="20"/>
      <c r="DV65" s="20"/>
      <c r="DW65" s="20"/>
      <c r="DX65" s="20"/>
      <c r="DY65" s="20"/>
      <c r="DZ65" s="20"/>
      <c r="EA65" s="20"/>
      <c r="EB65" s="20"/>
    </row>
    <row r="66" spans="1:132" s="29" customFormat="1" ht="12.75">
      <c r="A66" s="45">
        <v>1998</v>
      </c>
      <c r="B66" s="48" t="s">
        <v>38</v>
      </c>
      <c r="C66" s="35">
        <f t="shared" si="2"/>
        <v>0.97008509129586951</v>
      </c>
      <c r="D66" s="35">
        <f t="shared" si="3"/>
        <v>0.97518488817606697</v>
      </c>
      <c r="E66" s="35">
        <f t="shared" si="4"/>
        <v>0.9947704307746853</v>
      </c>
      <c r="F66" s="20">
        <v>22564</v>
      </c>
      <c r="G66" s="20">
        <f t="shared" ref="G66:G77" si="13">F66-H66</f>
        <v>118</v>
      </c>
      <c r="H66" s="20">
        <v>22446</v>
      </c>
      <c r="I66" s="20">
        <v>21889</v>
      </c>
      <c r="J66" s="20">
        <f t="shared" ref="J66:J77" si="14">H66-I66</f>
        <v>557</v>
      </c>
      <c r="K66" s="20"/>
      <c r="L66" s="20"/>
      <c r="M66" s="45"/>
      <c r="N66" s="48"/>
      <c r="O66" s="30"/>
      <c r="P66" s="30"/>
      <c r="Q66" s="30"/>
      <c r="R66" s="20"/>
      <c r="S66" s="20"/>
      <c r="T66" s="20"/>
      <c r="U66" s="20"/>
      <c r="V66" s="20"/>
      <c r="W66" s="20"/>
      <c r="X66" s="20"/>
      <c r="Y66" s="45"/>
      <c r="Z66" s="48"/>
      <c r="AA66" s="30"/>
      <c r="AB66" s="30"/>
      <c r="AC66" s="30"/>
      <c r="AD66" s="20"/>
      <c r="AE66" s="20"/>
      <c r="AF66" s="20"/>
      <c r="AG66" s="20"/>
      <c r="AH66" s="20"/>
      <c r="AI66" s="20"/>
      <c r="AJ66" s="20"/>
      <c r="AK66" s="45"/>
      <c r="AL66" s="48"/>
      <c r="AM66" s="30"/>
      <c r="AN66" s="30"/>
      <c r="AO66" s="30"/>
      <c r="AP66" s="20"/>
      <c r="AQ66" s="20"/>
      <c r="AR66" s="20"/>
      <c r="AS66" s="20"/>
      <c r="AT66" s="20"/>
      <c r="AU66" s="20"/>
      <c r="AV66" s="20"/>
      <c r="AW66" s="45"/>
      <c r="AX66" s="48"/>
      <c r="AY66" s="30"/>
      <c r="AZ66" s="30"/>
      <c r="BA66" s="30"/>
      <c r="BB66" s="20"/>
      <c r="BC66" s="20"/>
      <c r="BD66" s="20"/>
      <c r="BE66" s="20"/>
      <c r="BF66" s="20"/>
      <c r="BG66" s="20"/>
      <c r="BH66" s="20"/>
      <c r="BI66" s="45"/>
      <c r="BJ66" s="48"/>
      <c r="BK66" s="30"/>
      <c r="BL66" s="30"/>
      <c r="BM66" s="30"/>
      <c r="BN66" s="20"/>
      <c r="BO66" s="20"/>
      <c r="BP66" s="20"/>
      <c r="BQ66" s="20"/>
      <c r="BR66" s="20"/>
      <c r="BS66" s="20"/>
      <c r="BT66" s="20"/>
      <c r="BU66" s="45"/>
      <c r="BV66" s="48"/>
      <c r="BW66" s="30"/>
      <c r="BX66" s="30"/>
      <c r="BY66" s="30"/>
      <c r="BZ66" s="20"/>
      <c r="CA66" s="20"/>
      <c r="CB66" s="20"/>
      <c r="CC66" s="20"/>
      <c r="CD66" s="20"/>
      <c r="CE66" s="20"/>
      <c r="CF66" s="20"/>
      <c r="CG66" s="45"/>
      <c r="CH66" s="48"/>
      <c r="CI66" s="30"/>
      <c r="CJ66" s="30"/>
      <c r="CK66" s="30"/>
      <c r="CL66" s="20"/>
      <c r="CM66" s="20"/>
      <c r="CN66" s="20"/>
      <c r="CO66" s="20"/>
      <c r="CP66" s="20"/>
      <c r="CQ66" s="20"/>
      <c r="CR66" s="20"/>
      <c r="CS66" s="45"/>
      <c r="CT66" s="48"/>
      <c r="CU66" s="30"/>
      <c r="CV66" s="30"/>
      <c r="CW66" s="30"/>
      <c r="CX66" s="20"/>
      <c r="CY66" s="20"/>
      <c r="CZ66" s="20"/>
      <c r="DA66" s="20"/>
      <c r="DB66" s="20"/>
      <c r="DC66" s="20"/>
      <c r="DD66" s="20"/>
      <c r="DE66" s="45"/>
      <c r="DF66" s="48"/>
      <c r="DG66" s="30"/>
      <c r="DH66" s="30"/>
      <c r="DI66" s="30"/>
      <c r="DJ66" s="20"/>
      <c r="DK66" s="20"/>
      <c r="DL66" s="20"/>
      <c r="DM66" s="20"/>
      <c r="DN66" s="20"/>
      <c r="DO66" s="20"/>
      <c r="DP66" s="20"/>
      <c r="DQ66" s="45"/>
      <c r="DR66" s="48"/>
      <c r="DS66" s="20"/>
      <c r="DT66" s="20"/>
      <c r="DU66" s="20"/>
      <c r="DV66" s="20"/>
      <c r="DW66" s="20"/>
      <c r="DX66" s="20"/>
      <c r="DY66" s="20"/>
      <c r="DZ66" s="20"/>
      <c r="EA66" s="20"/>
      <c r="EB66" s="20"/>
    </row>
    <row r="67" spans="1:132" s="29" customFormat="1" ht="12.75">
      <c r="A67" s="46">
        <v>1998</v>
      </c>
      <c r="B67" s="47" t="s">
        <v>39</v>
      </c>
      <c r="C67" s="35">
        <f t="shared" si="2"/>
        <v>0.97524990388312183</v>
      </c>
      <c r="D67" s="35">
        <f t="shared" si="3"/>
        <v>0.97745773324984342</v>
      </c>
      <c r="E67" s="35">
        <f t="shared" si="4"/>
        <v>0.9977412533640907</v>
      </c>
      <c r="F67" s="20">
        <v>20808</v>
      </c>
      <c r="G67" s="20">
        <f t="shared" si="13"/>
        <v>47</v>
      </c>
      <c r="H67" s="20">
        <v>20761</v>
      </c>
      <c r="I67" s="20">
        <v>20293</v>
      </c>
      <c r="J67" s="20">
        <f t="shared" si="14"/>
        <v>468</v>
      </c>
      <c r="K67" s="20"/>
      <c r="L67" s="20"/>
      <c r="M67" s="46"/>
      <c r="N67" s="47"/>
      <c r="O67" s="30"/>
      <c r="P67" s="30"/>
      <c r="Q67" s="30"/>
      <c r="R67" s="20"/>
      <c r="S67" s="20"/>
      <c r="T67" s="20"/>
      <c r="U67" s="20"/>
      <c r="V67" s="20"/>
      <c r="W67" s="20"/>
      <c r="X67" s="20"/>
      <c r="Y67" s="46"/>
      <c r="Z67" s="47"/>
      <c r="AA67" s="30"/>
      <c r="AB67" s="30"/>
      <c r="AC67" s="30"/>
      <c r="AD67" s="20"/>
      <c r="AE67" s="20"/>
      <c r="AF67" s="20"/>
      <c r="AG67" s="20"/>
      <c r="AH67" s="20"/>
      <c r="AI67" s="20"/>
      <c r="AJ67" s="20"/>
      <c r="AK67" s="46"/>
      <c r="AL67" s="47"/>
      <c r="AM67" s="30"/>
      <c r="AN67" s="30"/>
      <c r="AO67" s="30"/>
      <c r="AP67" s="20"/>
      <c r="AQ67" s="20"/>
      <c r="AR67" s="20"/>
      <c r="AS67" s="20"/>
      <c r="AT67" s="20"/>
      <c r="AU67" s="20"/>
      <c r="AV67" s="20"/>
      <c r="AW67" s="46"/>
      <c r="AX67" s="47"/>
      <c r="AY67" s="30"/>
      <c r="AZ67" s="30"/>
      <c r="BA67" s="30"/>
      <c r="BB67" s="20"/>
      <c r="BC67" s="20"/>
      <c r="BD67" s="20"/>
      <c r="BE67" s="20"/>
      <c r="BF67" s="20"/>
      <c r="BG67" s="20"/>
      <c r="BH67" s="20"/>
      <c r="BI67" s="46"/>
      <c r="BJ67" s="47"/>
      <c r="BK67" s="30"/>
      <c r="BL67" s="30"/>
      <c r="BM67" s="30"/>
      <c r="BN67" s="20"/>
      <c r="BO67" s="20"/>
      <c r="BP67" s="20"/>
      <c r="BQ67" s="20"/>
      <c r="BR67" s="20"/>
      <c r="BS67" s="20"/>
      <c r="BT67" s="20"/>
      <c r="BU67" s="46"/>
      <c r="BV67" s="47"/>
      <c r="BW67" s="30"/>
      <c r="BX67" s="30"/>
      <c r="BY67" s="30"/>
      <c r="BZ67" s="20"/>
      <c r="CA67" s="20"/>
      <c r="CB67" s="20"/>
      <c r="CC67" s="20"/>
      <c r="CD67" s="20"/>
      <c r="CE67" s="20"/>
      <c r="CF67" s="20"/>
      <c r="CG67" s="46"/>
      <c r="CH67" s="47"/>
      <c r="CI67" s="30"/>
      <c r="CJ67" s="30"/>
      <c r="CK67" s="30"/>
      <c r="CL67" s="20"/>
      <c r="CM67" s="20"/>
      <c r="CN67" s="20"/>
      <c r="CO67" s="20"/>
      <c r="CP67" s="20"/>
      <c r="CQ67" s="20"/>
      <c r="CR67" s="20"/>
      <c r="CS67" s="46"/>
      <c r="CT67" s="47"/>
      <c r="CU67" s="30"/>
      <c r="CV67" s="30"/>
      <c r="CW67" s="30"/>
      <c r="CX67" s="20"/>
      <c r="CY67" s="20"/>
      <c r="CZ67" s="20"/>
      <c r="DA67" s="20"/>
      <c r="DB67" s="20"/>
      <c r="DC67" s="20"/>
      <c r="DD67" s="20"/>
      <c r="DE67" s="46"/>
      <c r="DF67" s="47"/>
      <c r="DG67" s="30"/>
      <c r="DH67" s="30"/>
      <c r="DI67" s="30"/>
      <c r="DJ67" s="20"/>
      <c r="DK67" s="20"/>
      <c r="DL67" s="20"/>
      <c r="DM67" s="20"/>
      <c r="DN67" s="20"/>
      <c r="DO67" s="20"/>
      <c r="DP67" s="20"/>
      <c r="DQ67" s="46"/>
      <c r="DR67" s="47"/>
      <c r="DS67" s="20"/>
      <c r="DT67" s="20"/>
      <c r="DU67" s="20"/>
      <c r="DV67" s="20"/>
      <c r="DW67" s="20"/>
      <c r="DX67" s="20"/>
      <c r="DY67" s="20"/>
      <c r="DZ67" s="20"/>
      <c r="EA67" s="20"/>
      <c r="EB67" s="20"/>
    </row>
    <row r="68" spans="1:132" s="29" customFormat="1" ht="12.75">
      <c r="A68" s="45">
        <v>1998</v>
      </c>
      <c r="B68" s="48" t="s">
        <v>40</v>
      </c>
      <c r="C68" s="35">
        <f t="shared" si="2"/>
        <v>0.97426502660734537</v>
      </c>
      <c r="D68" s="35">
        <f t="shared" si="3"/>
        <v>0.97810474689087401</v>
      </c>
      <c r="E68" s="35">
        <f t="shared" si="4"/>
        <v>0.9960743260926459</v>
      </c>
      <c r="F68" s="20">
        <v>22926</v>
      </c>
      <c r="G68" s="20">
        <f t="shared" si="13"/>
        <v>90</v>
      </c>
      <c r="H68" s="20">
        <v>22836</v>
      </c>
      <c r="I68" s="20">
        <v>22336</v>
      </c>
      <c r="J68" s="20">
        <f t="shared" si="14"/>
        <v>500</v>
      </c>
      <c r="K68" s="20"/>
      <c r="L68" s="20"/>
      <c r="M68" s="45"/>
      <c r="N68" s="48"/>
      <c r="O68" s="30"/>
      <c r="P68" s="30"/>
      <c r="Q68" s="30"/>
      <c r="R68" s="20"/>
      <c r="S68" s="20"/>
      <c r="T68" s="20"/>
      <c r="U68" s="20"/>
      <c r="V68" s="20"/>
      <c r="W68" s="20"/>
      <c r="X68" s="20"/>
      <c r="Y68" s="45"/>
      <c r="Z68" s="48"/>
      <c r="AA68" s="30"/>
      <c r="AB68" s="30"/>
      <c r="AC68" s="30"/>
      <c r="AD68" s="20"/>
      <c r="AE68" s="20"/>
      <c r="AF68" s="20"/>
      <c r="AG68" s="20"/>
      <c r="AH68" s="20"/>
      <c r="AI68" s="20"/>
      <c r="AJ68" s="20"/>
      <c r="AK68" s="45"/>
      <c r="AL68" s="48"/>
      <c r="AM68" s="30"/>
      <c r="AN68" s="30"/>
      <c r="AO68" s="30"/>
      <c r="AP68" s="20"/>
      <c r="AQ68" s="20"/>
      <c r="AR68" s="20"/>
      <c r="AS68" s="20"/>
      <c r="AT68" s="20"/>
      <c r="AU68" s="20"/>
      <c r="AV68" s="20"/>
      <c r="AW68" s="45"/>
      <c r="AX68" s="48"/>
      <c r="AY68" s="30"/>
      <c r="AZ68" s="30"/>
      <c r="BA68" s="30"/>
      <c r="BB68" s="20"/>
      <c r="BC68" s="20"/>
      <c r="BD68" s="20"/>
      <c r="BE68" s="20"/>
      <c r="BF68" s="20"/>
      <c r="BG68" s="20"/>
      <c r="BH68" s="20"/>
      <c r="BI68" s="45"/>
      <c r="BJ68" s="48"/>
      <c r="BK68" s="30"/>
      <c r="BL68" s="30"/>
      <c r="BM68" s="30"/>
      <c r="BN68" s="20"/>
      <c r="BO68" s="20"/>
      <c r="BP68" s="20"/>
      <c r="BQ68" s="20"/>
      <c r="BR68" s="20"/>
      <c r="BS68" s="20"/>
      <c r="BT68" s="20"/>
      <c r="BU68" s="45"/>
      <c r="BV68" s="48"/>
      <c r="BW68" s="30"/>
      <c r="BX68" s="30"/>
      <c r="BY68" s="30"/>
      <c r="BZ68" s="20"/>
      <c r="CA68" s="20"/>
      <c r="CB68" s="20"/>
      <c r="CC68" s="20"/>
      <c r="CD68" s="20"/>
      <c r="CE68" s="20"/>
      <c r="CF68" s="20"/>
      <c r="CG68" s="45"/>
      <c r="CH68" s="48"/>
      <c r="CI68" s="30"/>
      <c r="CJ68" s="30"/>
      <c r="CK68" s="30"/>
      <c r="CL68" s="20"/>
      <c r="CM68" s="20"/>
      <c r="CN68" s="20"/>
      <c r="CO68" s="20"/>
      <c r="CP68" s="20"/>
      <c r="CQ68" s="20"/>
      <c r="CR68" s="20"/>
      <c r="CS68" s="45"/>
      <c r="CT68" s="48"/>
      <c r="CU68" s="30"/>
      <c r="CV68" s="30"/>
      <c r="CW68" s="30"/>
      <c r="CX68" s="20"/>
      <c r="CY68" s="20"/>
      <c r="CZ68" s="20"/>
      <c r="DA68" s="20"/>
      <c r="DB68" s="20"/>
      <c r="DC68" s="20"/>
      <c r="DD68" s="20"/>
      <c r="DE68" s="45"/>
      <c r="DF68" s="48"/>
      <c r="DG68" s="30"/>
      <c r="DH68" s="30"/>
      <c r="DI68" s="30"/>
      <c r="DJ68" s="20"/>
      <c r="DK68" s="20"/>
      <c r="DL68" s="20"/>
      <c r="DM68" s="20"/>
      <c r="DN68" s="20"/>
      <c r="DO68" s="20"/>
      <c r="DP68" s="20"/>
      <c r="DQ68" s="45"/>
      <c r="DR68" s="48"/>
      <c r="DS68" s="20"/>
      <c r="DT68" s="20"/>
      <c r="DU68" s="20"/>
      <c r="DV68" s="20"/>
      <c r="DW68" s="20"/>
      <c r="DX68" s="20"/>
      <c r="DY68" s="20"/>
      <c r="DZ68" s="20"/>
      <c r="EA68" s="20"/>
      <c r="EB68" s="20"/>
    </row>
    <row r="69" spans="1:132" s="29" customFormat="1" ht="12.75">
      <c r="A69" s="46">
        <v>1998</v>
      </c>
      <c r="B69" s="47" t="s">
        <v>41</v>
      </c>
      <c r="C69" s="35">
        <f t="shared" si="2"/>
        <v>0.96837676438653641</v>
      </c>
      <c r="D69" s="35">
        <f t="shared" si="3"/>
        <v>0.9745048941497837</v>
      </c>
      <c r="E69" s="35">
        <f t="shared" si="4"/>
        <v>0.99371154542164319</v>
      </c>
      <c r="F69" s="20">
        <v>22104</v>
      </c>
      <c r="G69" s="20">
        <f t="shared" si="13"/>
        <v>139</v>
      </c>
      <c r="H69" s="20">
        <v>21965</v>
      </c>
      <c r="I69" s="20">
        <v>21405</v>
      </c>
      <c r="J69" s="20">
        <f t="shared" si="14"/>
        <v>560</v>
      </c>
      <c r="K69" s="20"/>
      <c r="L69" s="20"/>
      <c r="M69" s="46"/>
      <c r="N69" s="47"/>
      <c r="O69" s="30"/>
      <c r="P69" s="30"/>
      <c r="Q69" s="30"/>
      <c r="R69" s="20"/>
      <c r="S69" s="20"/>
      <c r="T69" s="20"/>
      <c r="U69" s="20"/>
      <c r="V69" s="20"/>
      <c r="W69" s="20"/>
      <c r="X69" s="20"/>
      <c r="Y69" s="46"/>
      <c r="Z69" s="47"/>
      <c r="AA69" s="30"/>
      <c r="AB69" s="30"/>
      <c r="AC69" s="30"/>
      <c r="AD69" s="20"/>
      <c r="AE69" s="20"/>
      <c r="AF69" s="20"/>
      <c r="AG69" s="20"/>
      <c r="AH69" s="20"/>
      <c r="AI69" s="20"/>
      <c r="AJ69" s="20"/>
      <c r="AK69" s="46"/>
      <c r="AL69" s="47"/>
      <c r="AM69" s="30"/>
      <c r="AN69" s="30"/>
      <c r="AO69" s="30"/>
      <c r="AP69" s="20"/>
      <c r="AQ69" s="20"/>
      <c r="AR69" s="20"/>
      <c r="AS69" s="20"/>
      <c r="AT69" s="20"/>
      <c r="AU69" s="20"/>
      <c r="AV69" s="20"/>
      <c r="AW69" s="46"/>
      <c r="AX69" s="47"/>
      <c r="AY69" s="30"/>
      <c r="AZ69" s="30"/>
      <c r="BA69" s="30"/>
      <c r="BB69" s="20"/>
      <c r="BC69" s="20"/>
      <c r="BD69" s="20"/>
      <c r="BE69" s="20"/>
      <c r="BF69" s="20"/>
      <c r="BG69" s="20"/>
      <c r="BH69" s="20"/>
      <c r="BI69" s="46"/>
      <c r="BJ69" s="47"/>
      <c r="BK69" s="30"/>
      <c r="BL69" s="30"/>
      <c r="BM69" s="30"/>
      <c r="BN69" s="20"/>
      <c r="BO69" s="20"/>
      <c r="BP69" s="20"/>
      <c r="BQ69" s="20"/>
      <c r="BR69" s="20"/>
      <c r="BS69" s="20"/>
      <c r="BT69" s="20"/>
      <c r="BU69" s="46"/>
      <c r="BV69" s="47"/>
      <c r="BW69" s="30"/>
      <c r="BX69" s="30"/>
      <c r="BY69" s="30"/>
      <c r="BZ69" s="20"/>
      <c r="CA69" s="20"/>
      <c r="CB69" s="20"/>
      <c r="CC69" s="20"/>
      <c r="CD69" s="20"/>
      <c r="CE69" s="20"/>
      <c r="CF69" s="20"/>
      <c r="CG69" s="46"/>
      <c r="CH69" s="47"/>
      <c r="CI69" s="30"/>
      <c r="CJ69" s="30"/>
      <c r="CK69" s="30"/>
      <c r="CL69" s="20"/>
      <c r="CM69" s="20"/>
      <c r="CN69" s="20"/>
      <c r="CO69" s="20"/>
      <c r="CP69" s="20"/>
      <c r="CQ69" s="20"/>
      <c r="CR69" s="20"/>
      <c r="CS69" s="46"/>
      <c r="CT69" s="47"/>
      <c r="CU69" s="30"/>
      <c r="CV69" s="30"/>
      <c r="CW69" s="30"/>
      <c r="CX69" s="20"/>
      <c r="CY69" s="20"/>
      <c r="CZ69" s="20"/>
      <c r="DA69" s="20"/>
      <c r="DB69" s="20"/>
      <c r="DC69" s="20"/>
      <c r="DD69" s="20"/>
      <c r="DE69" s="46"/>
      <c r="DF69" s="47"/>
      <c r="DG69" s="30"/>
      <c r="DH69" s="30"/>
      <c r="DI69" s="30"/>
      <c r="DJ69" s="20"/>
      <c r="DK69" s="20"/>
      <c r="DL69" s="20"/>
      <c r="DM69" s="20"/>
      <c r="DN69" s="20"/>
      <c r="DO69" s="20"/>
      <c r="DP69" s="20"/>
      <c r="DQ69" s="46"/>
      <c r="DR69" s="47"/>
      <c r="DS69" s="20"/>
      <c r="DT69" s="20"/>
      <c r="DU69" s="20"/>
      <c r="DV69" s="20"/>
      <c r="DW69" s="20"/>
      <c r="DX69" s="20"/>
      <c r="DY69" s="20"/>
      <c r="DZ69" s="20"/>
      <c r="EA69" s="20"/>
      <c r="EB69" s="20"/>
    </row>
    <row r="70" spans="1:132" s="29" customFormat="1" ht="12.75">
      <c r="A70" s="45">
        <v>1998</v>
      </c>
      <c r="B70" s="48" t="s">
        <v>42</v>
      </c>
      <c r="C70" s="35">
        <f t="shared" si="2"/>
        <v>0.9747509212501706</v>
      </c>
      <c r="D70" s="35">
        <f t="shared" si="3"/>
        <v>0.97916095420893889</v>
      </c>
      <c r="E70" s="35">
        <f t="shared" si="4"/>
        <v>0.99549611027705742</v>
      </c>
      <c r="F70" s="20">
        <v>21981</v>
      </c>
      <c r="G70" s="20">
        <f t="shared" si="13"/>
        <v>99</v>
      </c>
      <c r="H70" s="20">
        <v>21882</v>
      </c>
      <c r="I70" s="20">
        <v>21426</v>
      </c>
      <c r="J70" s="20">
        <f t="shared" si="14"/>
        <v>456</v>
      </c>
      <c r="K70" s="20"/>
      <c r="L70" s="20"/>
      <c r="M70" s="45"/>
      <c r="N70" s="48"/>
      <c r="O70" s="30"/>
      <c r="P70" s="30"/>
      <c r="Q70" s="30"/>
      <c r="R70" s="20"/>
      <c r="S70" s="20"/>
      <c r="T70" s="20"/>
      <c r="U70" s="20"/>
      <c r="V70" s="20"/>
      <c r="W70" s="20"/>
      <c r="X70" s="20"/>
      <c r="Y70" s="45"/>
      <c r="Z70" s="48"/>
      <c r="AA70" s="30"/>
      <c r="AB70" s="30"/>
      <c r="AC70" s="30"/>
      <c r="AD70" s="20"/>
      <c r="AE70" s="20"/>
      <c r="AF70" s="20"/>
      <c r="AG70" s="20"/>
      <c r="AH70" s="20"/>
      <c r="AI70" s="20"/>
      <c r="AJ70" s="20"/>
      <c r="AK70" s="45"/>
      <c r="AL70" s="48"/>
      <c r="AM70" s="30"/>
      <c r="AN70" s="30"/>
      <c r="AO70" s="30"/>
      <c r="AP70" s="20"/>
      <c r="AQ70" s="20"/>
      <c r="AR70" s="20"/>
      <c r="AS70" s="20"/>
      <c r="AT70" s="20"/>
      <c r="AU70" s="20"/>
      <c r="AV70" s="20"/>
      <c r="AW70" s="45"/>
      <c r="AX70" s="48"/>
      <c r="AY70" s="30"/>
      <c r="AZ70" s="30"/>
      <c r="BA70" s="30"/>
      <c r="BB70" s="20"/>
      <c r="BC70" s="20"/>
      <c r="BD70" s="20"/>
      <c r="BE70" s="20"/>
      <c r="BF70" s="20"/>
      <c r="BG70" s="20"/>
      <c r="BH70" s="20"/>
      <c r="BI70" s="45"/>
      <c r="BJ70" s="48"/>
      <c r="BK70" s="30"/>
      <c r="BL70" s="30"/>
      <c r="BM70" s="30"/>
      <c r="BN70" s="20"/>
      <c r="BO70" s="20"/>
      <c r="BP70" s="20"/>
      <c r="BQ70" s="20"/>
      <c r="BR70" s="20"/>
      <c r="BS70" s="20"/>
      <c r="BT70" s="20"/>
      <c r="BU70" s="45"/>
      <c r="BV70" s="48"/>
      <c r="BW70" s="30"/>
      <c r="BX70" s="30"/>
      <c r="BY70" s="30"/>
      <c r="BZ70" s="20"/>
      <c r="CA70" s="20"/>
      <c r="CB70" s="20"/>
      <c r="CC70" s="20"/>
      <c r="CD70" s="20"/>
      <c r="CE70" s="20"/>
      <c r="CF70" s="20"/>
      <c r="CG70" s="45"/>
      <c r="CH70" s="48"/>
      <c r="CI70" s="30"/>
      <c r="CJ70" s="30"/>
      <c r="CK70" s="30"/>
      <c r="CL70" s="20"/>
      <c r="CM70" s="20"/>
      <c r="CN70" s="20"/>
      <c r="CO70" s="20"/>
      <c r="CP70" s="20"/>
      <c r="CQ70" s="20"/>
      <c r="CR70" s="20"/>
      <c r="CS70" s="45"/>
      <c r="CT70" s="48"/>
      <c r="CU70" s="30"/>
      <c r="CV70" s="30"/>
      <c r="CW70" s="30"/>
      <c r="CX70" s="20"/>
      <c r="CY70" s="20"/>
      <c r="CZ70" s="20"/>
      <c r="DA70" s="20"/>
      <c r="DB70" s="20"/>
      <c r="DC70" s="20"/>
      <c r="DD70" s="20"/>
      <c r="DE70" s="45"/>
      <c r="DF70" s="48"/>
      <c r="DG70" s="30"/>
      <c r="DH70" s="30"/>
      <c r="DI70" s="30"/>
      <c r="DJ70" s="20"/>
      <c r="DK70" s="20"/>
      <c r="DL70" s="20"/>
      <c r="DM70" s="20"/>
      <c r="DN70" s="20"/>
      <c r="DO70" s="20"/>
      <c r="DP70" s="20"/>
      <c r="DQ70" s="45"/>
      <c r="DR70" s="48"/>
      <c r="DS70" s="20"/>
      <c r="DT70" s="20"/>
      <c r="DU70" s="20"/>
      <c r="DV70" s="20"/>
      <c r="DW70" s="20"/>
      <c r="DX70" s="20"/>
      <c r="DY70" s="20"/>
      <c r="DZ70" s="20"/>
      <c r="EA70" s="20"/>
      <c r="EB70" s="20"/>
    </row>
    <row r="71" spans="1:132" s="29" customFormat="1" ht="12.75">
      <c r="A71" s="46">
        <v>1998</v>
      </c>
      <c r="B71" s="47" t="s">
        <v>43</v>
      </c>
      <c r="C71" s="35">
        <f t="shared" ref="C71:C134" si="15">I71/F71</f>
        <v>0.9826515116653628</v>
      </c>
      <c r="D71" s="35">
        <f t="shared" ref="D71:D134" si="16">I71/H71</f>
        <v>0.98441821869813761</v>
      </c>
      <c r="E71" s="35">
        <f t="shared" ref="E71:E134" si="17">H71/F71</f>
        <v>0.99820532879296853</v>
      </c>
      <c r="F71" s="20">
        <v>21731</v>
      </c>
      <c r="G71" s="20">
        <f t="shared" si="13"/>
        <v>39</v>
      </c>
      <c r="H71" s="20">
        <v>21692</v>
      </c>
      <c r="I71" s="20">
        <v>21354</v>
      </c>
      <c r="J71" s="20">
        <f t="shared" si="14"/>
        <v>338</v>
      </c>
      <c r="K71" s="20"/>
      <c r="L71" s="20"/>
      <c r="M71" s="46"/>
      <c r="N71" s="47"/>
      <c r="O71" s="30"/>
      <c r="P71" s="30"/>
      <c r="Q71" s="30"/>
      <c r="R71" s="20"/>
      <c r="S71" s="20"/>
      <c r="T71" s="20"/>
      <c r="U71" s="20"/>
      <c r="V71" s="20"/>
      <c r="W71" s="20"/>
      <c r="X71" s="20"/>
      <c r="Y71" s="46"/>
      <c r="Z71" s="47"/>
      <c r="AA71" s="30"/>
      <c r="AB71" s="30"/>
      <c r="AC71" s="30"/>
      <c r="AD71" s="20"/>
      <c r="AE71" s="20"/>
      <c r="AF71" s="20"/>
      <c r="AG71" s="20"/>
      <c r="AH71" s="20"/>
      <c r="AI71" s="20"/>
      <c r="AJ71" s="20"/>
      <c r="AK71" s="46"/>
      <c r="AL71" s="47"/>
      <c r="AM71" s="30"/>
      <c r="AN71" s="30"/>
      <c r="AO71" s="30"/>
      <c r="AP71" s="20"/>
      <c r="AQ71" s="20"/>
      <c r="AR71" s="20"/>
      <c r="AS71" s="20"/>
      <c r="AT71" s="20"/>
      <c r="AU71" s="20"/>
      <c r="AV71" s="20"/>
      <c r="AW71" s="46"/>
      <c r="AX71" s="47"/>
      <c r="AY71" s="30"/>
      <c r="AZ71" s="30"/>
      <c r="BA71" s="30"/>
      <c r="BB71" s="20"/>
      <c r="BC71" s="20"/>
      <c r="BD71" s="20"/>
      <c r="BE71" s="20"/>
      <c r="BF71" s="20"/>
      <c r="BG71" s="20"/>
      <c r="BH71" s="20"/>
      <c r="BI71" s="46"/>
      <c r="BJ71" s="47"/>
      <c r="BK71" s="30"/>
      <c r="BL71" s="30"/>
      <c r="BM71" s="30"/>
      <c r="BN71" s="20"/>
      <c r="BO71" s="20"/>
      <c r="BP71" s="20"/>
      <c r="BQ71" s="20"/>
      <c r="BR71" s="20"/>
      <c r="BS71" s="20"/>
      <c r="BT71" s="20"/>
      <c r="BU71" s="46"/>
      <c r="BV71" s="47"/>
      <c r="BW71" s="30"/>
      <c r="BX71" s="30"/>
      <c r="BY71" s="30"/>
      <c r="BZ71" s="20"/>
      <c r="CA71" s="20"/>
      <c r="CB71" s="20"/>
      <c r="CC71" s="20"/>
      <c r="CD71" s="20"/>
      <c r="CE71" s="20"/>
      <c r="CF71" s="20"/>
      <c r="CG71" s="46"/>
      <c r="CH71" s="47"/>
      <c r="CI71" s="30"/>
      <c r="CJ71" s="30"/>
      <c r="CK71" s="30"/>
      <c r="CL71" s="20"/>
      <c r="CM71" s="20"/>
      <c r="CN71" s="20"/>
      <c r="CO71" s="20"/>
      <c r="CP71" s="20"/>
      <c r="CQ71" s="20"/>
      <c r="CR71" s="20"/>
      <c r="CS71" s="46"/>
      <c r="CT71" s="47"/>
      <c r="CU71" s="30"/>
      <c r="CV71" s="30"/>
      <c r="CW71" s="30"/>
      <c r="CX71" s="20"/>
      <c r="CY71" s="20"/>
      <c r="CZ71" s="20"/>
      <c r="DA71" s="20"/>
      <c r="DB71" s="20"/>
      <c r="DC71" s="20"/>
      <c r="DD71" s="20"/>
      <c r="DE71" s="46"/>
      <c r="DF71" s="47"/>
      <c r="DG71" s="30"/>
      <c r="DH71" s="30"/>
      <c r="DI71" s="30"/>
      <c r="DJ71" s="20"/>
      <c r="DK71" s="20"/>
      <c r="DL71" s="20"/>
      <c r="DM71" s="20"/>
      <c r="DN71" s="20"/>
      <c r="DO71" s="20"/>
      <c r="DP71" s="20"/>
      <c r="DQ71" s="46"/>
      <c r="DR71" s="47"/>
      <c r="DS71" s="20"/>
      <c r="DT71" s="20"/>
      <c r="DU71" s="20"/>
      <c r="DV71" s="20"/>
      <c r="DW71" s="20"/>
      <c r="DX71" s="20"/>
      <c r="DY71" s="20"/>
      <c r="DZ71" s="20"/>
      <c r="EA71" s="20"/>
      <c r="EB71" s="20"/>
    </row>
    <row r="72" spans="1:132" s="29" customFormat="1" ht="12.75">
      <c r="A72" s="45">
        <v>1998</v>
      </c>
      <c r="B72" s="48" t="s">
        <v>44</v>
      </c>
      <c r="C72" s="35">
        <f t="shared" si="15"/>
        <v>0.96795430763864665</v>
      </c>
      <c r="D72" s="35">
        <f t="shared" si="16"/>
        <v>0.97087506013031877</v>
      </c>
      <c r="E72" s="35">
        <f t="shared" si="17"/>
        <v>0.99699162888036275</v>
      </c>
      <c r="F72" s="20">
        <v>22936</v>
      </c>
      <c r="G72" s="20">
        <f t="shared" si="13"/>
        <v>69</v>
      </c>
      <c r="H72" s="20">
        <v>22867</v>
      </c>
      <c r="I72" s="20">
        <v>22201</v>
      </c>
      <c r="J72" s="20">
        <f t="shared" si="14"/>
        <v>666</v>
      </c>
      <c r="K72" s="20"/>
      <c r="L72" s="20"/>
      <c r="M72" s="45"/>
      <c r="N72" s="48"/>
      <c r="O72" s="30"/>
      <c r="P72" s="30"/>
      <c r="Q72" s="30"/>
      <c r="R72" s="20"/>
      <c r="S72" s="20"/>
      <c r="T72" s="20"/>
      <c r="U72" s="20"/>
      <c r="V72" s="20"/>
      <c r="W72" s="20"/>
      <c r="X72" s="20"/>
      <c r="Y72" s="45"/>
      <c r="Z72" s="48"/>
      <c r="AA72" s="30"/>
      <c r="AB72" s="30"/>
      <c r="AC72" s="30"/>
      <c r="AD72" s="20"/>
      <c r="AE72" s="20"/>
      <c r="AF72" s="20"/>
      <c r="AG72" s="20"/>
      <c r="AH72" s="20"/>
      <c r="AI72" s="20"/>
      <c r="AJ72" s="20"/>
      <c r="AK72" s="45"/>
      <c r="AL72" s="48"/>
      <c r="AM72" s="30"/>
      <c r="AN72" s="30"/>
      <c r="AO72" s="30"/>
      <c r="AP72" s="20"/>
      <c r="AQ72" s="20"/>
      <c r="AR72" s="20"/>
      <c r="AS72" s="20"/>
      <c r="AT72" s="20"/>
      <c r="AU72" s="20"/>
      <c r="AV72" s="20"/>
      <c r="AW72" s="45"/>
      <c r="AX72" s="48"/>
      <c r="AY72" s="30"/>
      <c r="AZ72" s="30"/>
      <c r="BA72" s="30"/>
      <c r="BB72" s="20"/>
      <c r="BC72" s="20"/>
      <c r="BD72" s="20"/>
      <c r="BE72" s="20"/>
      <c r="BF72" s="20"/>
      <c r="BG72" s="20"/>
      <c r="BH72" s="20"/>
      <c r="BI72" s="45"/>
      <c r="BJ72" s="48"/>
      <c r="BK72" s="30"/>
      <c r="BL72" s="30"/>
      <c r="BM72" s="30"/>
      <c r="BN72" s="20"/>
      <c r="BO72" s="20"/>
      <c r="BP72" s="20"/>
      <c r="BQ72" s="20"/>
      <c r="BR72" s="20"/>
      <c r="BS72" s="20"/>
      <c r="BT72" s="20"/>
      <c r="BU72" s="45"/>
      <c r="BV72" s="48"/>
      <c r="BW72" s="30"/>
      <c r="BX72" s="30"/>
      <c r="BY72" s="30"/>
      <c r="BZ72" s="20"/>
      <c r="CA72" s="20"/>
      <c r="CB72" s="20"/>
      <c r="CC72" s="20"/>
      <c r="CD72" s="20"/>
      <c r="CE72" s="20"/>
      <c r="CF72" s="20"/>
      <c r="CG72" s="45"/>
      <c r="CH72" s="48"/>
      <c r="CI72" s="30"/>
      <c r="CJ72" s="30"/>
      <c r="CK72" s="30"/>
      <c r="CL72" s="20"/>
      <c r="CM72" s="20"/>
      <c r="CN72" s="20"/>
      <c r="CO72" s="20"/>
      <c r="CP72" s="20"/>
      <c r="CQ72" s="20"/>
      <c r="CR72" s="20"/>
      <c r="CS72" s="45"/>
      <c r="CT72" s="48"/>
      <c r="CU72" s="30"/>
      <c r="CV72" s="30"/>
      <c r="CW72" s="30"/>
      <c r="CX72" s="20"/>
      <c r="CY72" s="20"/>
      <c r="CZ72" s="20"/>
      <c r="DA72" s="20"/>
      <c r="DB72" s="20"/>
      <c r="DC72" s="20"/>
      <c r="DD72" s="20"/>
      <c r="DE72" s="45"/>
      <c r="DF72" s="48"/>
      <c r="DG72" s="30"/>
      <c r="DH72" s="30"/>
      <c r="DI72" s="30"/>
      <c r="DJ72" s="20"/>
      <c r="DK72" s="20"/>
      <c r="DL72" s="20"/>
      <c r="DM72" s="20"/>
      <c r="DN72" s="20"/>
      <c r="DO72" s="20"/>
      <c r="DP72" s="20"/>
      <c r="DQ72" s="45"/>
      <c r="DR72" s="48"/>
      <c r="DS72" s="20"/>
      <c r="DT72" s="20"/>
      <c r="DU72" s="20"/>
      <c r="DV72" s="20"/>
      <c r="DW72" s="20"/>
      <c r="DX72" s="20"/>
      <c r="DY72" s="20"/>
      <c r="DZ72" s="20"/>
      <c r="EA72" s="20"/>
      <c r="EB72" s="20"/>
    </row>
    <row r="73" spans="1:132" s="29" customFormat="1" ht="12.75">
      <c r="A73" s="46">
        <v>1998</v>
      </c>
      <c r="B73" s="47" t="s">
        <v>45</v>
      </c>
      <c r="C73" s="35">
        <f t="shared" si="15"/>
        <v>0.97440033963065165</v>
      </c>
      <c r="D73" s="35">
        <f t="shared" si="16"/>
        <v>0.97922266308289607</v>
      </c>
      <c r="E73" s="35">
        <f t="shared" si="17"/>
        <v>0.99507535555083848</v>
      </c>
      <c r="F73" s="20">
        <v>23555</v>
      </c>
      <c r="G73" s="20">
        <f t="shared" si="13"/>
        <v>116</v>
      </c>
      <c r="H73" s="20">
        <v>23439</v>
      </c>
      <c r="I73" s="20">
        <v>22952</v>
      </c>
      <c r="J73" s="20">
        <f t="shared" si="14"/>
        <v>487</v>
      </c>
      <c r="K73" s="20"/>
      <c r="L73" s="20"/>
      <c r="M73" s="46"/>
      <c r="N73" s="47"/>
      <c r="O73" s="30"/>
      <c r="P73" s="30"/>
      <c r="Q73" s="30"/>
      <c r="R73" s="20"/>
      <c r="S73" s="20"/>
      <c r="T73" s="20"/>
      <c r="U73" s="20"/>
      <c r="V73" s="20"/>
      <c r="W73" s="20"/>
      <c r="X73" s="20"/>
      <c r="Y73" s="46"/>
      <c r="Z73" s="47"/>
      <c r="AA73" s="30"/>
      <c r="AB73" s="30"/>
      <c r="AC73" s="30"/>
      <c r="AD73" s="20"/>
      <c r="AE73" s="20"/>
      <c r="AF73" s="20"/>
      <c r="AG73" s="20"/>
      <c r="AH73" s="20"/>
      <c r="AI73" s="20"/>
      <c r="AJ73" s="20"/>
      <c r="AK73" s="46"/>
      <c r="AL73" s="47"/>
      <c r="AM73" s="30"/>
      <c r="AN73" s="30"/>
      <c r="AO73" s="30"/>
      <c r="AP73" s="20"/>
      <c r="AQ73" s="20"/>
      <c r="AR73" s="20"/>
      <c r="AS73" s="20"/>
      <c r="AT73" s="20"/>
      <c r="AU73" s="20"/>
      <c r="AV73" s="20"/>
      <c r="AW73" s="46"/>
      <c r="AX73" s="47"/>
      <c r="AY73" s="30"/>
      <c r="AZ73" s="30"/>
      <c r="BA73" s="30"/>
      <c r="BB73" s="20"/>
      <c r="BC73" s="20"/>
      <c r="BD73" s="20"/>
      <c r="BE73" s="20"/>
      <c r="BF73" s="20"/>
      <c r="BG73" s="20"/>
      <c r="BH73" s="20"/>
      <c r="BI73" s="46"/>
      <c r="BJ73" s="47"/>
      <c r="BK73" s="30"/>
      <c r="BL73" s="30"/>
      <c r="BM73" s="30"/>
      <c r="BN73" s="20"/>
      <c r="BO73" s="20"/>
      <c r="BP73" s="20"/>
      <c r="BQ73" s="20"/>
      <c r="BR73" s="20"/>
      <c r="BS73" s="20"/>
      <c r="BT73" s="20"/>
      <c r="BU73" s="46"/>
      <c r="BV73" s="47"/>
      <c r="BW73" s="30"/>
      <c r="BX73" s="30"/>
      <c r="BY73" s="30"/>
      <c r="BZ73" s="20"/>
      <c r="CA73" s="20"/>
      <c r="CB73" s="20"/>
      <c r="CC73" s="20"/>
      <c r="CD73" s="20"/>
      <c r="CE73" s="20"/>
      <c r="CF73" s="20"/>
      <c r="CG73" s="46"/>
      <c r="CH73" s="47"/>
      <c r="CI73" s="30"/>
      <c r="CJ73" s="30"/>
      <c r="CK73" s="30"/>
      <c r="CL73" s="20"/>
      <c r="CM73" s="20"/>
      <c r="CN73" s="20"/>
      <c r="CO73" s="20"/>
      <c r="CP73" s="20"/>
      <c r="CQ73" s="20"/>
      <c r="CR73" s="20"/>
      <c r="CS73" s="46"/>
      <c r="CT73" s="47"/>
      <c r="CU73" s="30"/>
      <c r="CV73" s="30"/>
      <c r="CW73" s="30"/>
      <c r="CX73" s="20"/>
      <c r="CY73" s="20"/>
      <c r="CZ73" s="20"/>
      <c r="DA73" s="20"/>
      <c r="DB73" s="20"/>
      <c r="DC73" s="20"/>
      <c r="DD73" s="20"/>
      <c r="DE73" s="46"/>
      <c r="DF73" s="47"/>
      <c r="DG73" s="30"/>
      <c r="DH73" s="30"/>
      <c r="DI73" s="30"/>
      <c r="DJ73" s="20"/>
      <c r="DK73" s="20"/>
      <c r="DL73" s="20"/>
      <c r="DM73" s="20"/>
      <c r="DN73" s="20"/>
      <c r="DO73" s="20"/>
      <c r="DP73" s="20"/>
      <c r="DQ73" s="46"/>
      <c r="DR73" s="47"/>
      <c r="DS73" s="20"/>
      <c r="DT73" s="20"/>
      <c r="DU73" s="20"/>
      <c r="DV73" s="20"/>
      <c r="DW73" s="20"/>
      <c r="DX73" s="20"/>
      <c r="DY73" s="20"/>
      <c r="DZ73" s="20"/>
      <c r="EA73" s="20"/>
      <c r="EB73" s="20"/>
    </row>
    <row r="74" spans="1:132" s="29" customFormat="1" ht="12.75">
      <c r="A74" s="45">
        <v>1998</v>
      </c>
      <c r="B74" s="48" t="s">
        <v>46</v>
      </c>
      <c r="C74" s="35">
        <f t="shared" si="15"/>
        <v>0.96975959510754961</v>
      </c>
      <c r="D74" s="35">
        <f t="shared" si="16"/>
        <v>0.9759752111719513</v>
      </c>
      <c r="E74" s="35">
        <f t="shared" si="17"/>
        <v>0.99363137916490929</v>
      </c>
      <c r="F74" s="20">
        <v>23710</v>
      </c>
      <c r="G74" s="20">
        <f t="shared" si="13"/>
        <v>151</v>
      </c>
      <c r="H74" s="20">
        <v>23559</v>
      </c>
      <c r="I74" s="20">
        <v>22993</v>
      </c>
      <c r="J74" s="20">
        <f t="shared" si="14"/>
        <v>566</v>
      </c>
      <c r="K74" s="20"/>
      <c r="L74" s="20"/>
      <c r="M74" s="45"/>
      <c r="N74" s="48"/>
      <c r="O74" s="30"/>
      <c r="P74" s="30"/>
      <c r="Q74" s="30"/>
      <c r="R74" s="20"/>
      <c r="S74" s="20"/>
      <c r="T74" s="20"/>
      <c r="U74" s="20"/>
      <c r="V74" s="20"/>
      <c r="W74" s="20"/>
      <c r="X74" s="20"/>
      <c r="Y74" s="45"/>
      <c r="Z74" s="48"/>
      <c r="AA74" s="30"/>
      <c r="AB74" s="30"/>
      <c r="AC74" s="30"/>
      <c r="AD74" s="20"/>
      <c r="AE74" s="20"/>
      <c r="AF74" s="20"/>
      <c r="AG74" s="20"/>
      <c r="AH74" s="20"/>
      <c r="AI74" s="20"/>
      <c r="AJ74" s="20"/>
      <c r="AK74" s="45"/>
      <c r="AL74" s="48"/>
      <c r="AM74" s="30"/>
      <c r="AN74" s="30"/>
      <c r="AO74" s="30"/>
      <c r="AP74" s="20"/>
      <c r="AQ74" s="20"/>
      <c r="AR74" s="20"/>
      <c r="AS74" s="20"/>
      <c r="AT74" s="20"/>
      <c r="AU74" s="20"/>
      <c r="AV74" s="20"/>
      <c r="AW74" s="45"/>
      <c r="AX74" s="48"/>
      <c r="AY74" s="30"/>
      <c r="AZ74" s="30"/>
      <c r="BA74" s="30"/>
      <c r="BB74" s="20"/>
      <c r="BC74" s="20"/>
      <c r="BD74" s="20"/>
      <c r="BE74" s="20"/>
      <c r="BF74" s="20"/>
      <c r="BG74" s="20"/>
      <c r="BH74" s="20"/>
      <c r="BI74" s="45"/>
      <c r="BJ74" s="48"/>
      <c r="BK74" s="30"/>
      <c r="BL74" s="30"/>
      <c r="BM74" s="30"/>
      <c r="BN74" s="20"/>
      <c r="BO74" s="20"/>
      <c r="BP74" s="20"/>
      <c r="BQ74" s="20"/>
      <c r="BR74" s="20"/>
      <c r="BS74" s="20"/>
      <c r="BT74" s="20"/>
      <c r="BU74" s="45"/>
      <c r="BV74" s="48"/>
      <c r="BW74" s="30"/>
      <c r="BX74" s="30"/>
      <c r="BY74" s="30"/>
      <c r="BZ74" s="20"/>
      <c r="CA74" s="20"/>
      <c r="CB74" s="20"/>
      <c r="CC74" s="20"/>
      <c r="CD74" s="20"/>
      <c r="CE74" s="20"/>
      <c r="CF74" s="20"/>
      <c r="CG74" s="45"/>
      <c r="CH74" s="48"/>
      <c r="CI74" s="30"/>
      <c r="CJ74" s="30"/>
      <c r="CK74" s="30"/>
      <c r="CL74" s="20"/>
      <c r="CM74" s="20"/>
      <c r="CN74" s="20"/>
      <c r="CO74" s="20"/>
      <c r="CP74" s="20"/>
      <c r="CQ74" s="20"/>
      <c r="CR74" s="20"/>
      <c r="CS74" s="45"/>
      <c r="CT74" s="48"/>
      <c r="CU74" s="30"/>
      <c r="CV74" s="30"/>
      <c r="CW74" s="30"/>
      <c r="CX74" s="20"/>
      <c r="CY74" s="20"/>
      <c r="CZ74" s="20"/>
      <c r="DA74" s="20"/>
      <c r="DB74" s="20"/>
      <c r="DC74" s="20"/>
      <c r="DD74" s="20"/>
      <c r="DE74" s="45"/>
      <c r="DF74" s="48"/>
      <c r="DG74" s="30"/>
      <c r="DH74" s="30"/>
      <c r="DI74" s="30"/>
      <c r="DJ74" s="20"/>
      <c r="DK74" s="20"/>
      <c r="DL74" s="20"/>
      <c r="DM74" s="20"/>
      <c r="DN74" s="20"/>
      <c r="DO74" s="20"/>
      <c r="DP74" s="20"/>
      <c r="DQ74" s="45"/>
      <c r="DR74" s="48"/>
      <c r="DS74" s="20"/>
      <c r="DT74" s="20"/>
      <c r="DU74" s="20"/>
      <c r="DV74" s="20"/>
      <c r="DW74" s="20"/>
      <c r="DX74" s="20"/>
      <c r="DY74" s="20"/>
      <c r="DZ74" s="20"/>
      <c r="EA74" s="20"/>
      <c r="EB74" s="20"/>
    </row>
    <row r="75" spans="1:132" s="29" customFormat="1" ht="12.75">
      <c r="A75" s="46">
        <v>1998</v>
      </c>
      <c r="B75" s="47" t="s">
        <v>47</v>
      </c>
      <c r="C75" s="35">
        <f t="shared" si="15"/>
        <v>0.96729654194301928</v>
      </c>
      <c r="D75" s="35">
        <f t="shared" si="16"/>
        <v>0.9768725250652962</v>
      </c>
      <c r="E75" s="35">
        <f t="shared" si="17"/>
        <v>0.99019730530179784</v>
      </c>
      <c r="F75" s="20">
        <v>23973</v>
      </c>
      <c r="G75" s="20">
        <f t="shared" si="13"/>
        <v>235</v>
      </c>
      <c r="H75" s="20">
        <v>23738</v>
      </c>
      <c r="I75" s="20">
        <v>23189</v>
      </c>
      <c r="J75" s="20">
        <f t="shared" si="14"/>
        <v>549</v>
      </c>
      <c r="K75" s="20"/>
      <c r="L75" s="20"/>
      <c r="M75" s="46"/>
      <c r="N75" s="47"/>
      <c r="O75" s="30"/>
      <c r="P75" s="30"/>
      <c r="Q75" s="30"/>
      <c r="R75" s="20"/>
      <c r="S75" s="20"/>
      <c r="T75" s="20"/>
      <c r="U75" s="20"/>
      <c r="V75" s="20"/>
      <c r="W75" s="20"/>
      <c r="X75" s="20"/>
      <c r="Y75" s="46"/>
      <c r="Z75" s="47"/>
      <c r="AA75" s="30"/>
      <c r="AB75" s="30"/>
      <c r="AC75" s="30"/>
      <c r="AD75" s="20"/>
      <c r="AE75" s="20"/>
      <c r="AF75" s="20"/>
      <c r="AG75" s="20"/>
      <c r="AH75" s="20"/>
      <c r="AI75" s="20"/>
      <c r="AJ75" s="20"/>
      <c r="AK75" s="46"/>
      <c r="AL75" s="47"/>
      <c r="AM75" s="30"/>
      <c r="AN75" s="30"/>
      <c r="AO75" s="30"/>
      <c r="AP75" s="20"/>
      <c r="AQ75" s="20"/>
      <c r="AR75" s="20"/>
      <c r="AS75" s="20"/>
      <c r="AT75" s="20"/>
      <c r="AU75" s="20"/>
      <c r="AV75" s="20"/>
      <c r="AW75" s="46"/>
      <c r="AX75" s="47"/>
      <c r="AY75" s="30"/>
      <c r="AZ75" s="30"/>
      <c r="BA75" s="30"/>
      <c r="BB75" s="20"/>
      <c r="BC75" s="20"/>
      <c r="BD75" s="20"/>
      <c r="BE75" s="20"/>
      <c r="BF75" s="20"/>
      <c r="BG75" s="20"/>
      <c r="BH75" s="20"/>
      <c r="BI75" s="46"/>
      <c r="BJ75" s="47"/>
      <c r="BK75" s="30"/>
      <c r="BL75" s="30"/>
      <c r="BM75" s="30"/>
      <c r="BN75" s="20"/>
      <c r="BO75" s="20"/>
      <c r="BP75" s="20"/>
      <c r="BQ75" s="20"/>
      <c r="BR75" s="20"/>
      <c r="BS75" s="20"/>
      <c r="BT75" s="20"/>
      <c r="BU75" s="46"/>
      <c r="BV75" s="47"/>
      <c r="BW75" s="30"/>
      <c r="BX75" s="30"/>
      <c r="BY75" s="30"/>
      <c r="BZ75" s="20"/>
      <c r="CA75" s="20"/>
      <c r="CB75" s="20"/>
      <c r="CC75" s="20"/>
      <c r="CD75" s="20"/>
      <c r="CE75" s="20"/>
      <c r="CF75" s="20"/>
      <c r="CG75" s="46"/>
      <c r="CH75" s="47"/>
      <c r="CI75" s="30"/>
      <c r="CJ75" s="30"/>
      <c r="CK75" s="30"/>
      <c r="CL75" s="20"/>
      <c r="CM75" s="20"/>
      <c r="CN75" s="20"/>
      <c r="CO75" s="20"/>
      <c r="CP75" s="20"/>
      <c r="CQ75" s="20"/>
      <c r="CR75" s="20"/>
      <c r="CS75" s="46"/>
      <c r="CT75" s="47"/>
      <c r="CU75" s="30"/>
      <c r="CV75" s="30"/>
      <c r="CW75" s="30"/>
      <c r="CX75" s="20"/>
      <c r="CY75" s="20"/>
      <c r="CZ75" s="20"/>
      <c r="DA75" s="20"/>
      <c r="DB75" s="20"/>
      <c r="DC75" s="20"/>
      <c r="DD75" s="20"/>
      <c r="DE75" s="46"/>
      <c r="DF75" s="47"/>
      <c r="DG75" s="30"/>
      <c r="DH75" s="30"/>
      <c r="DI75" s="30"/>
      <c r="DJ75" s="20"/>
      <c r="DK75" s="20"/>
      <c r="DL75" s="20"/>
      <c r="DM75" s="20"/>
      <c r="DN75" s="20"/>
      <c r="DO75" s="20"/>
      <c r="DP75" s="20"/>
      <c r="DQ75" s="46"/>
      <c r="DR75" s="47"/>
      <c r="DS75" s="20"/>
      <c r="DT75" s="20"/>
      <c r="DU75" s="20"/>
      <c r="DV75" s="20"/>
      <c r="DW75" s="20"/>
      <c r="DX75" s="20"/>
      <c r="DY75" s="20"/>
      <c r="DZ75" s="20"/>
      <c r="EA75" s="20"/>
      <c r="EB75" s="20"/>
    </row>
    <row r="76" spans="1:132" s="29" customFormat="1" ht="12.75">
      <c r="A76" s="45">
        <v>1998</v>
      </c>
      <c r="B76" s="48" t="s">
        <v>48</v>
      </c>
      <c r="C76" s="35">
        <f t="shared" si="15"/>
        <v>0.97167006455997285</v>
      </c>
      <c r="D76" s="35">
        <f t="shared" si="16"/>
        <v>0.97693983003800655</v>
      </c>
      <c r="E76" s="35">
        <f t="shared" si="17"/>
        <v>0.99460584437648658</v>
      </c>
      <c r="F76" s="20">
        <v>23544</v>
      </c>
      <c r="G76" s="20">
        <f t="shared" si="13"/>
        <v>127</v>
      </c>
      <c r="H76" s="20">
        <v>23417</v>
      </c>
      <c r="I76" s="20">
        <v>22877</v>
      </c>
      <c r="J76" s="20">
        <f t="shared" si="14"/>
        <v>540</v>
      </c>
      <c r="K76" s="20"/>
      <c r="L76" s="20"/>
      <c r="M76" s="45"/>
      <c r="N76" s="48"/>
      <c r="O76" s="30"/>
      <c r="P76" s="30"/>
      <c r="Q76" s="30"/>
      <c r="R76" s="20"/>
      <c r="S76" s="20"/>
      <c r="T76" s="20"/>
      <c r="U76" s="20"/>
      <c r="V76" s="20"/>
      <c r="W76" s="20"/>
      <c r="X76" s="20"/>
      <c r="Y76" s="45"/>
      <c r="Z76" s="48"/>
      <c r="AA76" s="30"/>
      <c r="AB76" s="30"/>
      <c r="AC76" s="30"/>
      <c r="AD76" s="20"/>
      <c r="AE76" s="20"/>
      <c r="AF76" s="20"/>
      <c r="AG76" s="20"/>
      <c r="AH76" s="20"/>
      <c r="AI76" s="20"/>
      <c r="AJ76" s="20"/>
      <c r="AK76" s="45"/>
      <c r="AL76" s="48"/>
      <c r="AM76" s="30"/>
      <c r="AN76" s="30"/>
      <c r="AO76" s="30"/>
      <c r="AP76" s="20"/>
      <c r="AQ76" s="20"/>
      <c r="AR76" s="20"/>
      <c r="AS76" s="20"/>
      <c r="AT76" s="20"/>
      <c r="AU76" s="20"/>
      <c r="AV76" s="20"/>
      <c r="AW76" s="45"/>
      <c r="AX76" s="48"/>
      <c r="AY76" s="30"/>
      <c r="AZ76" s="30"/>
      <c r="BA76" s="30"/>
      <c r="BB76" s="20"/>
      <c r="BC76" s="20"/>
      <c r="BD76" s="20"/>
      <c r="BE76" s="20"/>
      <c r="BF76" s="20"/>
      <c r="BG76" s="20"/>
      <c r="BH76" s="20"/>
      <c r="BI76" s="45"/>
      <c r="BJ76" s="48"/>
      <c r="BK76" s="30"/>
      <c r="BL76" s="30"/>
      <c r="BM76" s="30"/>
      <c r="BN76" s="20"/>
      <c r="BO76" s="20"/>
      <c r="BP76" s="20"/>
      <c r="BQ76" s="20"/>
      <c r="BR76" s="20"/>
      <c r="BS76" s="20"/>
      <c r="BT76" s="20"/>
      <c r="BU76" s="45"/>
      <c r="BV76" s="48"/>
      <c r="BW76" s="30"/>
      <c r="BX76" s="30"/>
      <c r="BY76" s="30"/>
      <c r="BZ76" s="20"/>
      <c r="CA76" s="20"/>
      <c r="CB76" s="20"/>
      <c r="CC76" s="20"/>
      <c r="CD76" s="20"/>
      <c r="CE76" s="20"/>
      <c r="CF76" s="20"/>
      <c r="CG76" s="45"/>
      <c r="CH76" s="48"/>
      <c r="CI76" s="30"/>
      <c r="CJ76" s="30"/>
      <c r="CK76" s="30"/>
      <c r="CL76" s="20"/>
      <c r="CM76" s="20"/>
      <c r="CN76" s="20"/>
      <c r="CO76" s="20"/>
      <c r="CP76" s="20"/>
      <c r="CQ76" s="20"/>
      <c r="CR76" s="20"/>
      <c r="CS76" s="45"/>
      <c r="CT76" s="48"/>
      <c r="CU76" s="30"/>
      <c r="CV76" s="30"/>
      <c r="CW76" s="30"/>
      <c r="CX76" s="20"/>
      <c r="CY76" s="20"/>
      <c r="CZ76" s="20"/>
      <c r="DA76" s="20"/>
      <c r="DB76" s="20"/>
      <c r="DC76" s="20"/>
      <c r="DD76" s="20"/>
      <c r="DE76" s="45"/>
      <c r="DF76" s="48"/>
      <c r="DG76" s="30"/>
      <c r="DH76" s="30"/>
      <c r="DI76" s="30"/>
      <c r="DJ76" s="20"/>
      <c r="DK76" s="20"/>
      <c r="DL76" s="20"/>
      <c r="DM76" s="20"/>
      <c r="DN76" s="20"/>
      <c r="DO76" s="20"/>
      <c r="DP76" s="20"/>
      <c r="DQ76" s="45"/>
      <c r="DR76" s="48"/>
      <c r="DS76" s="20"/>
      <c r="DT76" s="20"/>
      <c r="DU76" s="20"/>
      <c r="DV76" s="20"/>
      <c r="DW76" s="20"/>
      <c r="DX76" s="20"/>
      <c r="DY76" s="20"/>
      <c r="DZ76" s="20"/>
      <c r="EA76" s="20"/>
      <c r="EB76" s="20"/>
    </row>
    <row r="77" spans="1:132" s="29" customFormat="1" ht="12.75">
      <c r="A77" s="46">
        <v>1998</v>
      </c>
      <c r="B77" s="47" t="s">
        <v>49</v>
      </c>
      <c r="C77" s="35">
        <f t="shared" si="15"/>
        <v>0.93406639176975303</v>
      </c>
      <c r="D77" s="35">
        <f t="shared" si="16"/>
        <v>0.98165900634712189</v>
      </c>
      <c r="E77" s="35">
        <f t="shared" si="17"/>
        <v>0.95151818068224414</v>
      </c>
      <c r="F77" s="20">
        <v>24009</v>
      </c>
      <c r="G77" s="20">
        <f t="shared" si="13"/>
        <v>1164</v>
      </c>
      <c r="H77" s="20">
        <v>22845</v>
      </c>
      <c r="I77" s="20">
        <v>22426</v>
      </c>
      <c r="J77" s="20">
        <f t="shared" si="14"/>
        <v>419</v>
      </c>
      <c r="K77" s="20"/>
      <c r="L77" s="20"/>
      <c r="M77" s="46"/>
      <c r="N77" s="47"/>
      <c r="O77" s="30"/>
      <c r="P77" s="30"/>
      <c r="Q77" s="30"/>
      <c r="R77" s="20"/>
      <c r="S77" s="20"/>
      <c r="T77" s="20"/>
      <c r="U77" s="20"/>
      <c r="V77" s="20"/>
      <c r="W77" s="20"/>
      <c r="X77" s="20"/>
      <c r="Y77" s="46"/>
      <c r="Z77" s="47"/>
      <c r="AA77" s="30"/>
      <c r="AB77" s="30"/>
      <c r="AC77" s="30"/>
      <c r="AD77" s="20"/>
      <c r="AE77" s="20"/>
      <c r="AF77" s="20"/>
      <c r="AG77" s="20"/>
      <c r="AH77" s="20"/>
      <c r="AI77" s="20"/>
      <c r="AJ77" s="20"/>
      <c r="AK77" s="46"/>
      <c r="AL77" s="47"/>
      <c r="AM77" s="30"/>
      <c r="AN77" s="30"/>
      <c r="AO77" s="30"/>
      <c r="AP77" s="20"/>
      <c r="AQ77" s="20"/>
      <c r="AR77" s="20"/>
      <c r="AS77" s="20"/>
      <c r="AT77" s="20"/>
      <c r="AU77" s="20"/>
      <c r="AV77" s="20"/>
      <c r="AW77" s="46"/>
      <c r="AX77" s="47"/>
      <c r="AY77" s="30"/>
      <c r="AZ77" s="30"/>
      <c r="BA77" s="30"/>
      <c r="BB77" s="20"/>
      <c r="BC77" s="20"/>
      <c r="BD77" s="20"/>
      <c r="BE77" s="20"/>
      <c r="BF77" s="20"/>
      <c r="BG77" s="20"/>
      <c r="BH77" s="20"/>
      <c r="BI77" s="46"/>
      <c r="BJ77" s="47"/>
      <c r="BK77" s="30"/>
      <c r="BL77" s="30"/>
      <c r="BM77" s="30"/>
      <c r="BN77" s="20"/>
      <c r="BO77" s="20"/>
      <c r="BP77" s="20"/>
      <c r="BQ77" s="20"/>
      <c r="BR77" s="20"/>
      <c r="BS77" s="20"/>
      <c r="BT77" s="20"/>
      <c r="BU77" s="46"/>
      <c r="BV77" s="47"/>
      <c r="BW77" s="30"/>
      <c r="BX77" s="30"/>
      <c r="BY77" s="30"/>
      <c r="BZ77" s="20"/>
      <c r="CA77" s="20"/>
      <c r="CB77" s="20"/>
      <c r="CC77" s="20"/>
      <c r="CD77" s="20"/>
      <c r="CE77" s="20"/>
      <c r="CF77" s="20"/>
      <c r="CG77" s="46"/>
      <c r="CH77" s="47"/>
      <c r="CI77" s="30"/>
      <c r="CJ77" s="30"/>
      <c r="CK77" s="30"/>
      <c r="CL77" s="20"/>
      <c r="CM77" s="20"/>
      <c r="CN77" s="20"/>
      <c r="CO77" s="20"/>
      <c r="CP77" s="20"/>
      <c r="CQ77" s="20"/>
      <c r="CR77" s="20"/>
      <c r="CS77" s="46"/>
      <c r="CT77" s="47"/>
      <c r="CU77" s="30"/>
      <c r="CV77" s="30"/>
      <c r="CW77" s="30"/>
      <c r="CX77" s="20"/>
      <c r="CY77" s="20"/>
      <c r="CZ77" s="20"/>
      <c r="DA77" s="20"/>
      <c r="DB77" s="20"/>
      <c r="DC77" s="20"/>
      <c r="DD77" s="20"/>
      <c r="DE77" s="46"/>
      <c r="DF77" s="47"/>
      <c r="DG77" s="30"/>
      <c r="DH77" s="30"/>
      <c r="DI77" s="30"/>
      <c r="DJ77" s="20"/>
      <c r="DK77" s="20"/>
      <c r="DL77" s="20"/>
      <c r="DM77" s="20"/>
      <c r="DN77" s="20"/>
      <c r="DO77" s="20"/>
      <c r="DP77" s="20"/>
      <c r="DQ77" s="46"/>
      <c r="DR77" s="47"/>
      <c r="DS77" s="20"/>
      <c r="DT77" s="20"/>
      <c r="DU77" s="20"/>
      <c r="DV77" s="20"/>
      <c r="DW77" s="20"/>
      <c r="DX77" s="20"/>
      <c r="DY77" s="20"/>
      <c r="DZ77" s="20"/>
      <c r="EA77" s="20"/>
      <c r="EB77" s="20"/>
    </row>
    <row r="78" spans="1:132" s="29" customFormat="1" ht="12.75">
      <c r="A78" s="45">
        <v>1999</v>
      </c>
      <c r="B78" s="48" t="s">
        <v>38</v>
      </c>
      <c r="C78" s="35">
        <f t="shared" si="15"/>
        <v>0.97150661903761293</v>
      </c>
      <c r="D78" s="35">
        <f t="shared" si="16"/>
        <v>0.979782995676867</v>
      </c>
      <c r="E78" s="35">
        <f t="shared" si="17"/>
        <v>0.99155284723681447</v>
      </c>
      <c r="F78" s="20">
        <v>23795</v>
      </c>
      <c r="G78" s="20">
        <f t="shared" ref="G78:G89" si="18">F78-H78</f>
        <v>201</v>
      </c>
      <c r="H78" s="20">
        <v>23594</v>
      </c>
      <c r="I78" s="20">
        <v>23117</v>
      </c>
      <c r="J78" s="20">
        <f t="shared" ref="J78:J89" si="19">H78-I78</f>
        <v>477</v>
      </c>
      <c r="K78" s="20"/>
      <c r="L78" s="20"/>
      <c r="M78" s="45"/>
      <c r="N78" s="48"/>
      <c r="O78" s="30"/>
      <c r="P78" s="30"/>
      <c r="Q78" s="30"/>
      <c r="R78" s="20"/>
      <c r="S78" s="20"/>
      <c r="T78" s="20"/>
      <c r="U78" s="20"/>
      <c r="V78" s="20"/>
      <c r="W78" s="20"/>
      <c r="X78" s="20"/>
      <c r="Y78" s="45"/>
      <c r="Z78" s="48"/>
      <c r="AA78" s="30"/>
      <c r="AB78" s="30"/>
      <c r="AC78" s="30"/>
      <c r="AD78" s="20"/>
      <c r="AE78" s="20"/>
      <c r="AF78" s="20"/>
      <c r="AG78" s="20"/>
      <c r="AH78" s="20"/>
      <c r="AI78" s="20"/>
      <c r="AJ78" s="20"/>
      <c r="AK78" s="45"/>
      <c r="AL78" s="48"/>
      <c r="AM78" s="30"/>
      <c r="AN78" s="30"/>
      <c r="AO78" s="30"/>
      <c r="AP78" s="20"/>
      <c r="AQ78" s="20"/>
      <c r="AR78" s="20"/>
      <c r="AS78" s="20"/>
      <c r="AT78" s="20"/>
      <c r="AU78" s="20"/>
      <c r="AV78" s="20"/>
      <c r="AW78" s="45"/>
      <c r="AX78" s="48"/>
      <c r="AY78" s="30"/>
      <c r="AZ78" s="30"/>
      <c r="BA78" s="30"/>
      <c r="BB78" s="20"/>
      <c r="BC78" s="20"/>
      <c r="BD78" s="20"/>
      <c r="BE78" s="20"/>
      <c r="BF78" s="20"/>
      <c r="BG78" s="20"/>
      <c r="BH78" s="20"/>
      <c r="BI78" s="45"/>
      <c r="BJ78" s="48"/>
      <c r="BK78" s="30"/>
      <c r="BL78" s="30"/>
      <c r="BM78" s="30"/>
      <c r="BN78" s="20"/>
      <c r="BO78" s="20"/>
      <c r="BP78" s="20"/>
      <c r="BQ78" s="20"/>
      <c r="BR78" s="20"/>
      <c r="BS78" s="20"/>
      <c r="BT78" s="20"/>
      <c r="BU78" s="45"/>
      <c r="BV78" s="48"/>
      <c r="BW78" s="30"/>
      <c r="BX78" s="30"/>
      <c r="BY78" s="30"/>
      <c r="BZ78" s="20"/>
      <c r="CA78" s="20"/>
      <c r="CB78" s="20"/>
      <c r="CC78" s="20"/>
      <c r="CD78" s="20"/>
      <c r="CE78" s="20"/>
      <c r="CF78" s="20"/>
      <c r="CG78" s="45"/>
      <c r="CH78" s="48"/>
      <c r="CI78" s="30"/>
      <c r="CJ78" s="30"/>
      <c r="CK78" s="30"/>
      <c r="CL78" s="20"/>
      <c r="CM78" s="20"/>
      <c r="CN78" s="20"/>
      <c r="CO78" s="20"/>
      <c r="CP78" s="20"/>
      <c r="CQ78" s="20"/>
      <c r="CR78" s="20"/>
      <c r="CS78" s="45"/>
      <c r="CT78" s="48"/>
      <c r="CU78" s="30"/>
      <c r="CV78" s="30"/>
      <c r="CW78" s="30"/>
      <c r="CX78" s="20"/>
      <c r="CY78" s="20"/>
      <c r="CZ78" s="20"/>
      <c r="DA78" s="20"/>
      <c r="DB78" s="20"/>
      <c r="DC78" s="20"/>
      <c r="DD78" s="20"/>
      <c r="DE78" s="45"/>
      <c r="DF78" s="48"/>
      <c r="DG78" s="30"/>
      <c r="DH78" s="30"/>
      <c r="DI78" s="30"/>
      <c r="DJ78" s="20"/>
      <c r="DK78" s="20"/>
      <c r="DL78" s="20"/>
      <c r="DM78" s="20"/>
      <c r="DN78" s="20"/>
      <c r="DO78" s="20"/>
      <c r="DP78" s="20"/>
      <c r="DQ78" s="45"/>
      <c r="DR78" s="48"/>
      <c r="DS78" s="20"/>
      <c r="DT78" s="20"/>
      <c r="DU78" s="20"/>
      <c r="DV78" s="20"/>
      <c r="DW78" s="20"/>
      <c r="DX78" s="20"/>
      <c r="DY78" s="20"/>
      <c r="DZ78" s="20"/>
      <c r="EA78" s="20"/>
      <c r="EB78" s="20"/>
    </row>
    <row r="79" spans="1:132" s="29" customFormat="1" ht="12.75">
      <c r="A79" s="46">
        <v>1999</v>
      </c>
      <c r="B79" s="47" t="s">
        <v>39</v>
      </c>
      <c r="C79" s="35">
        <f t="shared" si="15"/>
        <v>0.97509457755359397</v>
      </c>
      <c r="D79" s="35">
        <f t="shared" si="16"/>
        <v>0.97910731244064575</v>
      </c>
      <c r="E79" s="35">
        <f t="shared" si="17"/>
        <v>0.99590163934426235</v>
      </c>
      <c r="F79" s="20">
        <v>22204</v>
      </c>
      <c r="G79" s="20">
        <f t="shared" si="18"/>
        <v>91</v>
      </c>
      <c r="H79" s="20">
        <v>22113</v>
      </c>
      <c r="I79" s="20">
        <v>21651</v>
      </c>
      <c r="J79" s="20">
        <f t="shared" si="19"/>
        <v>462</v>
      </c>
      <c r="K79" s="20"/>
      <c r="L79" s="20"/>
      <c r="M79" s="46"/>
      <c r="N79" s="47"/>
      <c r="O79" s="30"/>
      <c r="P79" s="30"/>
      <c r="Q79" s="30"/>
      <c r="R79" s="20"/>
      <c r="S79" s="20"/>
      <c r="T79" s="20"/>
      <c r="U79" s="20"/>
      <c r="V79" s="20"/>
      <c r="W79" s="20"/>
      <c r="X79" s="20"/>
      <c r="Y79" s="46"/>
      <c r="Z79" s="47"/>
      <c r="AA79" s="30"/>
      <c r="AB79" s="30"/>
      <c r="AC79" s="30"/>
      <c r="AD79" s="20"/>
      <c r="AE79" s="20"/>
      <c r="AF79" s="20"/>
      <c r="AG79" s="20"/>
      <c r="AH79" s="20"/>
      <c r="AI79" s="20"/>
      <c r="AJ79" s="20"/>
      <c r="AK79" s="46"/>
      <c r="AL79" s="47"/>
      <c r="AM79" s="30"/>
      <c r="AN79" s="30"/>
      <c r="AO79" s="30"/>
      <c r="AP79" s="20"/>
      <c r="AQ79" s="20"/>
      <c r="AR79" s="20"/>
      <c r="AS79" s="20"/>
      <c r="AT79" s="20"/>
      <c r="AU79" s="20"/>
      <c r="AV79" s="20"/>
      <c r="AW79" s="46"/>
      <c r="AX79" s="47"/>
      <c r="AY79" s="30"/>
      <c r="AZ79" s="30"/>
      <c r="BA79" s="30"/>
      <c r="BB79" s="20"/>
      <c r="BC79" s="20"/>
      <c r="BD79" s="20"/>
      <c r="BE79" s="20"/>
      <c r="BF79" s="20"/>
      <c r="BG79" s="20"/>
      <c r="BH79" s="20"/>
      <c r="BI79" s="46"/>
      <c r="BJ79" s="47"/>
      <c r="BK79" s="30"/>
      <c r="BL79" s="30"/>
      <c r="BM79" s="30"/>
      <c r="BN79" s="20"/>
      <c r="BO79" s="20"/>
      <c r="BP79" s="20"/>
      <c r="BQ79" s="20"/>
      <c r="BR79" s="20"/>
      <c r="BS79" s="20"/>
      <c r="BT79" s="20"/>
      <c r="BU79" s="46"/>
      <c r="BV79" s="47"/>
      <c r="BW79" s="30"/>
      <c r="BX79" s="30"/>
      <c r="BY79" s="30"/>
      <c r="BZ79" s="20"/>
      <c r="CA79" s="20"/>
      <c r="CB79" s="20"/>
      <c r="CC79" s="20"/>
      <c r="CD79" s="20"/>
      <c r="CE79" s="20"/>
      <c r="CF79" s="20"/>
      <c r="CG79" s="46"/>
      <c r="CH79" s="47"/>
      <c r="CI79" s="30"/>
      <c r="CJ79" s="30"/>
      <c r="CK79" s="30"/>
      <c r="CL79" s="20"/>
      <c r="CM79" s="20"/>
      <c r="CN79" s="20"/>
      <c r="CO79" s="20"/>
      <c r="CP79" s="20"/>
      <c r="CQ79" s="20"/>
      <c r="CR79" s="20"/>
      <c r="CS79" s="46"/>
      <c r="CT79" s="47"/>
      <c r="CU79" s="30"/>
      <c r="CV79" s="30"/>
      <c r="CW79" s="30"/>
      <c r="CX79" s="20"/>
      <c r="CY79" s="20"/>
      <c r="CZ79" s="20"/>
      <c r="DA79" s="20"/>
      <c r="DB79" s="20"/>
      <c r="DC79" s="20"/>
      <c r="DD79" s="20"/>
      <c r="DE79" s="46"/>
      <c r="DF79" s="47"/>
      <c r="DG79" s="30"/>
      <c r="DH79" s="30"/>
      <c r="DI79" s="30"/>
      <c r="DJ79" s="20"/>
      <c r="DK79" s="20"/>
      <c r="DL79" s="20"/>
      <c r="DM79" s="20"/>
      <c r="DN79" s="20"/>
      <c r="DO79" s="20"/>
      <c r="DP79" s="20"/>
      <c r="DQ79" s="46"/>
      <c r="DR79" s="47"/>
      <c r="DS79" s="20"/>
      <c r="DT79" s="20"/>
      <c r="DU79" s="20"/>
      <c r="DV79" s="20"/>
      <c r="DW79" s="20"/>
      <c r="DX79" s="20"/>
      <c r="DY79" s="20"/>
      <c r="DZ79" s="20"/>
      <c r="EA79" s="20"/>
      <c r="EB79" s="20"/>
    </row>
    <row r="80" spans="1:132" s="29" customFormat="1" ht="12.75">
      <c r="A80" s="45">
        <v>1999</v>
      </c>
      <c r="B80" s="48" t="s">
        <v>40</v>
      </c>
      <c r="C80" s="35">
        <f t="shared" si="15"/>
        <v>0.94826771653543307</v>
      </c>
      <c r="D80" s="35">
        <f t="shared" si="16"/>
        <v>0.95887575142322545</v>
      </c>
      <c r="E80" s="35">
        <f t="shared" si="17"/>
        <v>0.98893700787401573</v>
      </c>
      <c r="F80" s="20">
        <v>25400</v>
      </c>
      <c r="G80" s="20">
        <f t="shared" si="18"/>
        <v>281</v>
      </c>
      <c r="H80" s="20">
        <v>25119</v>
      </c>
      <c r="I80" s="20">
        <v>24086</v>
      </c>
      <c r="J80" s="20">
        <f t="shared" si="19"/>
        <v>1033</v>
      </c>
      <c r="K80" s="20"/>
      <c r="L80" s="20"/>
      <c r="M80" s="45"/>
      <c r="N80" s="48"/>
      <c r="O80" s="30"/>
      <c r="P80" s="30"/>
      <c r="Q80" s="30"/>
      <c r="R80" s="20"/>
      <c r="S80" s="20"/>
      <c r="T80" s="20"/>
      <c r="U80" s="20"/>
      <c r="V80" s="20"/>
      <c r="W80" s="20"/>
      <c r="X80" s="20"/>
      <c r="Y80" s="45"/>
      <c r="Z80" s="48"/>
      <c r="AA80" s="30"/>
      <c r="AB80" s="30"/>
      <c r="AC80" s="30"/>
      <c r="AD80" s="20"/>
      <c r="AE80" s="20"/>
      <c r="AF80" s="20"/>
      <c r="AG80" s="20"/>
      <c r="AH80" s="20"/>
      <c r="AI80" s="20"/>
      <c r="AJ80" s="20"/>
      <c r="AK80" s="45"/>
      <c r="AL80" s="48"/>
      <c r="AM80" s="30"/>
      <c r="AN80" s="30"/>
      <c r="AO80" s="30"/>
      <c r="AP80" s="20"/>
      <c r="AQ80" s="20"/>
      <c r="AR80" s="20"/>
      <c r="AS80" s="20"/>
      <c r="AT80" s="20"/>
      <c r="AU80" s="20"/>
      <c r="AV80" s="20"/>
      <c r="AW80" s="45"/>
      <c r="AX80" s="48"/>
      <c r="AY80" s="30"/>
      <c r="AZ80" s="30"/>
      <c r="BA80" s="30"/>
      <c r="BB80" s="20"/>
      <c r="BC80" s="20"/>
      <c r="BD80" s="20"/>
      <c r="BE80" s="20"/>
      <c r="BF80" s="20"/>
      <c r="BG80" s="20"/>
      <c r="BH80" s="20"/>
      <c r="BI80" s="45"/>
      <c r="BJ80" s="48"/>
      <c r="BK80" s="30"/>
      <c r="BL80" s="30"/>
      <c r="BM80" s="30"/>
      <c r="BN80" s="20"/>
      <c r="BO80" s="20"/>
      <c r="BP80" s="20"/>
      <c r="BQ80" s="20"/>
      <c r="BR80" s="20"/>
      <c r="BS80" s="20"/>
      <c r="BT80" s="20"/>
      <c r="BU80" s="45"/>
      <c r="BV80" s="48"/>
      <c r="BW80" s="30"/>
      <c r="BX80" s="30"/>
      <c r="BY80" s="30"/>
      <c r="BZ80" s="20"/>
      <c r="CA80" s="20"/>
      <c r="CB80" s="20"/>
      <c r="CC80" s="20"/>
      <c r="CD80" s="20"/>
      <c r="CE80" s="20"/>
      <c r="CF80" s="20"/>
      <c r="CG80" s="45"/>
      <c r="CH80" s="48"/>
      <c r="CI80" s="30"/>
      <c r="CJ80" s="30"/>
      <c r="CK80" s="30"/>
      <c r="CL80" s="20"/>
      <c r="CM80" s="20"/>
      <c r="CN80" s="20"/>
      <c r="CO80" s="20"/>
      <c r="CP80" s="20"/>
      <c r="CQ80" s="20"/>
      <c r="CR80" s="20"/>
      <c r="CS80" s="45"/>
      <c r="CT80" s="48"/>
      <c r="CU80" s="30"/>
      <c r="CV80" s="30"/>
      <c r="CW80" s="30"/>
      <c r="CX80" s="20"/>
      <c r="CY80" s="20"/>
      <c r="CZ80" s="20"/>
      <c r="DA80" s="20"/>
      <c r="DB80" s="20"/>
      <c r="DC80" s="20"/>
      <c r="DD80" s="20"/>
      <c r="DE80" s="45"/>
      <c r="DF80" s="48"/>
      <c r="DG80" s="30"/>
      <c r="DH80" s="30"/>
      <c r="DI80" s="30"/>
      <c r="DJ80" s="20"/>
      <c r="DK80" s="20"/>
      <c r="DL80" s="20"/>
      <c r="DM80" s="20"/>
      <c r="DN80" s="20"/>
      <c r="DO80" s="20"/>
      <c r="DP80" s="20"/>
      <c r="DQ80" s="45"/>
      <c r="DR80" s="48"/>
      <c r="DS80" s="20"/>
      <c r="DT80" s="20"/>
      <c r="DU80" s="20"/>
      <c r="DV80" s="20"/>
      <c r="DW80" s="20"/>
      <c r="DX80" s="20"/>
      <c r="DY80" s="20"/>
      <c r="DZ80" s="20"/>
      <c r="EA80" s="20"/>
      <c r="EB80" s="20"/>
    </row>
    <row r="81" spans="1:132" s="29" customFormat="1" ht="12.75">
      <c r="A81" s="46">
        <v>1999</v>
      </c>
      <c r="B81" s="47" t="s">
        <v>41</v>
      </c>
      <c r="C81" s="35">
        <f t="shared" si="15"/>
        <v>0.93926879630754279</v>
      </c>
      <c r="D81" s="35">
        <f t="shared" si="16"/>
        <v>0.94844644317252658</v>
      </c>
      <c r="E81" s="35">
        <f t="shared" si="17"/>
        <v>0.99032349487833515</v>
      </c>
      <c r="F81" s="20">
        <v>24699</v>
      </c>
      <c r="G81" s="20">
        <f t="shared" si="18"/>
        <v>239</v>
      </c>
      <c r="H81" s="20">
        <v>24460</v>
      </c>
      <c r="I81" s="20">
        <v>23199</v>
      </c>
      <c r="J81" s="20">
        <f t="shared" si="19"/>
        <v>1261</v>
      </c>
      <c r="K81" s="20"/>
      <c r="L81" s="20"/>
      <c r="M81" s="46"/>
      <c r="N81" s="47"/>
      <c r="O81" s="30"/>
      <c r="P81" s="30"/>
      <c r="Q81" s="30"/>
      <c r="R81" s="20"/>
      <c r="S81" s="20"/>
      <c r="T81" s="20"/>
      <c r="U81" s="20"/>
      <c r="V81" s="20"/>
      <c r="W81" s="20"/>
      <c r="X81" s="20"/>
      <c r="Y81" s="46"/>
      <c r="Z81" s="47"/>
      <c r="AA81" s="30"/>
      <c r="AB81" s="30"/>
      <c r="AC81" s="30"/>
      <c r="AD81" s="20"/>
      <c r="AE81" s="20"/>
      <c r="AF81" s="20"/>
      <c r="AG81" s="20"/>
      <c r="AH81" s="20"/>
      <c r="AI81" s="20"/>
      <c r="AJ81" s="20"/>
      <c r="AK81" s="46"/>
      <c r="AL81" s="47"/>
      <c r="AM81" s="30"/>
      <c r="AN81" s="30"/>
      <c r="AO81" s="30"/>
      <c r="AP81" s="20"/>
      <c r="AQ81" s="20"/>
      <c r="AR81" s="20"/>
      <c r="AS81" s="20"/>
      <c r="AT81" s="20"/>
      <c r="AU81" s="20"/>
      <c r="AV81" s="20"/>
      <c r="AW81" s="46"/>
      <c r="AX81" s="47"/>
      <c r="AY81" s="30"/>
      <c r="AZ81" s="30"/>
      <c r="BA81" s="30"/>
      <c r="BB81" s="20"/>
      <c r="BC81" s="20"/>
      <c r="BD81" s="20"/>
      <c r="BE81" s="20"/>
      <c r="BF81" s="20"/>
      <c r="BG81" s="20"/>
      <c r="BH81" s="20"/>
      <c r="BI81" s="46"/>
      <c r="BJ81" s="47"/>
      <c r="BK81" s="30"/>
      <c r="BL81" s="30"/>
      <c r="BM81" s="30"/>
      <c r="BN81" s="20"/>
      <c r="BO81" s="20"/>
      <c r="BP81" s="20"/>
      <c r="BQ81" s="20"/>
      <c r="BR81" s="20"/>
      <c r="BS81" s="20"/>
      <c r="BT81" s="20"/>
      <c r="BU81" s="46"/>
      <c r="BV81" s="47"/>
      <c r="BW81" s="30"/>
      <c r="BX81" s="30"/>
      <c r="BY81" s="30"/>
      <c r="BZ81" s="20"/>
      <c r="CA81" s="20"/>
      <c r="CB81" s="20"/>
      <c r="CC81" s="20"/>
      <c r="CD81" s="20"/>
      <c r="CE81" s="20"/>
      <c r="CF81" s="20"/>
      <c r="CG81" s="46"/>
      <c r="CH81" s="47"/>
      <c r="CI81" s="30"/>
      <c r="CJ81" s="30"/>
      <c r="CK81" s="30"/>
      <c r="CL81" s="20"/>
      <c r="CM81" s="20"/>
      <c r="CN81" s="20"/>
      <c r="CO81" s="20"/>
      <c r="CP81" s="20"/>
      <c r="CQ81" s="20"/>
      <c r="CR81" s="20"/>
      <c r="CS81" s="46"/>
      <c r="CT81" s="47"/>
      <c r="CU81" s="30"/>
      <c r="CV81" s="30"/>
      <c r="CW81" s="30"/>
      <c r="CX81" s="20"/>
      <c r="CY81" s="20"/>
      <c r="CZ81" s="20"/>
      <c r="DA81" s="20"/>
      <c r="DB81" s="20"/>
      <c r="DC81" s="20"/>
      <c r="DD81" s="20"/>
      <c r="DE81" s="46"/>
      <c r="DF81" s="47"/>
      <c r="DG81" s="30"/>
      <c r="DH81" s="30"/>
      <c r="DI81" s="30"/>
      <c r="DJ81" s="20"/>
      <c r="DK81" s="20"/>
      <c r="DL81" s="20"/>
      <c r="DM81" s="20"/>
      <c r="DN81" s="20"/>
      <c r="DO81" s="20"/>
      <c r="DP81" s="20"/>
      <c r="DQ81" s="46"/>
      <c r="DR81" s="47"/>
      <c r="DS81" s="20"/>
      <c r="DT81" s="20"/>
      <c r="DU81" s="20"/>
      <c r="DV81" s="20"/>
      <c r="DW81" s="20"/>
      <c r="DX81" s="20"/>
      <c r="DY81" s="20"/>
      <c r="DZ81" s="20"/>
      <c r="EA81" s="20"/>
      <c r="EB81" s="20"/>
    </row>
    <row r="82" spans="1:132" s="29" customFormat="1" ht="12.75">
      <c r="A82" s="45">
        <v>1999</v>
      </c>
      <c r="B82" s="48" t="s">
        <v>42</v>
      </c>
      <c r="C82" s="35">
        <f t="shared" si="15"/>
        <v>0.95870147523287885</v>
      </c>
      <c r="D82" s="35">
        <f t="shared" si="16"/>
        <v>0.96979010797913212</v>
      </c>
      <c r="E82" s="35">
        <f t="shared" si="17"/>
        <v>0.98856594570823175</v>
      </c>
      <c r="F82" s="20">
        <v>25013</v>
      </c>
      <c r="G82" s="20">
        <f t="shared" si="18"/>
        <v>286</v>
      </c>
      <c r="H82" s="20">
        <v>24727</v>
      </c>
      <c r="I82" s="20">
        <v>23980</v>
      </c>
      <c r="J82" s="20">
        <f t="shared" si="19"/>
        <v>747</v>
      </c>
      <c r="K82" s="20"/>
      <c r="L82" s="20"/>
      <c r="M82" s="45"/>
      <c r="N82" s="48"/>
      <c r="O82" s="30"/>
      <c r="P82" s="30"/>
      <c r="Q82" s="30"/>
      <c r="R82" s="20"/>
      <c r="S82" s="20"/>
      <c r="T82" s="20"/>
      <c r="U82" s="20"/>
      <c r="V82" s="20"/>
      <c r="W82" s="20"/>
      <c r="X82" s="20"/>
      <c r="Y82" s="45"/>
      <c r="Z82" s="48"/>
      <c r="AA82" s="30"/>
      <c r="AB82" s="30"/>
      <c r="AC82" s="30"/>
      <c r="AD82" s="20"/>
      <c r="AE82" s="20"/>
      <c r="AF82" s="20"/>
      <c r="AG82" s="20"/>
      <c r="AH82" s="20"/>
      <c r="AI82" s="20"/>
      <c r="AJ82" s="20"/>
      <c r="AK82" s="45"/>
      <c r="AL82" s="48"/>
      <c r="AM82" s="30"/>
      <c r="AN82" s="30"/>
      <c r="AO82" s="30"/>
      <c r="AP82" s="20"/>
      <c r="AQ82" s="20"/>
      <c r="AR82" s="20"/>
      <c r="AS82" s="20"/>
      <c r="AT82" s="20"/>
      <c r="AU82" s="20"/>
      <c r="AV82" s="20"/>
      <c r="AW82" s="45"/>
      <c r="AX82" s="48"/>
      <c r="AY82" s="30"/>
      <c r="AZ82" s="30"/>
      <c r="BA82" s="30"/>
      <c r="BB82" s="20"/>
      <c r="BC82" s="20"/>
      <c r="BD82" s="20"/>
      <c r="BE82" s="20"/>
      <c r="BF82" s="20"/>
      <c r="BG82" s="20"/>
      <c r="BH82" s="20"/>
      <c r="BI82" s="45"/>
      <c r="BJ82" s="48"/>
      <c r="BK82" s="30"/>
      <c r="BL82" s="30"/>
      <c r="BM82" s="30"/>
      <c r="BN82" s="20"/>
      <c r="BO82" s="20"/>
      <c r="BP82" s="20"/>
      <c r="BQ82" s="20"/>
      <c r="BR82" s="20"/>
      <c r="BS82" s="20"/>
      <c r="BT82" s="20"/>
      <c r="BU82" s="45"/>
      <c r="BV82" s="48"/>
      <c r="BW82" s="30"/>
      <c r="BX82" s="30"/>
      <c r="BY82" s="30"/>
      <c r="BZ82" s="20"/>
      <c r="CA82" s="20"/>
      <c r="CB82" s="20"/>
      <c r="CC82" s="20"/>
      <c r="CD82" s="20"/>
      <c r="CE82" s="20"/>
      <c r="CF82" s="20"/>
      <c r="CG82" s="45"/>
      <c r="CH82" s="48"/>
      <c r="CI82" s="30"/>
      <c r="CJ82" s="30"/>
      <c r="CK82" s="30"/>
      <c r="CL82" s="20"/>
      <c r="CM82" s="20"/>
      <c r="CN82" s="20"/>
      <c r="CO82" s="20"/>
      <c r="CP82" s="20"/>
      <c r="CQ82" s="20"/>
      <c r="CR82" s="20"/>
      <c r="CS82" s="45"/>
      <c r="CT82" s="48"/>
      <c r="CU82" s="30"/>
      <c r="CV82" s="30"/>
      <c r="CW82" s="30"/>
      <c r="CX82" s="20"/>
      <c r="CY82" s="20"/>
      <c r="CZ82" s="20"/>
      <c r="DA82" s="20"/>
      <c r="DB82" s="20"/>
      <c r="DC82" s="20"/>
      <c r="DD82" s="20"/>
      <c r="DE82" s="45"/>
      <c r="DF82" s="48"/>
      <c r="DG82" s="30"/>
      <c r="DH82" s="30"/>
      <c r="DI82" s="30"/>
      <c r="DJ82" s="20"/>
      <c r="DK82" s="20"/>
      <c r="DL82" s="20"/>
      <c r="DM82" s="20"/>
      <c r="DN82" s="20"/>
      <c r="DO82" s="20"/>
      <c r="DP82" s="20"/>
      <c r="DQ82" s="45"/>
      <c r="DR82" s="48"/>
      <c r="DS82" s="20"/>
      <c r="DT82" s="20"/>
      <c r="DU82" s="20"/>
      <c r="DV82" s="20"/>
      <c r="DW82" s="20"/>
      <c r="DX82" s="20"/>
      <c r="DY82" s="20"/>
      <c r="DZ82" s="20"/>
      <c r="EA82" s="20"/>
      <c r="EB82" s="20"/>
    </row>
    <row r="83" spans="1:132" s="29" customFormat="1" ht="12.75">
      <c r="A83" s="46">
        <v>1999</v>
      </c>
      <c r="B83" s="47" t="s">
        <v>43</v>
      </c>
      <c r="C83" s="35">
        <f t="shared" si="15"/>
        <v>0.96258059250795724</v>
      </c>
      <c r="D83" s="35">
        <f t="shared" si="16"/>
        <v>0.97118036971468569</v>
      </c>
      <c r="E83" s="35">
        <f t="shared" si="17"/>
        <v>0.9911450257079899</v>
      </c>
      <c r="F83" s="20">
        <v>24506</v>
      </c>
      <c r="G83" s="20">
        <f t="shared" si="18"/>
        <v>217</v>
      </c>
      <c r="H83" s="20">
        <v>24289</v>
      </c>
      <c r="I83" s="20">
        <v>23589</v>
      </c>
      <c r="J83" s="20">
        <f t="shared" si="19"/>
        <v>700</v>
      </c>
      <c r="K83" s="20"/>
      <c r="L83" s="20"/>
      <c r="M83" s="46"/>
      <c r="N83" s="47"/>
      <c r="O83" s="30"/>
      <c r="P83" s="30"/>
      <c r="Q83" s="30"/>
      <c r="R83" s="20"/>
      <c r="S83" s="20"/>
      <c r="T83" s="20"/>
      <c r="U83" s="20"/>
      <c r="V83" s="20"/>
      <c r="W83" s="20"/>
      <c r="X83" s="20"/>
      <c r="Y83" s="46"/>
      <c r="Z83" s="47"/>
      <c r="AA83" s="30"/>
      <c r="AB83" s="30"/>
      <c r="AC83" s="30"/>
      <c r="AD83" s="20"/>
      <c r="AE83" s="20"/>
      <c r="AF83" s="20"/>
      <c r="AG83" s="20"/>
      <c r="AH83" s="20"/>
      <c r="AI83" s="20"/>
      <c r="AJ83" s="20"/>
      <c r="AK83" s="46"/>
      <c r="AL83" s="47"/>
      <c r="AM83" s="30"/>
      <c r="AN83" s="30"/>
      <c r="AO83" s="30"/>
      <c r="AP83" s="20"/>
      <c r="AQ83" s="20"/>
      <c r="AR83" s="20"/>
      <c r="AS83" s="20"/>
      <c r="AT83" s="20"/>
      <c r="AU83" s="20"/>
      <c r="AV83" s="20"/>
      <c r="AW83" s="46"/>
      <c r="AX83" s="47"/>
      <c r="AY83" s="30"/>
      <c r="AZ83" s="30"/>
      <c r="BA83" s="30"/>
      <c r="BB83" s="20"/>
      <c r="BC83" s="20"/>
      <c r="BD83" s="20"/>
      <c r="BE83" s="20"/>
      <c r="BF83" s="20"/>
      <c r="BG83" s="20"/>
      <c r="BH83" s="20"/>
      <c r="BI83" s="46"/>
      <c r="BJ83" s="47"/>
      <c r="BK83" s="30"/>
      <c r="BL83" s="30"/>
      <c r="BM83" s="30"/>
      <c r="BN83" s="20"/>
      <c r="BO83" s="20"/>
      <c r="BP83" s="20"/>
      <c r="BQ83" s="20"/>
      <c r="BR83" s="20"/>
      <c r="BS83" s="20"/>
      <c r="BT83" s="20"/>
      <c r="BU83" s="46"/>
      <c r="BV83" s="47"/>
      <c r="BW83" s="30"/>
      <c r="BX83" s="30"/>
      <c r="BY83" s="30"/>
      <c r="BZ83" s="20"/>
      <c r="CA83" s="20"/>
      <c r="CB83" s="20"/>
      <c r="CC83" s="20"/>
      <c r="CD83" s="20"/>
      <c r="CE83" s="20"/>
      <c r="CF83" s="20"/>
      <c r="CG83" s="46"/>
      <c r="CH83" s="47"/>
      <c r="CI83" s="30"/>
      <c r="CJ83" s="30"/>
      <c r="CK83" s="30"/>
      <c r="CL83" s="20"/>
      <c r="CM83" s="20"/>
      <c r="CN83" s="20"/>
      <c r="CO83" s="20"/>
      <c r="CP83" s="20"/>
      <c r="CQ83" s="20"/>
      <c r="CR83" s="20"/>
      <c r="CS83" s="46"/>
      <c r="CT83" s="47"/>
      <c r="CU83" s="30"/>
      <c r="CV83" s="30"/>
      <c r="CW83" s="30"/>
      <c r="CX83" s="20"/>
      <c r="CY83" s="20"/>
      <c r="CZ83" s="20"/>
      <c r="DA83" s="20"/>
      <c r="DB83" s="20"/>
      <c r="DC83" s="20"/>
      <c r="DD83" s="20"/>
      <c r="DE83" s="46"/>
      <c r="DF83" s="47"/>
      <c r="DG83" s="30"/>
      <c r="DH83" s="30"/>
      <c r="DI83" s="30"/>
      <c r="DJ83" s="20"/>
      <c r="DK83" s="20"/>
      <c r="DL83" s="20"/>
      <c r="DM83" s="20"/>
      <c r="DN83" s="20"/>
      <c r="DO83" s="20"/>
      <c r="DP83" s="20"/>
      <c r="DQ83" s="46"/>
      <c r="DR83" s="47"/>
      <c r="DS83" s="20"/>
      <c r="DT83" s="20"/>
      <c r="DU83" s="20"/>
      <c r="DV83" s="20"/>
      <c r="DW83" s="20"/>
      <c r="DX83" s="20"/>
      <c r="DY83" s="20"/>
      <c r="DZ83" s="20"/>
      <c r="EA83" s="20"/>
      <c r="EB83" s="20"/>
    </row>
    <row r="84" spans="1:132" s="29" customFormat="1" ht="12.75">
      <c r="A84" s="45">
        <v>1999</v>
      </c>
      <c r="B84" s="48" t="s">
        <v>44</v>
      </c>
      <c r="C84" s="35">
        <f t="shared" si="15"/>
        <v>0.96881951219512197</v>
      </c>
      <c r="D84" s="35">
        <f t="shared" si="16"/>
        <v>0.9761717521233092</v>
      </c>
      <c r="E84" s="35">
        <f t="shared" si="17"/>
        <v>0.9924682926829268</v>
      </c>
      <c r="F84" s="20">
        <v>25625</v>
      </c>
      <c r="G84" s="20">
        <f t="shared" si="18"/>
        <v>193</v>
      </c>
      <c r="H84" s="20">
        <v>25432</v>
      </c>
      <c r="I84" s="20">
        <v>24826</v>
      </c>
      <c r="J84" s="20">
        <f t="shared" si="19"/>
        <v>606</v>
      </c>
      <c r="K84" s="20"/>
      <c r="L84" s="20"/>
      <c r="M84" s="45"/>
      <c r="N84" s="48"/>
      <c r="O84" s="30"/>
      <c r="P84" s="30"/>
      <c r="Q84" s="30"/>
      <c r="R84" s="20"/>
      <c r="S84" s="20"/>
      <c r="T84" s="20"/>
      <c r="U84" s="20"/>
      <c r="V84" s="20"/>
      <c r="W84" s="20"/>
      <c r="X84" s="20"/>
      <c r="Y84" s="45"/>
      <c r="Z84" s="48"/>
      <c r="AA84" s="30"/>
      <c r="AB84" s="30"/>
      <c r="AC84" s="30"/>
      <c r="AD84" s="20"/>
      <c r="AE84" s="20"/>
      <c r="AF84" s="20"/>
      <c r="AG84" s="20"/>
      <c r="AH84" s="20"/>
      <c r="AI84" s="20"/>
      <c r="AJ84" s="20"/>
      <c r="AK84" s="45"/>
      <c r="AL84" s="48"/>
      <c r="AM84" s="30"/>
      <c r="AN84" s="30"/>
      <c r="AO84" s="30"/>
      <c r="AP84" s="20"/>
      <c r="AQ84" s="20"/>
      <c r="AR84" s="20"/>
      <c r="AS84" s="20"/>
      <c r="AT84" s="20"/>
      <c r="AU84" s="20"/>
      <c r="AV84" s="20"/>
      <c r="AW84" s="45"/>
      <c r="AX84" s="48"/>
      <c r="AY84" s="30"/>
      <c r="AZ84" s="30"/>
      <c r="BA84" s="30"/>
      <c r="BB84" s="20"/>
      <c r="BC84" s="20"/>
      <c r="BD84" s="20"/>
      <c r="BE84" s="20"/>
      <c r="BF84" s="20"/>
      <c r="BG84" s="20"/>
      <c r="BH84" s="20"/>
      <c r="BI84" s="45"/>
      <c r="BJ84" s="48"/>
      <c r="BK84" s="30"/>
      <c r="BL84" s="30"/>
      <c r="BM84" s="30"/>
      <c r="BN84" s="20"/>
      <c r="BO84" s="20"/>
      <c r="BP84" s="20"/>
      <c r="BQ84" s="20"/>
      <c r="BR84" s="20"/>
      <c r="BS84" s="20"/>
      <c r="BT84" s="20"/>
      <c r="BU84" s="45"/>
      <c r="BV84" s="48"/>
      <c r="BW84" s="30"/>
      <c r="BX84" s="30"/>
      <c r="BY84" s="30"/>
      <c r="BZ84" s="20"/>
      <c r="CA84" s="20"/>
      <c r="CB84" s="20"/>
      <c r="CC84" s="20"/>
      <c r="CD84" s="20"/>
      <c r="CE84" s="20"/>
      <c r="CF84" s="20"/>
      <c r="CG84" s="45"/>
      <c r="CH84" s="48"/>
      <c r="CI84" s="30"/>
      <c r="CJ84" s="30"/>
      <c r="CK84" s="30"/>
      <c r="CL84" s="20"/>
      <c r="CM84" s="20"/>
      <c r="CN84" s="20"/>
      <c r="CO84" s="20"/>
      <c r="CP84" s="20"/>
      <c r="CQ84" s="20"/>
      <c r="CR84" s="20"/>
      <c r="CS84" s="45"/>
      <c r="CT84" s="48"/>
      <c r="CU84" s="30"/>
      <c r="CV84" s="30"/>
      <c r="CW84" s="30"/>
      <c r="CX84" s="20"/>
      <c r="CY84" s="20"/>
      <c r="CZ84" s="20"/>
      <c r="DA84" s="20"/>
      <c r="DB84" s="20"/>
      <c r="DC84" s="20"/>
      <c r="DD84" s="20"/>
      <c r="DE84" s="45"/>
      <c r="DF84" s="48"/>
      <c r="DG84" s="30"/>
      <c r="DH84" s="30"/>
      <c r="DI84" s="30"/>
      <c r="DJ84" s="20"/>
      <c r="DK84" s="20"/>
      <c r="DL84" s="20"/>
      <c r="DM84" s="20"/>
      <c r="DN84" s="20"/>
      <c r="DO84" s="20"/>
      <c r="DP84" s="20"/>
      <c r="DQ84" s="45"/>
      <c r="DR84" s="48"/>
      <c r="DS84" s="20"/>
      <c r="DT84" s="20"/>
      <c r="DU84" s="20"/>
      <c r="DV84" s="20"/>
      <c r="DW84" s="20"/>
      <c r="DX84" s="20"/>
      <c r="DY84" s="20"/>
      <c r="DZ84" s="20"/>
      <c r="EA84" s="20"/>
      <c r="EB84" s="20"/>
    </row>
    <row r="85" spans="1:132" s="29" customFormat="1" ht="12.75">
      <c r="A85" s="46">
        <v>1999</v>
      </c>
      <c r="B85" s="47" t="s">
        <v>45</v>
      </c>
      <c r="C85" s="35">
        <f t="shared" si="15"/>
        <v>0.96664568911264948</v>
      </c>
      <c r="D85" s="35">
        <f t="shared" si="16"/>
        <v>0.97388547652070534</v>
      </c>
      <c r="E85" s="35">
        <f t="shared" si="17"/>
        <v>0.99256607929515417</v>
      </c>
      <c r="F85" s="20">
        <v>25424</v>
      </c>
      <c r="G85" s="20">
        <f t="shared" si="18"/>
        <v>189</v>
      </c>
      <c r="H85" s="20">
        <v>25235</v>
      </c>
      <c r="I85" s="20">
        <v>24576</v>
      </c>
      <c r="J85" s="20">
        <f t="shared" si="19"/>
        <v>659</v>
      </c>
      <c r="K85" s="20"/>
      <c r="L85" s="20"/>
      <c r="M85" s="46"/>
      <c r="N85" s="47"/>
      <c r="O85" s="30"/>
      <c r="P85" s="30"/>
      <c r="Q85" s="30"/>
      <c r="R85" s="20"/>
      <c r="S85" s="20"/>
      <c r="T85" s="20"/>
      <c r="U85" s="20"/>
      <c r="V85" s="20"/>
      <c r="W85" s="20"/>
      <c r="X85" s="20"/>
      <c r="Y85" s="46"/>
      <c r="Z85" s="47"/>
      <c r="AA85" s="30"/>
      <c r="AB85" s="30"/>
      <c r="AC85" s="30"/>
      <c r="AD85" s="20"/>
      <c r="AE85" s="20"/>
      <c r="AF85" s="20"/>
      <c r="AG85" s="20"/>
      <c r="AH85" s="20"/>
      <c r="AI85" s="20"/>
      <c r="AJ85" s="20"/>
      <c r="AK85" s="46"/>
      <c r="AL85" s="47"/>
      <c r="AM85" s="30"/>
      <c r="AN85" s="30"/>
      <c r="AO85" s="30"/>
      <c r="AP85" s="20"/>
      <c r="AQ85" s="20"/>
      <c r="AR85" s="20"/>
      <c r="AS85" s="20"/>
      <c r="AT85" s="20"/>
      <c r="AU85" s="20"/>
      <c r="AV85" s="20"/>
      <c r="AW85" s="46"/>
      <c r="AX85" s="47"/>
      <c r="AY85" s="30"/>
      <c r="AZ85" s="30"/>
      <c r="BA85" s="30"/>
      <c r="BB85" s="20"/>
      <c r="BC85" s="20"/>
      <c r="BD85" s="20"/>
      <c r="BE85" s="20"/>
      <c r="BF85" s="20"/>
      <c r="BG85" s="20"/>
      <c r="BH85" s="20"/>
      <c r="BI85" s="46"/>
      <c r="BJ85" s="47"/>
      <c r="BK85" s="30"/>
      <c r="BL85" s="30"/>
      <c r="BM85" s="30"/>
      <c r="BN85" s="20"/>
      <c r="BO85" s="20"/>
      <c r="BP85" s="20"/>
      <c r="BQ85" s="20"/>
      <c r="BR85" s="20"/>
      <c r="BS85" s="20"/>
      <c r="BT85" s="20"/>
      <c r="BU85" s="46"/>
      <c r="BV85" s="47"/>
      <c r="BW85" s="30"/>
      <c r="BX85" s="30"/>
      <c r="BY85" s="30"/>
      <c r="BZ85" s="20"/>
      <c r="CA85" s="20"/>
      <c r="CB85" s="20"/>
      <c r="CC85" s="20"/>
      <c r="CD85" s="20"/>
      <c r="CE85" s="20"/>
      <c r="CF85" s="20"/>
      <c r="CG85" s="46"/>
      <c r="CH85" s="47"/>
      <c r="CI85" s="30"/>
      <c r="CJ85" s="30"/>
      <c r="CK85" s="30"/>
      <c r="CL85" s="20"/>
      <c r="CM85" s="20"/>
      <c r="CN85" s="20"/>
      <c r="CO85" s="20"/>
      <c r="CP85" s="20"/>
      <c r="CQ85" s="20"/>
      <c r="CR85" s="20"/>
      <c r="CS85" s="46"/>
      <c r="CT85" s="47"/>
      <c r="CU85" s="30"/>
      <c r="CV85" s="30"/>
      <c r="CW85" s="30"/>
      <c r="CX85" s="20"/>
      <c r="CY85" s="20"/>
      <c r="CZ85" s="20"/>
      <c r="DA85" s="20"/>
      <c r="DB85" s="20"/>
      <c r="DC85" s="20"/>
      <c r="DD85" s="20"/>
      <c r="DE85" s="46"/>
      <c r="DF85" s="47"/>
      <c r="DG85" s="30"/>
      <c r="DH85" s="30"/>
      <c r="DI85" s="30"/>
      <c r="DJ85" s="20"/>
      <c r="DK85" s="20"/>
      <c r="DL85" s="20"/>
      <c r="DM85" s="20"/>
      <c r="DN85" s="20"/>
      <c r="DO85" s="20"/>
      <c r="DP85" s="20"/>
      <c r="DQ85" s="46"/>
      <c r="DR85" s="47"/>
      <c r="DS85" s="20"/>
      <c r="DT85" s="20"/>
      <c r="DU85" s="20"/>
      <c r="DV85" s="20"/>
      <c r="DW85" s="20"/>
      <c r="DX85" s="20"/>
      <c r="DY85" s="20"/>
      <c r="DZ85" s="20"/>
      <c r="EA85" s="20"/>
      <c r="EB85" s="20"/>
    </row>
    <row r="86" spans="1:132" s="29" customFormat="1" ht="12.75">
      <c r="A86" s="45">
        <v>1999</v>
      </c>
      <c r="B86" s="48" t="s">
        <v>46</v>
      </c>
      <c r="C86" s="35">
        <f t="shared" si="15"/>
        <v>0.96262642225031603</v>
      </c>
      <c r="D86" s="35">
        <f t="shared" si="16"/>
        <v>0.97281111510360518</v>
      </c>
      <c r="E86" s="35">
        <f t="shared" si="17"/>
        <v>0.98953065739570167</v>
      </c>
      <c r="F86" s="20">
        <v>25312</v>
      </c>
      <c r="G86" s="20">
        <f t="shared" si="18"/>
        <v>265</v>
      </c>
      <c r="H86" s="20">
        <v>25047</v>
      </c>
      <c r="I86" s="20">
        <v>24366</v>
      </c>
      <c r="J86" s="20">
        <f t="shared" si="19"/>
        <v>681</v>
      </c>
      <c r="K86" s="20"/>
      <c r="L86" s="20"/>
      <c r="M86" s="45"/>
      <c r="N86" s="48"/>
      <c r="O86" s="30"/>
      <c r="P86" s="30"/>
      <c r="Q86" s="30"/>
      <c r="R86" s="20"/>
      <c r="S86" s="20"/>
      <c r="T86" s="20"/>
      <c r="U86" s="20"/>
      <c r="V86" s="20"/>
      <c r="W86" s="20"/>
      <c r="X86" s="20"/>
      <c r="Y86" s="45"/>
      <c r="Z86" s="48"/>
      <c r="AA86" s="30"/>
      <c r="AB86" s="30"/>
      <c r="AC86" s="30"/>
      <c r="AD86" s="20"/>
      <c r="AE86" s="20"/>
      <c r="AF86" s="20"/>
      <c r="AG86" s="20"/>
      <c r="AH86" s="20"/>
      <c r="AI86" s="20"/>
      <c r="AJ86" s="20"/>
      <c r="AK86" s="45"/>
      <c r="AL86" s="48"/>
      <c r="AM86" s="30"/>
      <c r="AN86" s="30"/>
      <c r="AO86" s="30"/>
      <c r="AP86" s="20"/>
      <c r="AQ86" s="20"/>
      <c r="AR86" s="20"/>
      <c r="AS86" s="20"/>
      <c r="AT86" s="20"/>
      <c r="AU86" s="20"/>
      <c r="AV86" s="20"/>
      <c r="AW86" s="45"/>
      <c r="AX86" s="48"/>
      <c r="AY86" s="30"/>
      <c r="AZ86" s="30"/>
      <c r="BA86" s="30"/>
      <c r="BB86" s="20"/>
      <c r="BC86" s="20"/>
      <c r="BD86" s="20"/>
      <c r="BE86" s="20"/>
      <c r="BF86" s="20"/>
      <c r="BG86" s="20"/>
      <c r="BH86" s="20"/>
      <c r="BI86" s="45"/>
      <c r="BJ86" s="48"/>
      <c r="BK86" s="30"/>
      <c r="BL86" s="30"/>
      <c r="BM86" s="30"/>
      <c r="BN86" s="20"/>
      <c r="BO86" s="20"/>
      <c r="BP86" s="20"/>
      <c r="BQ86" s="20"/>
      <c r="BR86" s="20"/>
      <c r="BS86" s="20"/>
      <c r="BT86" s="20"/>
      <c r="BU86" s="45"/>
      <c r="BV86" s="48"/>
      <c r="BW86" s="30"/>
      <c r="BX86" s="30"/>
      <c r="BY86" s="30"/>
      <c r="BZ86" s="20"/>
      <c r="CA86" s="20"/>
      <c r="CB86" s="20"/>
      <c r="CC86" s="20"/>
      <c r="CD86" s="20"/>
      <c r="CE86" s="20"/>
      <c r="CF86" s="20"/>
      <c r="CG86" s="45"/>
      <c r="CH86" s="48"/>
      <c r="CI86" s="30"/>
      <c r="CJ86" s="30"/>
      <c r="CK86" s="30"/>
      <c r="CL86" s="20"/>
      <c r="CM86" s="20"/>
      <c r="CN86" s="20"/>
      <c r="CO86" s="20"/>
      <c r="CP86" s="20"/>
      <c r="CQ86" s="20"/>
      <c r="CR86" s="20"/>
      <c r="CS86" s="45"/>
      <c r="CT86" s="48"/>
      <c r="CU86" s="30"/>
      <c r="CV86" s="30"/>
      <c r="CW86" s="30"/>
      <c r="CX86" s="20"/>
      <c r="CY86" s="20"/>
      <c r="CZ86" s="20"/>
      <c r="DA86" s="20"/>
      <c r="DB86" s="20"/>
      <c r="DC86" s="20"/>
      <c r="DD86" s="20"/>
      <c r="DE86" s="45"/>
      <c r="DF86" s="48"/>
      <c r="DG86" s="30"/>
      <c r="DH86" s="30"/>
      <c r="DI86" s="30"/>
      <c r="DJ86" s="20"/>
      <c r="DK86" s="20"/>
      <c r="DL86" s="20"/>
      <c r="DM86" s="20"/>
      <c r="DN86" s="20"/>
      <c r="DO86" s="20"/>
      <c r="DP86" s="20"/>
      <c r="DQ86" s="45"/>
      <c r="DR86" s="48"/>
      <c r="DS86" s="20"/>
      <c r="DT86" s="20"/>
      <c r="DU86" s="20"/>
      <c r="DV86" s="20"/>
      <c r="DW86" s="20"/>
      <c r="DX86" s="20"/>
      <c r="DY86" s="20"/>
      <c r="DZ86" s="20"/>
      <c r="EA86" s="20"/>
      <c r="EB86" s="20"/>
    </row>
    <row r="87" spans="1:132" s="29" customFormat="1" ht="12.75">
      <c r="A87" s="46">
        <v>1999</v>
      </c>
      <c r="B87" s="47" t="s">
        <v>47</v>
      </c>
      <c r="C87" s="35">
        <f t="shared" si="15"/>
        <v>0.9768344355126124</v>
      </c>
      <c r="D87" s="35">
        <f t="shared" si="16"/>
        <v>0.98549798250169784</v>
      </c>
      <c r="E87" s="35">
        <f t="shared" si="17"/>
        <v>0.99120896527145286</v>
      </c>
      <c r="F87" s="20">
        <v>25253</v>
      </c>
      <c r="G87" s="20">
        <f t="shared" si="18"/>
        <v>222</v>
      </c>
      <c r="H87" s="20">
        <v>25031</v>
      </c>
      <c r="I87" s="20">
        <v>24668</v>
      </c>
      <c r="J87" s="20">
        <f t="shared" si="19"/>
        <v>363</v>
      </c>
      <c r="K87" s="20"/>
      <c r="L87" s="20"/>
      <c r="M87" s="46"/>
      <c r="N87" s="47"/>
      <c r="O87" s="30"/>
      <c r="P87" s="30"/>
      <c r="Q87" s="30"/>
      <c r="R87" s="20"/>
      <c r="S87" s="20"/>
      <c r="T87" s="20"/>
      <c r="U87" s="20"/>
      <c r="V87" s="20"/>
      <c r="W87" s="20"/>
      <c r="X87" s="20"/>
      <c r="Y87" s="46"/>
      <c r="Z87" s="47"/>
      <c r="AA87" s="30"/>
      <c r="AB87" s="30"/>
      <c r="AC87" s="30"/>
      <c r="AD87" s="20"/>
      <c r="AE87" s="20"/>
      <c r="AF87" s="20"/>
      <c r="AG87" s="20"/>
      <c r="AH87" s="20"/>
      <c r="AI87" s="20"/>
      <c r="AJ87" s="20"/>
      <c r="AK87" s="46"/>
      <c r="AL87" s="47"/>
      <c r="AM87" s="30"/>
      <c r="AN87" s="30"/>
      <c r="AO87" s="30"/>
      <c r="AP87" s="20"/>
      <c r="AQ87" s="20"/>
      <c r="AR87" s="20"/>
      <c r="AS87" s="20"/>
      <c r="AT87" s="20"/>
      <c r="AU87" s="20"/>
      <c r="AV87" s="20"/>
      <c r="AW87" s="46"/>
      <c r="AX87" s="47"/>
      <c r="AY87" s="30"/>
      <c r="AZ87" s="30"/>
      <c r="BA87" s="30"/>
      <c r="BB87" s="20"/>
      <c r="BC87" s="20"/>
      <c r="BD87" s="20"/>
      <c r="BE87" s="20"/>
      <c r="BF87" s="20"/>
      <c r="BG87" s="20"/>
      <c r="BH87" s="20"/>
      <c r="BI87" s="46"/>
      <c r="BJ87" s="47"/>
      <c r="BK87" s="30"/>
      <c r="BL87" s="30"/>
      <c r="BM87" s="30"/>
      <c r="BN87" s="20"/>
      <c r="BO87" s="20"/>
      <c r="BP87" s="20"/>
      <c r="BQ87" s="20"/>
      <c r="BR87" s="20"/>
      <c r="BS87" s="20"/>
      <c r="BT87" s="20"/>
      <c r="BU87" s="46"/>
      <c r="BV87" s="47"/>
      <c r="BW87" s="30"/>
      <c r="BX87" s="30"/>
      <c r="BY87" s="30"/>
      <c r="BZ87" s="20"/>
      <c r="CA87" s="20"/>
      <c r="CB87" s="20"/>
      <c r="CC87" s="20"/>
      <c r="CD87" s="20"/>
      <c r="CE87" s="20"/>
      <c r="CF87" s="20"/>
      <c r="CG87" s="46"/>
      <c r="CH87" s="47"/>
      <c r="CI87" s="30"/>
      <c r="CJ87" s="30"/>
      <c r="CK87" s="30"/>
      <c r="CL87" s="20"/>
      <c r="CM87" s="20"/>
      <c r="CN87" s="20"/>
      <c r="CO87" s="20"/>
      <c r="CP87" s="20"/>
      <c r="CQ87" s="20"/>
      <c r="CR87" s="20"/>
      <c r="CS87" s="46"/>
      <c r="CT87" s="47"/>
      <c r="CU87" s="30"/>
      <c r="CV87" s="30"/>
      <c r="CW87" s="30"/>
      <c r="CX87" s="20"/>
      <c r="CY87" s="20"/>
      <c r="CZ87" s="20"/>
      <c r="DA87" s="20"/>
      <c r="DB87" s="20"/>
      <c r="DC87" s="20"/>
      <c r="DD87" s="20"/>
      <c r="DE87" s="46"/>
      <c r="DF87" s="47"/>
      <c r="DG87" s="30"/>
      <c r="DH87" s="30"/>
      <c r="DI87" s="30"/>
      <c r="DJ87" s="20"/>
      <c r="DK87" s="20"/>
      <c r="DL87" s="20"/>
      <c r="DM87" s="20"/>
      <c r="DN87" s="20"/>
      <c r="DO87" s="20"/>
      <c r="DP87" s="20"/>
      <c r="DQ87" s="46"/>
      <c r="DR87" s="47"/>
      <c r="DS87" s="20"/>
      <c r="DT87" s="20"/>
      <c r="DU87" s="20"/>
      <c r="DV87" s="20"/>
      <c r="DW87" s="20"/>
      <c r="DX87" s="20"/>
      <c r="DY87" s="20"/>
      <c r="DZ87" s="20"/>
      <c r="EA87" s="20"/>
      <c r="EB87" s="20"/>
    </row>
    <row r="88" spans="1:132" s="29" customFormat="1" ht="12.75">
      <c r="A88" s="45">
        <v>1999</v>
      </c>
      <c r="B88" s="48" t="s">
        <v>48</v>
      </c>
      <c r="C88" s="35">
        <f t="shared" si="15"/>
        <v>0.96811113742205379</v>
      </c>
      <c r="D88" s="35">
        <f t="shared" si="16"/>
        <v>0.97912425657605873</v>
      </c>
      <c r="E88" s="35">
        <f t="shared" si="17"/>
        <v>0.98875207198673931</v>
      </c>
      <c r="F88" s="20">
        <v>25338</v>
      </c>
      <c r="G88" s="20">
        <f t="shared" si="18"/>
        <v>285</v>
      </c>
      <c r="H88" s="20">
        <v>25053</v>
      </c>
      <c r="I88" s="20">
        <v>24530</v>
      </c>
      <c r="J88" s="20">
        <f t="shared" si="19"/>
        <v>523</v>
      </c>
      <c r="K88" s="20"/>
      <c r="L88" s="20"/>
      <c r="M88" s="45"/>
      <c r="N88" s="48"/>
      <c r="O88" s="30"/>
      <c r="P88" s="30"/>
      <c r="Q88" s="30"/>
      <c r="R88" s="20"/>
      <c r="S88" s="20"/>
      <c r="T88" s="20"/>
      <c r="U88" s="20"/>
      <c r="V88" s="20"/>
      <c r="W88" s="20"/>
      <c r="X88" s="20"/>
      <c r="Y88" s="45"/>
      <c r="Z88" s="48"/>
      <c r="AA88" s="30"/>
      <c r="AB88" s="30"/>
      <c r="AC88" s="30"/>
      <c r="AD88" s="20"/>
      <c r="AE88" s="20"/>
      <c r="AF88" s="20"/>
      <c r="AG88" s="20"/>
      <c r="AH88" s="20"/>
      <c r="AI88" s="20"/>
      <c r="AJ88" s="20"/>
      <c r="AK88" s="45"/>
      <c r="AL88" s="48"/>
      <c r="AM88" s="30"/>
      <c r="AN88" s="30"/>
      <c r="AO88" s="30"/>
      <c r="AP88" s="20"/>
      <c r="AQ88" s="20"/>
      <c r="AR88" s="20"/>
      <c r="AS88" s="20"/>
      <c r="AT88" s="20"/>
      <c r="AU88" s="20"/>
      <c r="AV88" s="20"/>
      <c r="AW88" s="45"/>
      <c r="AX88" s="48"/>
      <c r="AY88" s="30"/>
      <c r="AZ88" s="30"/>
      <c r="BA88" s="30"/>
      <c r="BB88" s="20"/>
      <c r="BC88" s="20"/>
      <c r="BD88" s="20"/>
      <c r="BE88" s="20"/>
      <c r="BF88" s="20"/>
      <c r="BG88" s="20"/>
      <c r="BH88" s="20"/>
      <c r="BI88" s="45"/>
      <c r="BJ88" s="48"/>
      <c r="BK88" s="30"/>
      <c r="BL88" s="30"/>
      <c r="BM88" s="30"/>
      <c r="BN88" s="20"/>
      <c r="BO88" s="20"/>
      <c r="BP88" s="20"/>
      <c r="BQ88" s="20"/>
      <c r="BR88" s="20"/>
      <c r="BS88" s="20"/>
      <c r="BT88" s="20"/>
      <c r="BU88" s="45"/>
      <c r="BV88" s="48"/>
      <c r="BW88" s="30"/>
      <c r="BX88" s="30"/>
      <c r="BY88" s="30"/>
      <c r="BZ88" s="20"/>
      <c r="CA88" s="20"/>
      <c r="CB88" s="20"/>
      <c r="CC88" s="20"/>
      <c r="CD88" s="20"/>
      <c r="CE88" s="20"/>
      <c r="CF88" s="20"/>
      <c r="CG88" s="45"/>
      <c r="CH88" s="48"/>
      <c r="CI88" s="30"/>
      <c r="CJ88" s="30"/>
      <c r="CK88" s="30"/>
      <c r="CL88" s="20"/>
      <c r="CM88" s="20"/>
      <c r="CN88" s="20"/>
      <c r="CO88" s="20"/>
      <c r="CP88" s="20"/>
      <c r="CQ88" s="20"/>
      <c r="CR88" s="20"/>
      <c r="CS88" s="45"/>
      <c r="CT88" s="48"/>
      <c r="CU88" s="30"/>
      <c r="CV88" s="30"/>
      <c r="CW88" s="30"/>
      <c r="CX88" s="20"/>
      <c r="CY88" s="20"/>
      <c r="CZ88" s="20"/>
      <c r="DA88" s="20"/>
      <c r="DB88" s="20"/>
      <c r="DC88" s="20"/>
      <c r="DD88" s="20"/>
      <c r="DE88" s="45"/>
      <c r="DF88" s="48"/>
      <c r="DG88" s="30"/>
      <c r="DH88" s="30"/>
      <c r="DI88" s="30"/>
      <c r="DJ88" s="20"/>
      <c r="DK88" s="20"/>
      <c r="DL88" s="20"/>
      <c r="DM88" s="20"/>
      <c r="DN88" s="20"/>
      <c r="DO88" s="20"/>
      <c r="DP88" s="20"/>
      <c r="DQ88" s="45"/>
      <c r="DR88" s="48"/>
      <c r="DS88" s="20"/>
      <c r="DT88" s="20"/>
      <c r="DU88" s="20"/>
      <c r="DV88" s="20"/>
      <c r="DW88" s="20"/>
      <c r="DX88" s="20"/>
      <c r="DY88" s="20"/>
      <c r="DZ88" s="20"/>
      <c r="EA88" s="20"/>
      <c r="EB88" s="20"/>
    </row>
    <row r="89" spans="1:132" s="29" customFormat="1" ht="12.75">
      <c r="A89" s="46">
        <v>1999</v>
      </c>
      <c r="B89" s="47" t="s">
        <v>49</v>
      </c>
      <c r="C89" s="35">
        <f t="shared" si="15"/>
        <v>0.96785004481508907</v>
      </c>
      <c r="D89" s="35">
        <f t="shared" si="16"/>
        <v>0.97495485593153808</v>
      </c>
      <c r="E89" s="35">
        <f t="shared" si="17"/>
        <v>0.9927126768247535</v>
      </c>
      <c r="F89" s="20">
        <v>25661</v>
      </c>
      <c r="G89" s="20">
        <f t="shared" si="18"/>
        <v>187</v>
      </c>
      <c r="H89" s="20">
        <v>25474</v>
      </c>
      <c r="I89" s="20">
        <v>24836</v>
      </c>
      <c r="J89" s="20">
        <f t="shared" si="19"/>
        <v>638</v>
      </c>
      <c r="K89" s="20"/>
      <c r="L89" s="20"/>
      <c r="M89" s="46"/>
      <c r="N89" s="47"/>
      <c r="O89" s="30"/>
      <c r="P89" s="30"/>
      <c r="Q89" s="30"/>
      <c r="R89" s="20"/>
      <c r="S89" s="20"/>
      <c r="T89" s="20"/>
      <c r="U89" s="20"/>
      <c r="V89" s="20"/>
      <c r="W89" s="20"/>
      <c r="X89" s="20"/>
      <c r="Y89" s="46"/>
      <c r="Z89" s="47"/>
      <c r="AA89" s="30"/>
      <c r="AB89" s="30"/>
      <c r="AC89" s="30"/>
      <c r="AD89" s="20"/>
      <c r="AE89" s="20"/>
      <c r="AF89" s="20"/>
      <c r="AG89" s="20"/>
      <c r="AH89" s="20"/>
      <c r="AI89" s="20"/>
      <c r="AJ89" s="20"/>
      <c r="AK89" s="46"/>
      <c r="AL89" s="47"/>
      <c r="AM89" s="30"/>
      <c r="AN89" s="30"/>
      <c r="AO89" s="30"/>
      <c r="AP89" s="20"/>
      <c r="AQ89" s="20"/>
      <c r="AR89" s="20"/>
      <c r="AS89" s="20"/>
      <c r="AT89" s="20"/>
      <c r="AU89" s="20"/>
      <c r="AV89" s="20"/>
      <c r="AW89" s="46"/>
      <c r="AX89" s="47"/>
      <c r="AY89" s="30"/>
      <c r="AZ89" s="30"/>
      <c r="BA89" s="30"/>
      <c r="BB89" s="20"/>
      <c r="BC89" s="20"/>
      <c r="BD89" s="20"/>
      <c r="BE89" s="20"/>
      <c r="BF89" s="20"/>
      <c r="BG89" s="20"/>
      <c r="BH89" s="20"/>
      <c r="BI89" s="46"/>
      <c r="BJ89" s="47"/>
      <c r="BK89" s="30"/>
      <c r="BL89" s="30"/>
      <c r="BM89" s="30"/>
      <c r="BN89" s="20"/>
      <c r="BO89" s="20"/>
      <c r="BP89" s="20"/>
      <c r="BQ89" s="20"/>
      <c r="BR89" s="20"/>
      <c r="BS89" s="20"/>
      <c r="BT89" s="20"/>
      <c r="BU89" s="46"/>
      <c r="BV89" s="47"/>
      <c r="BW89" s="30"/>
      <c r="BX89" s="30"/>
      <c r="BY89" s="30"/>
      <c r="BZ89" s="20"/>
      <c r="CA89" s="20"/>
      <c r="CB89" s="20"/>
      <c r="CC89" s="20"/>
      <c r="CD89" s="20"/>
      <c r="CE89" s="20"/>
      <c r="CF89" s="20"/>
      <c r="CG89" s="46"/>
      <c r="CH89" s="47"/>
      <c r="CI89" s="30"/>
      <c r="CJ89" s="30"/>
      <c r="CK89" s="30"/>
      <c r="CL89" s="20"/>
      <c r="CM89" s="20"/>
      <c r="CN89" s="20"/>
      <c r="CO89" s="20"/>
      <c r="CP89" s="20"/>
      <c r="CQ89" s="20"/>
      <c r="CR89" s="20"/>
      <c r="CS89" s="46"/>
      <c r="CT89" s="47"/>
      <c r="CU89" s="30"/>
      <c r="CV89" s="30"/>
      <c r="CW89" s="30"/>
      <c r="CX89" s="20"/>
      <c r="CY89" s="20"/>
      <c r="CZ89" s="20"/>
      <c r="DA89" s="20"/>
      <c r="DB89" s="20"/>
      <c r="DC89" s="20"/>
      <c r="DD89" s="20"/>
      <c r="DE89" s="46"/>
      <c r="DF89" s="47"/>
      <c r="DG89" s="30"/>
      <c r="DH89" s="30"/>
      <c r="DI89" s="30"/>
      <c r="DJ89" s="20"/>
      <c r="DK89" s="20"/>
      <c r="DL89" s="20"/>
      <c r="DM89" s="20"/>
      <c r="DN89" s="20"/>
      <c r="DO89" s="20"/>
      <c r="DP89" s="20"/>
      <c r="DQ89" s="46"/>
      <c r="DR89" s="47"/>
      <c r="DS89" s="20"/>
      <c r="DT89" s="20"/>
      <c r="DU89" s="20"/>
      <c r="DV89" s="20"/>
      <c r="DW89" s="20"/>
      <c r="DX89" s="20"/>
      <c r="DY89" s="20"/>
      <c r="DZ89" s="20"/>
      <c r="EA89" s="20"/>
      <c r="EB89" s="20"/>
    </row>
    <row r="90" spans="1:132" s="29" customFormat="1" ht="12.75">
      <c r="A90" s="45">
        <v>2000</v>
      </c>
      <c r="B90" s="48" t="s">
        <v>38</v>
      </c>
      <c r="C90" s="35">
        <f t="shared" si="15"/>
        <v>0.96915641821539433</v>
      </c>
      <c r="D90" s="35">
        <f t="shared" si="16"/>
        <v>0.9774519516544482</v>
      </c>
      <c r="E90" s="35">
        <f t="shared" si="17"/>
        <v>0.99151310361086009</v>
      </c>
      <c r="F90" s="20">
        <v>25451</v>
      </c>
      <c r="G90" s="20">
        <f t="shared" ref="G90:G101" si="20">F90-H90</f>
        <v>216</v>
      </c>
      <c r="H90" s="20">
        <v>25235</v>
      </c>
      <c r="I90" s="20">
        <v>24666</v>
      </c>
      <c r="J90" s="20">
        <f t="shared" ref="J90:J101" si="21">H90-I90</f>
        <v>569</v>
      </c>
      <c r="K90" s="20"/>
      <c r="L90" s="20"/>
      <c r="M90" s="45"/>
      <c r="N90" s="48"/>
      <c r="O90" s="30"/>
      <c r="P90" s="30"/>
      <c r="Q90" s="30"/>
      <c r="R90" s="20"/>
      <c r="S90" s="20"/>
      <c r="T90" s="20"/>
      <c r="U90" s="20"/>
      <c r="V90" s="20"/>
      <c r="W90" s="20"/>
      <c r="X90" s="20"/>
      <c r="Y90" s="45"/>
      <c r="Z90" s="48"/>
      <c r="AA90" s="30"/>
      <c r="AB90" s="30"/>
      <c r="AC90" s="30"/>
      <c r="AD90" s="20"/>
      <c r="AE90" s="20"/>
      <c r="AF90" s="20"/>
      <c r="AG90" s="20"/>
      <c r="AH90" s="20"/>
      <c r="AI90" s="20"/>
      <c r="AJ90" s="20"/>
      <c r="AK90" s="45"/>
      <c r="AL90" s="48"/>
      <c r="AM90" s="30"/>
      <c r="AN90" s="30"/>
      <c r="AO90" s="30"/>
      <c r="AP90" s="20"/>
      <c r="AQ90" s="20"/>
      <c r="AR90" s="20"/>
      <c r="AS90" s="20"/>
      <c r="AT90" s="20"/>
      <c r="AU90" s="20"/>
      <c r="AV90" s="20"/>
      <c r="AW90" s="45"/>
      <c r="AX90" s="48"/>
      <c r="AY90" s="30"/>
      <c r="AZ90" s="30"/>
      <c r="BA90" s="30"/>
      <c r="BB90" s="20"/>
      <c r="BC90" s="20"/>
      <c r="BD90" s="20"/>
      <c r="BE90" s="20"/>
      <c r="BF90" s="20"/>
      <c r="BG90" s="20"/>
      <c r="BH90" s="20"/>
      <c r="BI90" s="45"/>
      <c r="BJ90" s="48"/>
      <c r="BK90" s="30"/>
      <c r="BL90" s="30"/>
      <c r="BM90" s="30"/>
      <c r="BN90" s="20"/>
      <c r="BO90" s="20"/>
      <c r="BP90" s="20"/>
      <c r="BQ90" s="20"/>
      <c r="BR90" s="20"/>
      <c r="BS90" s="20"/>
      <c r="BT90" s="20"/>
      <c r="BU90" s="45"/>
      <c r="BV90" s="48"/>
      <c r="BW90" s="30"/>
      <c r="BX90" s="30"/>
      <c r="BY90" s="30"/>
      <c r="BZ90" s="20"/>
      <c r="CA90" s="20"/>
      <c r="CB90" s="20"/>
      <c r="CC90" s="20"/>
      <c r="CD90" s="20"/>
      <c r="CE90" s="20"/>
      <c r="CF90" s="20"/>
      <c r="CG90" s="45"/>
      <c r="CH90" s="48"/>
      <c r="CI90" s="30"/>
      <c r="CJ90" s="30"/>
      <c r="CK90" s="30"/>
      <c r="CL90" s="20"/>
      <c r="CM90" s="20"/>
      <c r="CN90" s="20"/>
      <c r="CO90" s="20"/>
      <c r="CP90" s="20"/>
      <c r="CQ90" s="20"/>
      <c r="CR90" s="20"/>
      <c r="CS90" s="45"/>
      <c r="CT90" s="48"/>
      <c r="CU90" s="30"/>
      <c r="CV90" s="30"/>
      <c r="CW90" s="30"/>
      <c r="CX90" s="20"/>
      <c r="CY90" s="20"/>
      <c r="CZ90" s="20"/>
      <c r="DA90" s="20"/>
      <c r="DB90" s="20"/>
      <c r="DC90" s="20"/>
      <c r="DD90" s="20"/>
      <c r="DE90" s="45"/>
      <c r="DF90" s="48"/>
      <c r="DG90" s="30"/>
      <c r="DH90" s="30"/>
      <c r="DI90" s="30"/>
      <c r="DJ90" s="20"/>
      <c r="DK90" s="20"/>
      <c r="DL90" s="20"/>
      <c r="DM90" s="20"/>
      <c r="DN90" s="20"/>
      <c r="DO90" s="20"/>
      <c r="DP90" s="20"/>
      <c r="DQ90" s="45"/>
      <c r="DR90" s="48"/>
      <c r="DS90" s="20"/>
      <c r="DT90" s="20"/>
      <c r="DU90" s="20"/>
      <c r="DV90" s="20"/>
      <c r="DW90" s="20"/>
      <c r="DX90" s="20"/>
      <c r="DY90" s="20"/>
      <c r="DZ90" s="20"/>
      <c r="EA90" s="20"/>
      <c r="EB90" s="20"/>
    </row>
    <row r="91" spans="1:132" s="29" customFormat="1" ht="12.75">
      <c r="A91" s="46">
        <v>2000</v>
      </c>
      <c r="B91" s="47" t="s">
        <v>39</v>
      </c>
      <c r="C91" s="35">
        <f t="shared" si="15"/>
        <v>0.96485766946549256</v>
      </c>
      <c r="D91" s="35">
        <f t="shared" si="16"/>
        <v>0.97270625154843504</v>
      </c>
      <c r="E91" s="35">
        <f t="shared" si="17"/>
        <v>0.9919311898423101</v>
      </c>
      <c r="F91" s="20">
        <v>24415</v>
      </c>
      <c r="G91" s="20">
        <f t="shared" si="20"/>
        <v>197</v>
      </c>
      <c r="H91" s="20">
        <v>24218</v>
      </c>
      <c r="I91" s="20">
        <v>23557</v>
      </c>
      <c r="J91" s="20">
        <f t="shared" si="21"/>
        <v>661</v>
      </c>
      <c r="K91" s="20"/>
      <c r="L91" s="20"/>
      <c r="M91" s="46"/>
      <c r="N91" s="47"/>
      <c r="O91" s="30"/>
      <c r="P91" s="30"/>
      <c r="Q91" s="30"/>
      <c r="R91" s="20"/>
      <c r="S91" s="20"/>
      <c r="T91" s="20"/>
      <c r="U91" s="20"/>
      <c r="V91" s="20"/>
      <c r="W91" s="20"/>
      <c r="X91" s="20"/>
      <c r="Y91" s="46"/>
      <c r="Z91" s="47"/>
      <c r="AA91" s="30"/>
      <c r="AB91" s="30"/>
      <c r="AC91" s="30"/>
      <c r="AD91" s="20"/>
      <c r="AE91" s="20"/>
      <c r="AF91" s="20"/>
      <c r="AG91" s="20"/>
      <c r="AH91" s="20"/>
      <c r="AI91" s="20"/>
      <c r="AJ91" s="20"/>
      <c r="AK91" s="46"/>
      <c r="AL91" s="47"/>
      <c r="AM91" s="30"/>
      <c r="AN91" s="30"/>
      <c r="AO91" s="30"/>
      <c r="AP91" s="20"/>
      <c r="AQ91" s="20"/>
      <c r="AR91" s="20"/>
      <c r="AS91" s="20"/>
      <c r="AT91" s="20"/>
      <c r="AU91" s="20"/>
      <c r="AV91" s="20"/>
      <c r="AW91" s="46"/>
      <c r="AX91" s="47"/>
      <c r="AY91" s="30"/>
      <c r="AZ91" s="30"/>
      <c r="BA91" s="30"/>
      <c r="BB91" s="20"/>
      <c r="BC91" s="20"/>
      <c r="BD91" s="20"/>
      <c r="BE91" s="20"/>
      <c r="BF91" s="20"/>
      <c r="BG91" s="20"/>
      <c r="BH91" s="20"/>
      <c r="BI91" s="46"/>
      <c r="BJ91" s="47"/>
      <c r="BK91" s="30"/>
      <c r="BL91" s="30"/>
      <c r="BM91" s="30"/>
      <c r="BN91" s="20"/>
      <c r="BO91" s="20"/>
      <c r="BP91" s="20"/>
      <c r="BQ91" s="20"/>
      <c r="BR91" s="20"/>
      <c r="BS91" s="20"/>
      <c r="BT91" s="20"/>
      <c r="BU91" s="46"/>
      <c r="BV91" s="47"/>
      <c r="BW91" s="30"/>
      <c r="BX91" s="30"/>
      <c r="BY91" s="30"/>
      <c r="BZ91" s="20"/>
      <c r="CA91" s="20"/>
      <c r="CB91" s="20"/>
      <c r="CC91" s="20"/>
      <c r="CD91" s="20"/>
      <c r="CE91" s="20"/>
      <c r="CF91" s="20"/>
      <c r="CG91" s="46"/>
      <c r="CH91" s="47"/>
      <c r="CI91" s="30"/>
      <c r="CJ91" s="30"/>
      <c r="CK91" s="30"/>
      <c r="CL91" s="20"/>
      <c r="CM91" s="20"/>
      <c r="CN91" s="20"/>
      <c r="CO91" s="20"/>
      <c r="CP91" s="20"/>
      <c r="CQ91" s="20"/>
      <c r="CR91" s="20"/>
      <c r="CS91" s="46"/>
      <c r="CT91" s="47"/>
      <c r="CU91" s="30"/>
      <c r="CV91" s="30"/>
      <c r="CW91" s="30"/>
      <c r="CX91" s="20"/>
      <c r="CY91" s="20"/>
      <c r="CZ91" s="20"/>
      <c r="DA91" s="20"/>
      <c r="DB91" s="20"/>
      <c r="DC91" s="20"/>
      <c r="DD91" s="20"/>
      <c r="DE91" s="46"/>
      <c r="DF91" s="47"/>
      <c r="DG91" s="30"/>
      <c r="DH91" s="30"/>
      <c r="DI91" s="30"/>
      <c r="DJ91" s="20"/>
      <c r="DK91" s="20"/>
      <c r="DL91" s="20"/>
      <c r="DM91" s="20"/>
      <c r="DN91" s="20"/>
      <c r="DO91" s="20"/>
      <c r="DP91" s="20"/>
      <c r="DQ91" s="46"/>
      <c r="DR91" s="47"/>
      <c r="DS91" s="20"/>
      <c r="DT91" s="20"/>
      <c r="DU91" s="20"/>
      <c r="DV91" s="20"/>
      <c r="DW91" s="20"/>
      <c r="DX91" s="20"/>
      <c r="DY91" s="20"/>
      <c r="DZ91" s="20"/>
      <c r="EA91" s="20"/>
      <c r="EB91" s="20"/>
    </row>
    <row r="92" spans="1:132" s="29" customFormat="1" ht="12.75">
      <c r="A92" s="45">
        <v>2000</v>
      </c>
      <c r="B92" s="48" t="s">
        <v>40</v>
      </c>
      <c r="C92" s="35">
        <f t="shared" si="15"/>
        <v>0.97552247896760436</v>
      </c>
      <c r="D92" s="35">
        <f t="shared" si="16"/>
        <v>0.98127512923607119</v>
      </c>
      <c r="E92" s="35">
        <f t="shared" si="17"/>
        <v>0.99413757661121471</v>
      </c>
      <c r="F92" s="20">
        <v>26269</v>
      </c>
      <c r="G92" s="20">
        <f t="shared" si="20"/>
        <v>154</v>
      </c>
      <c r="H92" s="20">
        <v>26115</v>
      </c>
      <c r="I92" s="20">
        <v>25626</v>
      </c>
      <c r="J92" s="20">
        <f t="shared" si="21"/>
        <v>489</v>
      </c>
      <c r="K92" s="20"/>
      <c r="L92" s="20"/>
      <c r="M92" s="45"/>
      <c r="N92" s="48"/>
      <c r="O92" s="30"/>
      <c r="P92" s="30"/>
      <c r="Q92" s="30"/>
      <c r="R92" s="20"/>
      <c r="S92" s="20"/>
      <c r="T92" s="20"/>
      <c r="U92" s="20"/>
      <c r="V92" s="20"/>
      <c r="W92" s="20"/>
      <c r="X92" s="20"/>
      <c r="Y92" s="45"/>
      <c r="Z92" s="48"/>
      <c r="AA92" s="30"/>
      <c r="AB92" s="30"/>
      <c r="AC92" s="30"/>
      <c r="AD92" s="20"/>
      <c r="AE92" s="20"/>
      <c r="AF92" s="20"/>
      <c r="AG92" s="20"/>
      <c r="AH92" s="20"/>
      <c r="AI92" s="20"/>
      <c r="AJ92" s="20"/>
      <c r="AK92" s="45"/>
      <c r="AL92" s="48"/>
      <c r="AM92" s="30"/>
      <c r="AN92" s="30"/>
      <c r="AO92" s="30"/>
      <c r="AP92" s="20"/>
      <c r="AQ92" s="20"/>
      <c r="AR92" s="20"/>
      <c r="AS92" s="20"/>
      <c r="AT92" s="20"/>
      <c r="AU92" s="20"/>
      <c r="AV92" s="20"/>
      <c r="AW92" s="45"/>
      <c r="AX92" s="48"/>
      <c r="AY92" s="30"/>
      <c r="AZ92" s="30"/>
      <c r="BA92" s="30"/>
      <c r="BB92" s="20"/>
      <c r="BC92" s="20"/>
      <c r="BD92" s="20"/>
      <c r="BE92" s="20"/>
      <c r="BF92" s="20"/>
      <c r="BG92" s="20"/>
      <c r="BH92" s="20"/>
      <c r="BI92" s="45"/>
      <c r="BJ92" s="48"/>
      <c r="BK92" s="30"/>
      <c r="BL92" s="30"/>
      <c r="BM92" s="30"/>
      <c r="BN92" s="20"/>
      <c r="BO92" s="20"/>
      <c r="BP92" s="20"/>
      <c r="BQ92" s="20"/>
      <c r="BR92" s="20"/>
      <c r="BS92" s="20"/>
      <c r="BT92" s="20"/>
      <c r="BU92" s="45"/>
      <c r="BV92" s="48"/>
      <c r="BW92" s="30"/>
      <c r="BX92" s="30"/>
      <c r="BY92" s="30"/>
      <c r="BZ92" s="20"/>
      <c r="CA92" s="20"/>
      <c r="CB92" s="20"/>
      <c r="CC92" s="20"/>
      <c r="CD92" s="20"/>
      <c r="CE92" s="20"/>
      <c r="CF92" s="20"/>
      <c r="CG92" s="45"/>
      <c r="CH92" s="48"/>
      <c r="CI92" s="30"/>
      <c r="CJ92" s="30"/>
      <c r="CK92" s="30"/>
      <c r="CL92" s="20"/>
      <c r="CM92" s="20"/>
      <c r="CN92" s="20"/>
      <c r="CO92" s="20"/>
      <c r="CP92" s="20"/>
      <c r="CQ92" s="20"/>
      <c r="CR92" s="20"/>
      <c r="CS92" s="45"/>
      <c r="CT92" s="48"/>
      <c r="CU92" s="30"/>
      <c r="CV92" s="30"/>
      <c r="CW92" s="30"/>
      <c r="CX92" s="20"/>
      <c r="CY92" s="20"/>
      <c r="CZ92" s="20"/>
      <c r="DA92" s="20"/>
      <c r="DB92" s="20"/>
      <c r="DC92" s="20"/>
      <c r="DD92" s="20"/>
      <c r="DE92" s="45"/>
      <c r="DF92" s="48"/>
      <c r="DG92" s="30"/>
      <c r="DH92" s="30"/>
      <c r="DI92" s="30"/>
      <c r="DJ92" s="20"/>
      <c r="DK92" s="20"/>
      <c r="DL92" s="20"/>
      <c r="DM92" s="20"/>
      <c r="DN92" s="20"/>
      <c r="DO92" s="20"/>
      <c r="DP92" s="20"/>
      <c r="DQ92" s="45"/>
      <c r="DR92" s="48"/>
      <c r="DS92" s="20"/>
      <c r="DT92" s="20"/>
      <c r="DU92" s="20"/>
      <c r="DV92" s="20"/>
      <c r="DW92" s="20"/>
      <c r="DX92" s="20"/>
      <c r="DY92" s="20"/>
      <c r="DZ92" s="20"/>
      <c r="EA92" s="20"/>
      <c r="EB92" s="20"/>
    </row>
    <row r="93" spans="1:132" s="29" customFormat="1" ht="12.75">
      <c r="A93" s="46">
        <v>2000</v>
      </c>
      <c r="B93" s="47" t="s">
        <v>41</v>
      </c>
      <c r="C93" s="35">
        <f t="shared" si="15"/>
        <v>0.97018947717567061</v>
      </c>
      <c r="D93" s="35">
        <f t="shared" si="16"/>
        <v>0.97569111453946544</v>
      </c>
      <c r="E93" s="35">
        <f t="shared" si="17"/>
        <v>0.99436129192752598</v>
      </c>
      <c r="F93" s="20">
        <v>24119</v>
      </c>
      <c r="G93" s="20">
        <f t="shared" si="20"/>
        <v>136</v>
      </c>
      <c r="H93" s="20">
        <v>23983</v>
      </c>
      <c r="I93" s="20">
        <v>23400</v>
      </c>
      <c r="J93" s="20">
        <f t="shared" si="21"/>
        <v>583</v>
      </c>
      <c r="K93" s="20"/>
      <c r="L93" s="20"/>
      <c r="M93" s="46"/>
      <c r="N93" s="47"/>
      <c r="O93" s="30"/>
      <c r="P93" s="30"/>
      <c r="Q93" s="30"/>
      <c r="R93" s="20"/>
      <c r="S93" s="20"/>
      <c r="T93" s="20"/>
      <c r="U93" s="20"/>
      <c r="V93" s="20"/>
      <c r="W93" s="20"/>
      <c r="X93" s="20"/>
      <c r="Y93" s="46"/>
      <c r="Z93" s="47"/>
      <c r="AA93" s="30"/>
      <c r="AB93" s="30"/>
      <c r="AC93" s="30"/>
      <c r="AD93" s="20"/>
      <c r="AE93" s="20"/>
      <c r="AF93" s="20"/>
      <c r="AG93" s="20"/>
      <c r="AH93" s="20"/>
      <c r="AI93" s="20"/>
      <c r="AJ93" s="20"/>
      <c r="AK93" s="46"/>
      <c r="AL93" s="47"/>
      <c r="AM93" s="30"/>
      <c r="AN93" s="30"/>
      <c r="AO93" s="30"/>
      <c r="AP93" s="20"/>
      <c r="AQ93" s="20"/>
      <c r="AR93" s="20"/>
      <c r="AS93" s="20"/>
      <c r="AT93" s="20"/>
      <c r="AU93" s="20"/>
      <c r="AV93" s="20"/>
      <c r="AW93" s="46"/>
      <c r="AX93" s="47"/>
      <c r="AY93" s="30"/>
      <c r="AZ93" s="30"/>
      <c r="BA93" s="30"/>
      <c r="BB93" s="20"/>
      <c r="BC93" s="20"/>
      <c r="BD93" s="20"/>
      <c r="BE93" s="20"/>
      <c r="BF93" s="20"/>
      <c r="BG93" s="20"/>
      <c r="BH93" s="20"/>
      <c r="BI93" s="46"/>
      <c r="BJ93" s="47"/>
      <c r="BK93" s="30"/>
      <c r="BL93" s="30"/>
      <c r="BM93" s="30"/>
      <c r="BN93" s="20"/>
      <c r="BO93" s="20"/>
      <c r="BP93" s="20"/>
      <c r="BQ93" s="20"/>
      <c r="BR93" s="20"/>
      <c r="BS93" s="20"/>
      <c r="BT93" s="20"/>
      <c r="BU93" s="46"/>
      <c r="BV93" s="47"/>
      <c r="BW93" s="30"/>
      <c r="BX93" s="30"/>
      <c r="BY93" s="30"/>
      <c r="BZ93" s="20"/>
      <c r="CA93" s="20"/>
      <c r="CB93" s="20"/>
      <c r="CC93" s="20"/>
      <c r="CD93" s="20"/>
      <c r="CE93" s="20"/>
      <c r="CF93" s="20"/>
      <c r="CG93" s="46"/>
      <c r="CH93" s="47"/>
      <c r="CI93" s="30"/>
      <c r="CJ93" s="30"/>
      <c r="CK93" s="30"/>
      <c r="CL93" s="20"/>
      <c r="CM93" s="20"/>
      <c r="CN93" s="20"/>
      <c r="CO93" s="20"/>
      <c r="CP93" s="20"/>
      <c r="CQ93" s="20"/>
      <c r="CR93" s="20"/>
      <c r="CS93" s="46"/>
      <c r="CT93" s="47"/>
      <c r="CU93" s="30"/>
      <c r="CV93" s="30"/>
      <c r="CW93" s="30"/>
      <c r="CX93" s="20"/>
      <c r="CY93" s="20"/>
      <c r="CZ93" s="20"/>
      <c r="DA93" s="20"/>
      <c r="DB93" s="20"/>
      <c r="DC93" s="20"/>
      <c r="DD93" s="20"/>
      <c r="DE93" s="46"/>
      <c r="DF93" s="47"/>
      <c r="DG93" s="30"/>
      <c r="DH93" s="30"/>
      <c r="DI93" s="30"/>
      <c r="DJ93" s="20"/>
      <c r="DK93" s="20"/>
      <c r="DL93" s="20"/>
      <c r="DM93" s="20"/>
      <c r="DN93" s="20"/>
      <c r="DO93" s="20"/>
      <c r="DP93" s="20"/>
      <c r="DQ93" s="46"/>
      <c r="DR93" s="47"/>
      <c r="DS93" s="20"/>
      <c r="DT93" s="20"/>
      <c r="DU93" s="20"/>
      <c r="DV93" s="20"/>
      <c r="DW93" s="20"/>
      <c r="DX93" s="20"/>
      <c r="DY93" s="20"/>
      <c r="DZ93" s="20"/>
      <c r="EA93" s="20"/>
      <c r="EB93" s="20"/>
    </row>
    <row r="94" spans="1:132" s="29" customFormat="1" ht="12.75">
      <c r="A94" s="45">
        <v>2000</v>
      </c>
      <c r="B94" s="48" t="s">
        <v>42</v>
      </c>
      <c r="C94" s="35">
        <f t="shared" si="15"/>
        <v>0.94862125854348334</v>
      </c>
      <c r="D94" s="35">
        <f t="shared" si="16"/>
        <v>0.96399489062749477</v>
      </c>
      <c r="E94" s="35">
        <f t="shared" si="17"/>
        <v>0.98405216434912401</v>
      </c>
      <c r="F94" s="20">
        <v>25458</v>
      </c>
      <c r="G94" s="20">
        <f t="shared" si="20"/>
        <v>406</v>
      </c>
      <c r="H94" s="20">
        <v>25052</v>
      </c>
      <c r="I94" s="20">
        <v>24150</v>
      </c>
      <c r="J94" s="20">
        <f t="shared" si="21"/>
        <v>902</v>
      </c>
      <c r="K94" s="20"/>
      <c r="L94" s="20"/>
      <c r="M94" s="45"/>
      <c r="N94" s="48"/>
      <c r="O94" s="30"/>
      <c r="P94" s="30"/>
      <c r="Q94" s="30"/>
      <c r="R94" s="20"/>
      <c r="S94" s="20"/>
      <c r="T94" s="20"/>
      <c r="U94" s="20"/>
      <c r="V94" s="20"/>
      <c r="W94" s="20"/>
      <c r="X94" s="20"/>
      <c r="Y94" s="45"/>
      <c r="Z94" s="48"/>
      <c r="AA94" s="30"/>
      <c r="AB94" s="30"/>
      <c r="AC94" s="30"/>
      <c r="AD94" s="20"/>
      <c r="AE94" s="20"/>
      <c r="AF94" s="20"/>
      <c r="AG94" s="20"/>
      <c r="AH94" s="20"/>
      <c r="AI94" s="20"/>
      <c r="AJ94" s="20"/>
      <c r="AK94" s="45"/>
      <c r="AL94" s="48"/>
      <c r="AM94" s="30"/>
      <c r="AN94" s="30"/>
      <c r="AO94" s="30"/>
      <c r="AP94" s="20"/>
      <c r="AQ94" s="20"/>
      <c r="AR94" s="20"/>
      <c r="AS94" s="20"/>
      <c r="AT94" s="20"/>
      <c r="AU94" s="20"/>
      <c r="AV94" s="20"/>
      <c r="AW94" s="45"/>
      <c r="AX94" s="48"/>
      <c r="AY94" s="30"/>
      <c r="AZ94" s="30"/>
      <c r="BA94" s="30"/>
      <c r="BB94" s="20"/>
      <c r="BC94" s="20"/>
      <c r="BD94" s="20"/>
      <c r="BE94" s="20"/>
      <c r="BF94" s="20"/>
      <c r="BG94" s="20"/>
      <c r="BH94" s="20"/>
      <c r="BI94" s="45"/>
      <c r="BJ94" s="48"/>
      <c r="BK94" s="30"/>
      <c r="BL94" s="30"/>
      <c r="BM94" s="30"/>
      <c r="BN94" s="20"/>
      <c r="BO94" s="20"/>
      <c r="BP94" s="20"/>
      <c r="BQ94" s="20"/>
      <c r="BR94" s="20"/>
      <c r="BS94" s="20"/>
      <c r="BT94" s="20"/>
      <c r="BU94" s="45"/>
      <c r="BV94" s="48"/>
      <c r="BW94" s="30"/>
      <c r="BX94" s="30"/>
      <c r="BY94" s="30"/>
      <c r="BZ94" s="20"/>
      <c r="CA94" s="20"/>
      <c r="CB94" s="20"/>
      <c r="CC94" s="20"/>
      <c r="CD94" s="20"/>
      <c r="CE94" s="20"/>
      <c r="CF94" s="20"/>
      <c r="CG94" s="45"/>
      <c r="CH94" s="48"/>
      <c r="CI94" s="30"/>
      <c r="CJ94" s="30"/>
      <c r="CK94" s="30"/>
      <c r="CL94" s="20"/>
      <c r="CM94" s="20"/>
      <c r="CN94" s="20"/>
      <c r="CO94" s="20"/>
      <c r="CP94" s="20"/>
      <c r="CQ94" s="20"/>
      <c r="CR94" s="20"/>
      <c r="CS94" s="45"/>
      <c r="CT94" s="48"/>
      <c r="CU94" s="30"/>
      <c r="CV94" s="30"/>
      <c r="CW94" s="30"/>
      <c r="CX94" s="20"/>
      <c r="CY94" s="20"/>
      <c r="CZ94" s="20"/>
      <c r="DA94" s="20"/>
      <c r="DB94" s="20"/>
      <c r="DC94" s="20"/>
      <c r="DD94" s="20"/>
      <c r="DE94" s="45"/>
      <c r="DF94" s="48"/>
      <c r="DG94" s="30"/>
      <c r="DH94" s="30"/>
      <c r="DI94" s="30"/>
      <c r="DJ94" s="20"/>
      <c r="DK94" s="20"/>
      <c r="DL94" s="20"/>
      <c r="DM94" s="20"/>
      <c r="DN94" s="20"/>
      <c r="DO94" s="20"/>
      <c r="DP94" s="20"/>
      <c r="DQ94" s="45"/>
      <c r="DR94" s="48"/>
      <c r="DS94" s="20"/>
      <c r="DT94" s="20"/>
      <c r="DU94" s="20"/>
      <c r="DV94" s="20"/>
      <c r="DW94" s="20"/>
      <c r="DX94" s="20"/>
      <c r="DY94" s="20"/>
      <c r="DZ94" s="20"/>
      <c r="EA94" s="20"/>
      <c r="EB94" s="20"/>
    </row>
    <row r="95" spans="1:132" s="29" customFormat="1" ht="12.75">
      <c r="A95" s="46">
        <v>2000</v>
      </c>
      <c r="B95" s="47" t="s">
        <v>43</v>
      </c>
      <c r="C95" s="35">
        <f t="shared" si="15"/>
        <v>0.89911748036596228</v>
      </c>
      <c r="D95" s="35">
        <f t="shared" si="16"/>
        <v>0.94146072654825996</v>
      </c>
      <c r="E95" s="35">
        <f t="shared" si="17"/>
        <v>0.95502388470569188</v>
      </c>
      <c r="F95" s="20">
        <v>24702</v>
      </c>
      <c r="G95" s="20">
        <f t="shared" si="20"/>
        <v>1111</v>
      </c>
      <c r="H95" s="20">
        <v>23591</v>
      </c>
      <c r="I95" s="20">
        <v>22210</v>
      </c>
      <c r="J95" s="20">
        <f t="shared" si="21"/>
        <v>1381</v>
      </c>
      <c r="K95" s="20"/>
      <c r="L95" s="20"/>
      <c r="M95" s="46"/>
      <c r="N95" s="47"/>
      <c r="O95" s="30"/>
      <c r="P95" s="30"/>
      <c r="Q95" s="30"/>
      <c r="R95" s="20"/>
      <c r="S95" s="20"/>
      <c r="T95" s="20"/>
      <c r="U95" s="20"/>
      <c r="V95" s="20"/>
      <c r="W95" s="20"/>
      <c r="X95" s="20"/>
      <c r="Y95" s="46"/>
      <c r="Z95" s="47"/>
      <c r="AA95" s="30"/>
      <c r="AB95" s="30"/>
      <c r="AC95" s="30"/>
      <c r="AD95" s="20"/>
      <c r="AE95" s="20"/>
      <c r="AF95" s="20"/>
      <c r="AG95" s="20"/>
      <c r="AH95" s="20"/>
      <c r="AI95" s="20"/>
      <c r="AJ95" s="20"/>
      <c r="AK95" s="46"/>
      <c r="AL95" s="47"/>
      <c r="AM95" s="30"/>
      <c r="AN95" s="30"/>
      <c r="AO95" s="30"/>
      <c r="AP95" s="20"/>
      <c r="AQ95" s="20"/>
      <c r="AR95" s="20"/>
      <c r="AS95" s="20"/>
      <c r="AT95" s="20"/>
      <c r="AU95" s="20"/>
      <c r="AV95" s="20"/>
      <c r="AW95" s="46"/>
      <c r="AX95" s="47"/>
      <c r="AY95" s="30"/>
      <c r="AZ95" s="30"/>
      <c r="BA95" s="30"/>
      <c r="BB95" s="20"/>
      <c r="BC95" s="20"/>
      <c r="BD95" s="20"/>
      <c r="BE95" s="20"/>
      <c r="BF95" s="20"/>
      <c r="BG95" s="20"/>
      <c r="BH95" s="20"/>
      <c r="BI95" s="46"/>
      <c r="BJ95" s="47"/>
      <c r="BK95" s="30"/>
      <c r="BL95" s="30"/>
      <c r="BM95" s="30"/>
      <c r="BN95" s="20"/>
      <c r="BO95" s="20"/>
      <c r="BP95" s="20"/>
      <c r="BQ95" s="20"/>
      <c r="BR95" s="20"/>
      <c r="BS95" s="20"/>
      <c r="BT95" s="20"/>
      <c r="BU95" s="46"/>
      <c r="BV95" s="47"/>
      <c r="BW95" s="30"/>
      <c r="BX95" s="30"/>
      <c r="BY95" s="30"/>
      <c r="BZ95" s="20"/>
      <c r="CA95" s="20"/>
      <c r="CB95" s="20"/>
      <c r="CC95" s="20"/>
      <c r="CD95" s="20"/>
      <c r="CE95" s="20"/>
      <c r="CF95" s="20"/>
      <c r="CG95" s="46"/>
      <c r="CH95" s="47"/>
      <c r="CI95" s="30"/>
      <c r="CJ95" s="30"/>
      <c r="CK95" s="30"/>
      <c r="CL95" s="20"/>
      <c r="CM95" s="20"/>
      <c r="CN95" s="20"/>
      <c r="CO95" s="20"/>
      <c r="CP95" s="20"/>
      <c r="CQ95" s="20"/>
      <c r="CR95" s="20"/>
      <c r="CS95" s="46"/>
      <c r="CT95" s="47"/>
      <c r="CU95" s="30"/>
      <c r="CV95" s="30"/>
      <c r="CW95" s="30"/>
      <c r="CX95" s="20"/>
      <c r="CY95" s="20"/>
      <c r="CZ95" s="20"/>
      <c r="DA95" s="20"/>
      <c r="DB95" s="20"/>
      <c r="DC95" s="20"/>
      <c r="DD95" s="20"/>
      <c r="DE95" s="46"/>
      <c r="DF95" s="47"/>
      <c r="DG95" s="30"/>
      <c r="DH95" s="30"/>
      <c r="DI95" s="30"/>
      <c r="DJ95" s="20"/>
      <c r="DK95" s="20"/>
      <c r="DL95" s="20"/>
      <c r="DM95" s="20"/>
      <c r="DN95" s="20"/>
      <c r="DO95" s="20"/>
      <c r="DP95" s="20"/>
      <c r="DQ95" s="46"/>
      <c r="DR95" s="47"/>
      <c r="DS95" s="20"/>
      <c r="DT95" s="20"/>
      <c r="DU95" s="20"/>
      <c r="DV95" s="20"/>
      <c r="DW95" s="20"/>
      <c r="DX95" s="20"/>
      <c r="DY95" s="20"/>
      <c r="DZ95" s="20"/>
      <c r="EA95" s="20"/>
      <c r="EB95" s="20"/>
    </row>
    <row r="96" spans="1:132" s="29" customFormat="1" ht="12.75">
      <c r="A96" s="45">
        <v>2000</v>
      </c>
      <c r="B96" s="48" t="s">
        <v>44</v>
      </c>
      <c r="C96" s="35">
        <f t="shared" si="15"/>
        <v>0.97204896304381727</v>
      </c>
      <c r="D96" s="35">
        <f t="shared" si="16"/>
        <v>0.98030350684069822</v>
      </c>
      <c r="E96" s="35">
        <f t="shared" si="17"/>
        <v>0.99157960392951816</v>
      </c>
      <c r="F96" s="20">
        <v>25652</v>
      </c>
      <c r="G96" s="20">
        <f t="shared" si="20"/>
        <v>216</v>
      </c>
      <c r="H96" s="20">
        <v>25436</v>
      </c>
      <c r="I96" s="20">
        <v>24935</v>
      </c>
      <c r="J96" s="20">
        <f t="shared" si="21"/>
        <v>501</v>
      </c>
      <c r="K96" s="20"/>
      <c r="L96" s="20"/>
      <c r="M96" s="45"/>
      <c r="N96" s="48"/>
      <c r="O96" s="30"/>
      <c r="P96" s="30"/>
      <c r="Q96" s="30"/>
      <c r="R96" s="20"/>
      <c r="S96" s="20"/>
      <c r="T96" s="20"/>
      <c r="U96" s="20"/>
      <c r="V96" s="20"/>
      <c r="W96" s="20"/>
      <c r="X96" s="20"/>
      <c r="Y96" s="45"/>
      <c r="Z96" s="48"/>
      <c r="AA96" s="30"/>
      <c r="AB96" s="30"/>
      <c r="AC96" s="30"/>
      <c r="AD96" s="20"/>
      <c r="AE96" s="20"/>
      <c r="AF96" s="20"/>
      <c r="AG96" s="20"/>
      <c r="AH96" s="20"/>
      <c r="AI96" s="20"/>
      <c r="AJ96" s="20"/>
      <c r="AK96" s="45"/>
      <c r="AL96" s="48"/>
      <c r="AM96" s="30"/>
      <c r="AN96" s="30"/>
      <c r="AO96" s="30"/>
      <c r="AP96" s="20"/>
      <c r="AQ96" s="20"/>
      <c r="AR96" s="20"/>
      <c r="AS96" s="20"/>
      <c r="AT96" s="20"/>
      <c r="AU96" s="20"/>
      <c r="AV96" s="20"/>
      <c r="AW96" s="45"/>
      <c r="AX96" s="48"/>
      <c r="AY96" s="30"/>
      <c r="AZ96" s="30"/>
      <c r="BA96" s="30"/>
      <c r="BB96" s="20"/>
      <c r="BC96" s="20"/>
      <c r="BD96" s="20"/>
      <c r="BE96" s="20"/>
      <c r="BF96" s="20"/>
      <c r="BG96" s="20"/>
      <c r="BH96" s="20"/>
      <c r="BI96" s="45"/>
      <c r="BJ96" s="48"/>
      <c r="BK96" s="30"/>
      <c r="BL96" s="30"/>
      <c r="BM96" s="30"/>
      <c r="BN96" s="20"/>
      <c r="BO96" s="20"/>
      <c r="BP96" s="20"/>
      <c r="BQ96" s="20"/>
      <c r="BR96" s="20"/>
      <c r="BS96" s="20"/>
      <c r="BT96" s="20"/>
      <c r="BU96" s="45"/>
      <c r="BV96" s="48"/>
      <c r="BW96" s="30"/>
      <c r="BX96" s="30"/>
      <c r="BY96" s="30"/>
      <c r="BZ96" s="20"/>
      <c r="CA96" s="20"/>
      <c r="CB96" s="20"/>
      <c r="CC96" s="20"/>
      <c r="CD96" s="20"/>
      <c r="CE96" s="20"/>
      <c r="CF96" s="20"/>
      <c r="CG96" s="45"/>
      <c r="CH96" s="48"/>
      <c r="CI96" s="30"/>
      <c r="CJ96" s="30"/>
      <c r="CK96" s="30"/>
      <c r="CL96" s="20"/>
      <c r="CM96" s="20"/>
      <c r="CN96" s="20"/>
      <c r="CO96" s="20"/>
      <c r="CP96" s="20"/>
      <c r="CQ96" s="20"/>
      <c r="CR96" s="20"/>
      <c r="CS96" s="45"/>
      <c r="CT96" s="48"/>
      <c r="CU96" s="30"/>
      <c r="CV96" s="30"/>
      <c r="CW96" s="30"/>
      <c r="CX96" s="20"/>
      <c r="CY96" s="20"/>
      <c r="CZ96" s="20"/>
      <c r="DA96" s="20"/>
      <c r="DB96" s="20"/>
      <c r="DC96" s="20"/>
      <c r="DD96" s="20"/>
      <c r="DE96" s="45"/>
      <c r="DF96" s="48"/>
      <c r="DG96" s="30"/>
      <c r="DH96" s="30"/>
      <c r="DI96" s="30"/>
      <c r="DJ96" s="20"/>
      <c r="DK96" s="20"/>
      <c r="DL96" s="20"/>
      <c r="DM96" s="20"/>
      <c r="DN96" s="20"/>
      <c r="DO96" s="20"/>
      <c r="DP96" s="20"/>
      <c r="DQ96" s="45"/>
      <c r="DR96" s="48"/>
      <c r="DS96" s="20"/>
      <c r="DT96" s="20"/>
      <c r="DU96" s="20"/>
      <c r="DV96" s="20"/>
      <c r="DW96" s="20"/>
      <c r="DX96" s="20"/>
      <c r="DY96" s="20"/>
      <c r="DZ96" s="20"/>
      <c r="EA96" s="20"/>
      <c r="EB96" s="20"/>
    </row>
    <row r="97" spans="1:132" s="29" customFormat="1" ht="12.75">
      <c r="A97" s="46">
        <v>2000</v>
      </c>
      <c r="B97" s="47" t="s">
        <v>45</v>
      </c>
      <c r="C97" s="35">
        <f t="shared" si="15"/>
        <v>0.97085314469055628</v>
      </c>
      <c r="D97" s="35">
        <f t="shared" si="16"/>
        <v>0.97853190991973815</v>
      </c>
      <c r="E97" s="35">
        <f t="shared" si="17"/>
        <v>0.99215276972438049</v>
      </c>
      <c r="F97" s="20">
        <v>25869</v>
      </c>
      <c r="G97" s="20">
        <f t="shared" si="20"/>
        <v>203</v>
      </c>
      <c r="H97" s="20">
        <v>25666</v>
      </c>
      <c r="I97" s="20">
        <v>25115</v>
      </c>
      <c r="J97" s="20">
        <f t="shared" si="21"/>
        <v>551</v>
      </c>
      <c r="K97" s="20"/>
      <c r="L97" s="20"/>
      <c r="M97" s="46"/>
      <c r="N97" s="47"/>
      <c r="O97" s="30"/>
      <c r="P97" s="30"/>
      <c r="Q97" s="30"/>
      <c r="R97" s="20"/>
      <c r="S97" s="20"/>
      <c r="T97" s="20"/>
      <c r="U97" s="20"/>
      <c r="V97" s="20"/>
      <c r="W97" s="20"/>
      <c r="X97" s="20"/>
      <c r="Y97" s="46"/>
      <c r="Z97" s="47"/>
      <c r="AA97" s="30"/>
      <c r="AB97" s="30"/>
      <c r="AC97" s="30"/>
      <c r="AD97" s="20"/>
      <c r="AE97" s="20"/>
      <c r="AF97" s="20"/>
      <c r="AG97" s="20"/>
      <c r="AH97" s="20"/>
      <c r="AI97" s="20"/>
      <c r="AJ97" s="20"/>
      <c r="AK97" s="46"/>
      <c r="AL97" s="47"/>
      <c r="AM97" s="30"/>
      <c r="AN97" s="30"/>
      <c r="AO97" s="30"/>
      <c r="AP97" s="20"/>
      <c r="AQ97" s="20"/>
      <c r="AR97" s="20"/>
      <c r="AS97" s="20"/>
      <c r="AT97" s="20"/>
      <c r="AU97" s="20"/>
      <c r="AV97" s="20"/>
      <c r="AW97" s="46"/>
      <c r="AX97" s="47"/>
      <c r="AY97" s="30"/>
      <c r="AZ97" s="30"/>
      <c r="BA97" s="30"/>
      <c r="BB97" s="20"/>
      <c r="BC97" s="20"/>
      <c r="BD97" s="20"/>
      <c r="BE97" s="20"/>
      <c r="BF97" s="20"/>
      <c r="BG97" s="20"/>
      <c r="BH97" s="20"/>
      <c r="BI97" s="46"/>
      <c r="BJ97" s="47"/>
      <c r="BK97" s="30"/>
      <c r="BL97" s="30"/>
      <c r="BM97" s="30"/>
      <c r="BN97" s="20"/>
      <c r="BO97" s="20"/>
      <c r="BP97" s="20"/>
      <c r="BQ97" s="20"/>
      <c r="BR97" s="20"/>
      <c r="BS97" s="20"/>
      <c r="BT97" s="20"/>
      <c r="BU97" s="46"/>
      <c r="BV97" s="47"/>
      <c r="BW97" s="30"/>
      <c r="BX97" s="30"/>
      <c r="BY97" s="30"/>
      <c r="BZ97" s="20"/>
      <c r="CA97" s="20"/>
      <c r="CB97" s="20"/>
      <c r="CC97" s="20"/>
      <c r="CD97" s="20"/>
      <c r="CE97" s="20"/>
      <c r="CF97" s="20"/>
      <c r="CG97" s="46"/>
      <c r="CH97" s="47"/>
      <c r="CI97" s="30"/>
      <c r="CJ97" s="30"/>
      <c r="CK97" s="30"/>
      <c r="CL97" s="20"/>
      <c r="CM97" s="20"/>
      <c r="CN97" s="20"/>
      <c r="CO97" s="20"/>
      <c r="CP97" s="20"/>
      <c r="CQ97" s="20"/>
      <c r="CR97" s="20"/>
      <c r="CS97" s="46"/>
      <c r="CT97" s="47"/>
      <c r="CU97" s="30"/>
      <c r="CV97" s="30"/>
      <c r="CW97" s="30"/>
      <c r="CX97" s="20"/>
      <c r="CY97" s="20"/>
      <c r="CZ97" s="20"/>
      <c r="DA97" s="20"/>
      <c r="DB97" s="20"/>
      <c r="DC97" s="20"/>
      <c r="DD97" s="20"/>
      <c r="DE97" s="46"/>
      <c r="DF97" s="47"/>
      <c r="DG97" s="30"/>
      <c r="DH97" s="30"/>
      <c r="DI97" s="30"/>
      <c r="DJ97" s="20"/>
      <c r="DK97" s="20"/>
      <c r="DL97" s="20"/>
      <c r="DM97" s="20"/>
      <c r="DN97" s="20"/>
      <c r="DO97" s="20"/>
      <c r="DP97" s="20"/>
      <c r="DQ97" s="46"/>
      <c r="DR97" s="47"/>
      <c r="DS97" s="20"/>
      <c r="DT97" s="20"/>
      <c r="DU97" s="20"/>
      <c r="DV97" s="20"/>
      <c r="DW97" s="20"/>
      <c r="DX97" s="20"/>
      <c r="DY97" s="20"/>
      <c r="DZ97" s="20"/>
      <c r="EA97" s="20"/>
      <c r="EB97" s="20"/>
    </row>
    <row r="98" spans="1:132" s="29" customFormat="1" ht="12.75">
      <c r="A98" s="45">
        <v>2000</v>
      </c>
      <c r="B98" s="48" t="s">
        <v>46</v>
      </c>
      <c r="C98" s="35">
        <f t="shared" si="15"/>
        <v>0.96781508593252707</v>
      </c>
      <c r="D98" s="35">
        <f t="shared" si="16"/>
        <v>0.9747565813198702</v>
      </c>
      <c r="E98" s="35">
        <f t="shared" si="17"/>
        <v>0.99287873965626994</v>
      </c>
      <c r="F98" s="20">
        <v>25136</v>
      </c>
      <c r="G98" s="20">
        <f t="shared" si="20"/>
        <v>179</v>
      </c>
      <c r="H98" s="20">
        <v>24957</v>
      </c>
      <c r="I98" s="20">
        <v>24327</v>
      </c>
      <c r="J98" s="20">
        <f t="shared" si="21"/>
        <v>630</v>
      </c>
      <c r="K98" s="20"/>
      <c r="L98" s="20"/>
      <c r="M98" s="45"/>
      <c r="N98" s="48"/>
      <c r="O98" s="30"/>
      <c r="P98" s="30"/>
      <c r="Q98" s="30"/>
      <c r="R98" s="20"/>
      <c r="S98" s="20"/>
      <c r="T98" s="20"/>
      <c r="U98" s="20"/>
      <c r="V98" s="20"/>
      <c r="W98" s="20"/>
      <c r="X98" s="20"/>
      <c r="Y98" s="45"/>
      <c r="Z98" s="48"/>
      <c r="AA98" s="30"/>
      <c r="AB98" s="30"/>
      <c r="AC98" s="30"/>
      <c r="AD98" s="20"/>
      <c r="AE98" s="20"/>
      <c r="AF98" s="20"/>
      <c r="AG98" s="20"/>
      <c r="AH98" s="20"/>
      <c r="AI98" s="20"/>
      <c r="AJ98" s="20"/>
      <c r="AK98" s="45"/>
      <c r="AL98" s="48"/>
      <c r="AM98" s="30"/>
      <c r="AN98" s="30"/>
      <c r="AO98" s="30"/>
      <c r="AP98" s="20"/>
      <c r="AQ98" s="20"/>
      <c r="AR98" s="20"/>
      <c r="AS98" s="20"/>
      <c r="AT98" s="20"/>
      <c r="AU98" s="20"/>
      <c r="AV98" s="20"/>
      <c r="AW98" s="45"/>
      <c r="AX98" s="48"/>
      <c r="AY98" s="30"/>
      <c r="AZ98" s="30"/>
      <c r="BA98" s="30"/>
      <c r="BB98" s="20"/>
      <c r="BC98" s="20"/>
      <c r="BD98" s="20"/>
      <c r="BE98" s="20"/>
      <c r="BF98" s="20"/>
      <c r="BG98" s="20"/>
      <c r="BH98" s="20"/>
      <c r="BI98" s="45"/>
      <c r="BJ98" s="48"/>
      <c r="BK98" s="30"/>
      <c r="BL98" s="30"/>
      <c r="BM98" s="30"/>
      <c r="BN98" s="20"/>
      <c r="BO98" s="20"/>
      <c r="BP98" s="20"/>
      <c r="BQ98" s="20"/>
      <c r="BR98" s="20"/>
      <c r="BS98" s="20"/>
      <c r="BT98" s="20"/>
      <c r="BU98" s="45"/>
      <c r="BV98" s="48"/>
      <c r="BW98" s="30"/>
      <c r="BX98" s="30"/>
      <c r="BY98" s="30"/>
      <c r="BZ98" s="20"/>
      <c r="CA98" s="20"/>
      <c r="CB98" s="20"/>
      <c r="CC98" s="20"/>
      <c r="CD98" s="20"/>
      <c r="CE98" s="20"/>
      <c r="CF98" s="20"/>
      <c r="CG98" s="45"/>
      <c r="CH98" s="48"/>
      <c r="CI98" s="30"/>
      <c r="CJ98" s="30"/>
      <c r="CK98" s="30"/>
      <c r="CL98" s="20"/>
      <c r="CM98" s="20"/>
      <c r="CN98" s="20"/>
      <c r="CO98" s="20"/>
      <c r="CP98" s="20"/>
      <c r="CQ98" s="20"/>
      <c r="CR98" s="20"/>
      <c r="CS98" s="45"/>
      <c r="CT98" s="48"/>
      <c r="CU98" s="30"/>
      <c r="CV98" s="30"/>
      <c r="CW98" s="30"/>
      <c r="CX98" s="20"/>
      <c r="CY98" s="20"/>
      <c r="CZ98" s="20"/>
      <c r="DA98" s="20"/>
      <c r="DB98" s="20"/>
      <c r="DC98" s="20"/>
      <c r="DD98" s="20"/>
      <c r="DE98" s="45"/>
      <c r="DF98" s="48"/>
      <c r="DG98" s="30"/>
      <c r="DH98" s="30"/>
      <c r="DI98" s="30"/>
      <c r="DJ98" s="20"/>
      <c r="DK98" s="20"/>
      <c r="DL98" s="20"/>
      <c r="DM98" s="20"/>
      <c r="DN98" s="20"/>
      <c r="DO98" s="20"/>
      <c r="DP98" s="20"/>
      <c r="DQ98" s="45"/>
      <c r="DR98" s="48"/>
      <c r="DS98" s="20"/>
      <c r="DT98" s="20"/>
      <c r="DU98" s="20"/>
      <c r="DV98" s="20"/>
      <c r="DW98" s="20"/>
      <c r="DX98" s="20"/>
      <c r="DY98" s="20"/>
      <c r="DZ98" s="20"/>
      <c r="EA98" s="20"/>
      <c r="EB98" s="20"/>
    </row>
    <row r="99" spans="1:132" s="29" customFormat="1" ht="12.75">
      <c r="A99" s="46">
        <v>2000</v>
      </c>
      <c r="B99" s="47" t="s">
        <v>47</v>
      </c>
      <c r="C99" s="35">
        <f t="shared" si="15"/>
        <v>0.96648988410921233</v>
      </c>
      <c r="D99" s="35">
        <f t="shared" si="16"/>
        <v>0.97723932472691166</v>
      </c>
      <c r="E99" s="35">
        <f t="shared" si="17"/>
        <v>0.98900019642506387</v>
      </c>
      <c r="F99" s="20">
        <v>25455</v>
      </c>
      <c r="G99" s="20">
        <f t="shared" si="20"/>
        <v>280</v>
      </c>
      <c r="H99" s="20">
        <v>25175</v>
      </c>
      <c r="I99" s="20">
        <v>24602</v>
      </c>
      <c r="J99" s="20">
        <f t="shared" si="21"/>
        <v>573</v>
      </c>
      <c r="K99" s="20"/>
      <c r="L99" s="20"/>
      <c r="M99" s="46"/>
      <c r="N99" s="47"/>
      <c r="O99" s="30"/>
      <c r="P99" s="30"/>
      <c r="Q99" s="30"/>
      <c r="R99" s="20"/>
      <c r="S99" s="20"/>
      <c r="T99" s="20"/>
      <c r="U99" s="20"/>
      <c r="V99" s="20"/>
      <c r="W99" s="20"/>
      <c r="X99" s="20"/>
      <c r="Y99" s="46"/>
      <c r="Z99" s="47"/>
      <c r="AA99" s="30"/>
      <c r="AB99" s="30"/>
      <c r="AC99" s="30"/>
      <c r="AD99" s="20"/>
      <c r="AE99" s="20"/>
      <c r="AF99" s="20"/>
      <c r="AG99" s="20"/>
      <c r="AH99" s="20"/>
      <c r="AI99" s="20"/>
      <c r="AJ99" s="20"/>
      <c r="AK99" s="46"/>
      <c r="AL99" s="47"/>
      <c r="AM99" s="30"/>
      <c r="AN99" s="30"/>
      <c r="AO99" s="30"/>
      <c r="AP99" s="20"/>
      <c r="AQ99" s="20"/>
      <c r="AR99" s="20"/>
      <c r="AS99" s="20"/>
      <c r="AT99" s="20"/>
      <c r="AU99" s="20"/>
      <c r="AV99" s="20"/>
      <c r="AW99" s="46"/>
      <c r="AX99" s="47"/>
      <c r="AY99" s="30"/>
      <c r="AZ99" s="30"/>
      <c r="BA99" s="30"/>
      <c r="BB99" s="20"/>
      <c r="BC99" s="20"/>
      <c r="BD99" s="20"/>
      <c r="BE99" s="20"/>
      <c r="BF99" s="20"/>
      <c r="BG99" s="20"/>
      <c r="BH99" s="20"/>
      <c r="BI99" s="46"/>
      <c r="BJ99" s="47"/>
      <c r="BK99" s="30"/>
      <c r="BL99" s="30"/>
      <c r="BM99" s="30"/>
      <c r="BN99" s="20"/>
      <c r="BO99" s="20"/>
      <c r="BP99" s="20"/>
      <c r="BQ99" s="20"/>
      <c r="BR99" s="20"/>
      <c r="BS99" s="20"/>
      <c r="BT99" s="20"/>
      <c r="BU99" s="46"/>
      <c r="BV99" s="47"/>
      <c r="BW99" s="30"/>
      <c r="BX99" s="30"/>
      <c r="BY99" s="30"/>
      <c r="BZ99" s="20"/>
      <c r="CA99" s="20"/>
      <c r="CB99" s="20"/>
      <c r="CC99" s="20"/>
      <c r="CD99" s="20"/>
      <c r="CE99" s="20"/>
      <c r="CF99" s="20"/>
      <c r="CG99" s="46"/>
      <c r="CH99" s="47"/>
      <c r="CI99" s="30"/>
      <c r="CJ99" s="30"/>
      <c r="CK99" s="30"/>
      <c r="CL99" s="20"/>
      <c r="CM99" s="20"/>
      <c r="CN99" s="20"/>
      <c r="CO99" s="20"/>
      <c r="CP99" s="20"/>
      <c r="CQ99" s="20"/>
      <c r="CR99" s="20"/>
      <c r="CS99" s="46"/>
      <c r="CT99" s="47"/>
      <c r="CU99" s="30"/>
      <c r="CV99" s="30"/>
      <c r="CW99" s="30"/>
      <c r="CX99" s="20"/>
      <c r="CY99" s="20"/>
      <c r="CZ99" s="20"/>
      <c r="DA99" s="20"/>
      <c r="DB99" s="20"/>
      <c r="DC99" s="20"/>
      <c r="DD99" s="20"/>
      <c r="DE99" s="46"/>
      <c r="DF99" s="47"/>
      <c r="DG99" s="30"/>
      <c r="DH99" s="30"/>
      <c r="DI99" s="30"/>
      <c r="DJ99" s="20"/>
      <c r="DK99" s="20"/>
      <c r="DL99" s="20"/>
      <c r="DM99" s="20"/>
      <c r="DN99" s="20"/>
      <c r="DO99" s="20"/>
      <c r="DP99" s="20"/>
      <c r="DQ99" s="46"/>
      <c r="DR99" s="47"/>
      <c r="DS99" s="20"/>
      <c r="DT99" s="20"/>
      <c r="DU99" s="20"/>
      <c r="DV99" s="20"/>
      <c r="DW99" s="20"/>
      <c r="DX99" s="20"/>
      <c r="DY99" s="20"/>
      <c r="DZ99" s="20"/>
      <c r="EA99" s="20"/>
      <c r="EB99" s="20"/>
    </row>
    <row r="100" spans="1:132" s="29" customFormat="1" ht="12.75">
      <c r="A100" s="45">
        <v>2000</v>
      </c>
      <c r="B100" s="48" t="s">
        <v>48</v>
      </c>
      <c r="C100" s="35">
        <f t="shared" si="15"/>
        <v>0.92036934732854547</v>
      </c>
      <c r="D100" s="35">
        <f t="shared" si="16"/>
        <v>0.96928894984000336</v>
      </c>
      <c r="E100" s="35">
        <f t="shared" si="17"/>
        <v>0.94953042380238339</v>
      </c>
      <c r="F100" s="20">
        <v>25342</v>
      </c>
      <c r="G100" s="20">
        <f t="shared" si="20"/>
        <v>1279</v>
      </c>
      <c r="H100" s="20">
        <v>24063</v>
      </c>
      <c r="I100" s="20">
        <v>23324</v>
      </c>
      <c r="J100" s="20">
        <f t="shared" si="21"/>
        <v>739</v>
      </c>
      <c r="K100" s="20"/>
      <c r="L100" s="20"/>
      <c r="M100" s="45"/>
      <c r="N100" s="48"/>
      <c r="O100" s="30"/>
      <c r="P100" s="30"/>
      <c r="Q100" s="30"/>
      <c r="R100" s="20"/>
      <c r="S100" s="20"/>
      <c r="T100" s="20"/>
      <c r="U100" s="20"/>
      <c r="V100" s="20"/>
      <c r="W100" s="20"/>
      <c r="X100" s="20"/>
      <c r="Y100" s="45"/>
      <c r="Z100" s="48"/>
      <c r="AA100" s="30"/>
      <c r="AB100" s="30"/>
      <c r="AC100" s="30"/>
      <c r="AD100" s="20"/>
      <c r="AE100" s="20"/>
      <c r="AF100" s="20"/>
      <c r="AG100" s="20"/>
      <c r="AH100" s="20"/>
      <c r="AI100" s="20"/>
      <c r="AJ100" s="20"/>
      <c r="AK100" s="45"/>
      <c r="AL100" s="48"/>
      <c r="AM100" s="30"/>
      <c r="AN100" s="30"/>
      <c r="AO100" s="30"/>
      <c r="AP100" s="20"/>
      <c r="AQ100" s="20"/>
      <c r="AR100" s="20"/>
      <c r="AS100" s="20"/>
      <c r="AT100" s="20"/>
      <c r="AU100" s="20"/>
      <c r="AV100" s="20"/>
      <c r="AW100" s="45"/>
      <c r="AX100" s="48"/>
      <c r="AY100" s="30"/>
      <c r="AZ100" s="30"/>
      <c r="BA100" s="30"/>
      <c r="BB100" s="20"/>
      <c r="BC100" s="20"/>
      <c r="BD100" s="20"/>
      <c r="BE100" s="20"/>
      <c r="BF100" s="20"/>
      <c r="BG100" s="20"/>
      <c r="BH100" s="20"/>
      <c r="BI100" s="45"/>
      <c r="BJ100" s="48"/>
      <c r="BK100" s="30"/>
      <c r="BL100" s="30"/>
      <c r="BM100" s="30"/>
      <c r="BN100" s="20"/>
      <c r="BO100" s="20"/>
      <c r="BP100" s="20"/>
      <c r="BQ100" s="20"/>
      <c r="BR100" s="20"/>
      <c r="BS100" s="20"/>
      <c r="BT100" s="20"/>
      <c r="BU100" s="45"/>
      <c r="BV100" s="48"/>
      <c r="BW100" s="30"/>
      <c r="BX100" s="30"/>
      <c r="BY100" s="30"/>
      <c r="BZ100" s="20"/>
      <c r="CA100" s="20"/>
      <c r="CB100" s="20"/>
      <c r="CC100" s="20"/>
      <c r="CD100" s="20"/>
      <c r="CE100" s="20"/>
      <c r="CF100" s="20"/>
      <c r="CG100" s="45"/>
      <c r="CH100" s="48"/>
      <c r="CI100" s="30"/>
      <c r="CJ100" s="30"/>
      <c r="CK100" s="30"/>
      <c r="CL100" s="20"/>
      <c r="CM100" s="20"/>
      <c r="CN100" s="20"/>
      <c r="CO100" s="20"/>
      <c r="CP100" s="20"/>
      <c r="CQ100" s="20"/>
      <c r="CR100" s="20"/>
      <c r="CS100" s="45"/>
      <c r="CT100" s="48"/>
      <c r="CU100" s="30"/>
      <c r="CV100" s="30"/>
      <c r="CW100" s="30"/>
      <c r="CX100" s="20"/>
      <c r="CY100" s="20"/>
      <c r="CZ100" s="20"/>
      <c r="DA100" s="20"/>
      <c r="DB100" s="20"/>
      <c r="DC100" s="20"/>
      <c r="DD100" s="20"/>
      <c r="DE100" s="45"/>
      <c r="DF100" s="48"/>
      <c r="DG100" s="30"/>
      <c r="DH100" s="30"/>
      <c r="DI100" s="30"/>
      <c r="DJ100" s="20"/>
      <c r="DK100" s="20"/>
      <c r="DL100" s="20"/>
      <c r="DM100" s="20"/>
      <c r="DN100" s="20"/>
      <c r="DO100" s="20"/>
      <c r="DP100" s="20"/>
      <c r="DQ100" s="45"/>
      <c r="DR100" s="48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</row>
    <row r="101" spans="1:132" s="29" customFormat="1" ht="12.75">
      <c r="A101" s="46">
        <v>2000</v>
      </c>
      <c r="B101" s="47" t="s">
        <v>49</v>
      </c>
      <c r="C101" s="35">
        <f t="shared" si="15"/>
        <v>0.93270546566851809</v>
      </c>
      <c r="D101" s="35">
        <f t="shared" si="16"/>
        <v>0.9640970170986396</v>
      </c>
      <c r="E101" s="35">
        <f t="shared" si="17"/>
        <v>0.96743942686951623</v>
      </c>
      <c r="F101" s="20">
        <v>24846</v>
      </c>
      <c r="G101" s="20">
        <f t="shared" si="20"/>
        <v>809</v>
      </c>
      <c r="H101" s="20">
        <v>24037</v>
      </c>
      <c r="I101" s="20">
        <v>23174</v>
      </c>
      <c r="J101" s="20">
        <f t="shared" si="21"/>
        <v>863</v>
      </c>
      <c r="K101" s="20"/>
      <c r="L101" s="20"/>
      <c r="M101" s="46"/>
      <c r="N101" s="47"/>
      <c r="O101" s="30"/>
      <c r="P101" s="30"/>
      <c r="Q101" s="30"/>
      <c r="R101" s="20"/>
      <c r="S101" s="20"/>
      <c r="T101" s="20"/>
      <c r="U101" s="20"/>
      <c r="V101" s="20"/>
      <c r="W101" s="20"/>
      <c r="X101" s="20"/>
      <c r="Y101" s="46"/>
      <c r="Z101" s="47"/>
      <c r="AA101" s="30"/>
      <c r="AB101" s="30"/>
      <c r="AC101" s="30"/>
      <c r="AD101" s="20"/>
      <c r="AE101" s="20"/>
      <c r="AF101" s="20"/>
      <c r="AG101" s="20"/>
      <c r="AH101" s="20"/>
      <c r="AI101" s="20"/>
      <c r="AJ101" s="20"/>
      <c r="AK101" s="46"/>
      <c r="AL101" s="47"/>
      <c r="AM101" s="30"/>
      <c r="AN101" s="30"/>
      <c r="AO101" s="30"/>
      <c r="AP101" s="20"/>
      <c r="AQ101" s="20"/>
      <c r="AR101" s="20"/>
      <c r="AS101" s="20"/>
      <c r="AT101" s="20"/>
      <c r="AU101" s="20"/>
      <c r="AV101" s="20"/>
      <c r="AW101" s="46"/>
      <c r="AX101" s="47"/>
      <c r="AY101" s="30"/>
      <c r="AZ101" s="30"/>
      <c r="BA101" s="30"/>
      <c r="BB101" s="20"/>
      <c r="BC101" s="20"/>
      <c r="BD101" s="20"/>
      <c r="BE101" s="20"/>
      <c r="BF101" s="20"/>
      <c r="BG101" s="20"/>
      <c r="BH101" s="20"/>
      <c r="BI101" s="46"/>
      <c r="BJ101" s="47"/>
      <c r="BK101" s="30"/>
      <c r="BL101" s="30"/>
      <c r="BM101" s="30"/>
      <c r="BN101" s="20"/>
      <c r="BO101" s="20"/>
      <c r="BP101" s="20"/>
      <c r="BQ101" s="20"/>
      <c r="BR101" s="20"/>
      <c r="BS101" s="20"/>
      <c r="BT101" s="20"/>
      <c r="BU101" s="46"/>
      <c r="BV101" s="47"/>
      <c r="BW101" s="30"/>
      <c r="BX101" s="30"/>
      <c r="BY101" s="30"/>
      <c r="BZ101" s="20"/>
      <c r="CA101" s="20"/>
      <c r="CB101" s="20"/>
      <c r="CC101" s="20"/>
      <c r="CD101" s="20"/>
      <c r="CE101" s="20"/>
      <c r="CF101" s="20"/>
      <c r="CG101" s="46"/>
      <c r="CH101" s="47"/>
      <c r="CI101" s="30"/>
      <c r="CJ101" s="30"/>
      <c r="CK101" s="30"/>
      <c r="CL101" s="20"/>
      <c r="CM101" s="20"/>
      <c r="CN101" s="20"/>
      <c r="CO101" s="20"/>
      <c r="CP101" s="20"/>
      <c r="CQ101" s="20"/>
      <c r="CR101" s="20"/>
      <c r="CS101" s="46"/>
      <c r="CT101" s="47"/>
      <c r="CU101" s="30"/>
      <c r="CV101" s="30"/>
      <c r="CW101" s="30"/>
      <c r="CX101" s="20"/>
      <c r="CY101" s="20"/>
      <c r="CZ101" s="20"/>
      <c r="DA101" s="20"/>
      <c r="DB101" s="20"/>
      <c r="DC101" s="20"/>
      <c r="DD101" s="20"/>
      <c r="DE101" s="46"/>
      <c r="DF101" s="47"/>
      <c r="DG101" s="30"/>
      <c r="DH101" s="30"/>
      <c r="DI101" s="30"/>
      <c r="DJ101" s="20"/>
      <c r="DK101" s="20"/>
      <c r="DL101" s="20"/>
      <c r="DM101" s="20"/>
      <c r="DN101" s="20"/>
      <c r="DO101" s="20"/>
      <c r="DP101" s="20"/>
      <c r="DQ101" s="46"/>
      <c r="DR101" s="47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</row>
    <row r="102" spans="1:132" s="29" customFormat="1" ht="12.75">
      <c r="A102" s="45">
        <v>2001</v>
      </c>
      <c r="B102" s="48" t="s">
        <v>38</v>
      </c>
      <c r="C102" s="35">
        <f t="shared" si="15"/>
        <v>0.9305374907723134</v>
      </c>
      <c r="D102" s="35">
        <f t="shared" si="16"/>
        <v>0.96366813498853254</v>
      </c>
      <c r="E102" s="35">
        <f t="shared" si="17"/>
        <v>0.96562027630330083</v>
      </c>
      <c r="F102" s="20">
        <v>28447</v>
      </c>
      <c r="G102" s="20">
        <f t="shared" ref="G102:G113" si="22">F102-H102</f>
        <v>978</v>
      </c>
      <c r="H102" s="20">
        <v>27469</v>
      </c>
      <c r="I102" s="20">
        <v>26471</v>
      </c>
      <c r="J102" s="20">
        <f t="shared" ref="J102:J113" si="23">H102-I102</f>
        <v>998</v>
      </c>
      <c r="K102" s="20"/>
      <c r="L102" s="20"/>
      <c r="M102" s="45"/>
      <c r="N102" s="48"/>
      <c r="O102" s="30"/>
      <c r="P102" s="30"/>
      <c r="Q102" s="30"/>
      <c r="R102" s="20"/>
      <c r="S102" s="20"/>
      <c r="T102" s="20"/>
      <c r="U102" s="20"/>
      <c r="V102" s="20"/>
      <c r="W102" s="20"/>
      <c r="X102" s="20"/>
      <c r="Y102" s="45"/>
      <c r="Z102" s="48"/>
      <c r="AA102" s="30"/>
      <c r="AB102" s="30"/>
      <c r="AC102" s="30"/>
      <c r="AD102" s="20"/>
      <c r="AE102" s="20"/>
      <c r="AF102" s="20"/>
      <c r="AG102" s="20"/>
      <c r="AH102" s="20"/>
      <c r="AI102" s="20"/>
      <c r="AJ102" s="20"/>
      <c r="AK102" s="45"/>
      <c r="AL102" s="48"/>
      <c r="AM102" s="30"/>
      <c r="AN102" s="30"/>
      <c r="AO102" s="30"/>
      <c r="AP102" s="20"/>
      <c r="AQ102" s="20"/>
      <c r="AR102" s="20"/>
      <c r="AS102" s="20"/>
      <c r="AT102" s="20"/>
      <c r="AU102" s="20"/>
      <c r="AV102" s="20"/>
      <c r="AW102" s="45"/>
      <c r="AX102" s="48"/>
      <c r="AY102" s="30"/>
      <c r="AZ102" s="30"/>
      <c r="BA102" s="30"/>
      <c r="BB102" s="20"/>
      <c r="BC102" s="20"/>
      <c r="BD102" s="20"/>
      <c r="BE102" s="20"/>
      <c r="BF102" s="20"/>
      <c r="BG102" s="20"/>
      <c r="BH102" s="20"/>
      <c r="BI102" s="45"/>
      <c r="BJ102" s="48"/>
      <c r="BK102" s="30"/>
      <c r="BL102" s="30"/>
      <c r="BM102" s="30"/>
      <c r="BN102" s="20"/>
      <c r="BO102" s="20"/>
      <c r="BP102" s="20"/>
      <c r="BQ102" s="20"/>
      <c r="BR102" s="20"/>
      <c r="BS102" s="20"/>
      <c r="BT102" s="20"/>
      <c r="BU102" s="45"/>
      <c r="BV102" s="48"/>
      <c r="BW102" s="30"/>
      <c r="BX102" s="30"/>
      <c r="BY102" s="30"/>
      <c r="BZ102" s="20"/>
      <c r="CA102" s="20"/>
      <c r="CB102" s="20"/>
      <c r="CC102" s="20"/>
      <c r="CD102" s="20"/>
      <c r="CE102" s="20"/>
      <c r="CF102" s="20"/>
      <c r="CG102" s="45"/>
      <c r="CH102" s="48"/>
      <c r="CI102" s="30"/>
      <c r="CJ102" s="30"/>
      <c r="CK102" s="30"/>
      <c r="CL102" s="20"/>
      <c r="CM102" s="20"/>
      <c r="CN102" s="20"/>
      <c r="CO102" s="20"/>
      <c r="CP102" s="20"/>
      <c r="CQ102" s="20"/>
      <c r="CR102" s="20"/>
      <c r="CS102" s="45"/>
      <c r="CT102" s="48"/>
      <c r="CU102" s="30"/>
      <c r="CV102" s="30"/>
      <c r="CW102" s="30"/>
      <c r="CX102" s="20"/>
      <c r="CY102" s="20"/>
      <c r="CZ102" s="20"/>
      <c r="DA102" s="20"/>
      <c r="DB102" s="20"/>
      <c r="DC102" s="20"/>
      <c r="DD102" s="20"/>
      <c r="DE102" s="45"/>
      <c r="DF102" s="48"/>
      <c r="DG102" s="30"/>
      <c r="DH102" s="30"/>
      <c r="DI102" s="30"/>
      <c r="DJ102" s="20"/>
      <c r="DK102" s="20"/>
      <c r="DL102" s="20"/>
      <c r="DM102" s="20"/>
      <c r="DN102" s="20"/>
      <c r="DO102" s="20"/>
      <c r="DP102" s="20"/>
      <c r="DQ102" s="45"/>
      <c r="DR102" s="48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</row>
    <row r="103" spans="1:132" s="29" customFormat="1" ht="12.75">
      <c r="A103" s="46">
        <v>2001</v>
      </c>
      <c r="B103" s="47" t="s">
        <v>39</v>
      </c>
      <c r="C103" s="35">
        <f t="shared" si="15"/>
        <v>0.94928863769245764</v>
      </c>
      <c r="D103" s="35">
        <f t="shared" si="16"/>
        <v>0.95893215734141823</v>
      </c>
      <c r="E103" s="35">
        <f t="shared" si="17"/>
        <v>0.98994348080296235</v>
      </c>
      <c r="F103" s="20">
        <v>25655</v>
      </c>
      <c r="G103" s="20">
        <f t="shared" si="22"/>
        <v>258</v>
      </c>
      <c r="H103" s="20">
        <v>25397</v>
      </c>
      <c r="I103" s="20">
        <v>24354</v>
      </c>
      <c r="J103" s="20">
        <f t="shared" si="23"/>
        <v>1043</v>
      </c>
      <c r="K103" s="20"/>
      <c r="L103" s="20"/>
      <c r="M103" s="46"/>
      <c r="N103" s="47"/>
      <c r="O103" s="30"/>
      <c r="P103" s="30"/>
      <c r="Q103" s="30"/>
      <c r="R103" s="20"/>
      <c r="S103" s="20"/>
      <c r="T103" s="20"/>
      <c r="U103" s="20"/>
      <c r="V103" s="20"/>
      <c r="W103" s="20"/>
      <c r="X103" s="20"/>
      <c r="Y103" s="46"/>
      <c r="Z103" s="47"/>
      <c r="AA103" s="30"/>
      <c r="AB103" s="30"/>
      <c r="AC103" s="30"/>
      <c r="AD103" s="20"/>
      <c r="AE103" s="20"/>
      <c r="AF103" s="20"/>
      <c r="AG103" s="20"/>
      <c r="AH103" s="20"/>
      <c r="AI103" s="20"/>
      <c r="AJ103" s="20"/>
      <c r="AK103" s="46"/>
      <c r="AL103" s="47"/>
      <c r="AM103" s="30"/>
      <c r="AN103" s="30"/>
      <c r="AO103" s="30"/>
      <c r="AP103" s="20"/>
      <c r="AQ103" s="20"/>
      <c r="AR103" s="20"/>
      <c r="AS103" s="20"/>
      <c r="AT103" s="20"/>
      <c r="AU103" s="20"/>
      <c r="AV103" s="20"/>
      <c r="AW103" s="46"/>
      <c r="AX103" s="47"/>
      <c r="AY103" s="30"/>
      <c r="AZ103" s="30"/>
      <c r="BA103" s="30"/>
      <c r="BB103" s="20"/>
      <c r="BC103" s="20"/>
      <c r="BD103" s="20"/>
      <c r="BE103" s="20"/>
      <c r="BF103" s="20"/>
      <c r="BG103" s="20"/>
      <c r="BH103" s="20"/>
      <c r="BI103" s="46"/>
      <c r="BJ103" s="47"/>
      <c r="BK103" s="30"/>
      <c r="BL103" s="30"/>
      <c r="BM103" s="30"/>
      <c r="BN103" s="20"/>
      <c r="BO103" s="20"/>
      <c r="BP103" s="20"/>
      <c r="BQ103" s="20"/>
      <c r="BR103" s="20"/>
      <c r="BS103" s="20"/>
      <c r="BT103" s="20"/>
      <c r="BU103" s="46"/>
      <c r="BV103" s="47"/>
      <c r="BW103" s="30"/>
      <c r="BX103" s="30"/>
      <c r="BY103" s="30"/>
      <c r="BZ103" s="20"/>
      <c r="CA103" s="20"/>
      <c r="CB103" s="20"/>
      <c r="CC103" s="20"/>
      <c r="CD103" s="20"/>
      <c r="CE103" s="20"/>
      <c r="CF103" s="20"/>
      <c r="CG103" s="46"/>
      <c r="CH103" s="47"/>
      <c r="CI103" s="30"/>
      <c r="CJ103" s="30"/>
      <c r="CK103" s="30"/>
      <c r="CL103" s="20"/>
      <c r="CM103" s="20"/>
      <c r="CN103" s="20"/>
      <c r="CO103" s="20"/>
      <c r="CP103" s="20"/>
      <c r="CQ103" s="20"/>
      <c r="CR103" s="20"/>
      <c r="CS103" s="46"/>
      <c r="CT103" s="47"/>
      <c r="CU103" s="30"/>
      <c r="CV103" s="30"/>
      <c r="CW103" s="30"/>
      <c r="CX103" s="20"/>
      <c r="CY103" s="20"/>
      <c r="CZ103" s="20"/>
      <c r="DA103" s="20"/>
      <c r="DB103" s="20"/>
      <c r="DC103" s="20"/>
      <c r="DD103" s="20"/>
      <c r="DE103" s="46"/>
      <c r="DF103" s="47"/>
      <c r="DG103" s="30"/>
      <c r="DH103" s="30"/>
      <c r="DI103" s="30"/>
      <c r="DJ103" s="20"/>
      <c r="DK103" s="20"/>
      <c r="DL103" s="20"/>
      <c r="DM103" s="20"/>
      <c r="DN103" s="20"/>
      <c r="DO103" s="20"/>
      <c r="DP103" s="20"/>
      <c r="DQ103" s="46"/>
      <c r="DR103" s="47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</row>
    <row r="104" spans="1:132" s="29" customFormat="1" ht="12.75">
      <c r="A104" s="45">
        <v>2001</v>
      </c>
      <c r="B104" s="48" t="s">
        <v>40</v>
      </c>
      <c r="C104" s="35">
        <f t="shared" si="15"/>
        <v>0.93072024207452231</v>
      </c>
      <c r="D104" s="35">
        <f t="shared" si="16"/>
        <v>0.94613348594320057</v>
      </c>
      <c r="E104" s="35">
        <f t="shared" si="17"/>
        <v>0.98370922909116498</v>
      </c>
      <c r="F104" s="20">
        <v>28421</v>
      </c>
      <c r="G104" s="20">
        <f t="shared" si="22"/>
        <v>463</v>
      </c>
      <c r="H104" s="20">
        <v>27958</v>
      </c>
      <c r="I104" s="20">
        <v>26452</v>
      </c>
      <c r="J104" s="20">
        <f t="shared" si="23"/>
        <v>1506</v>
      </c>
      <c r="K104" s="20"/>
      <c r="L104" s="20"/>
      <c r="M104" s="45"/>
      <c r="N104" s="48"/>
      <c r="O104" s="30"/>
      <c r="P104" s="30"/>
      <c r="Q104" s="30"/>
      <c r="R104" s="20"/>
      <c r="S104" s="20"/>
      <c r="T104" s="20"/>
      <c r="U104" s="20"/>
      <c r="V104" s="20"/>
      <c r="W104" s="20"/>
      <c r="X104" s="20"/>
      <c r="Y104" s="45"/>
      <c r="Z104" s="48"/>
      <c r="AA104" s="30"/>
      <c r="AB104" s="30"/>
      <c r="AC104" s="30"/>
      <c r="AD104" s="20"/>
      <c r="AE104" s="20"/>
      <c r="AF104" s="20"/>
      <c r="AG104" s="20"/>
      <c r="AH104" s="20"/>
      <c r="AI104" s="20"/>
      <c r="AJ104" s="20"/>
      <c r="AK104" s="45"/>
      <c r="AL104" s="48"/>
      <c r="AM104" s="30"/>
      <c r="AN104" s="30"/>
      <c r="AO104" s="30"/>
      <c r="AP104" s="20"/>
      <c r="AQ104" s="20"/>
      <c r="AR104" s="20"/>
      <c r="AS104" s="20"/>
      <c r="AT104" s="20"/>
      <c r="AU104" s="20"/>
      <c r="AV104" s="20"/>
      <c r="AW104" s="45"/>
      <c r="AX104" s="48"/>
      <c r="AY104" s="30"/>
      <c r="AZ104" s="30"/>
      <c r="BA104" s="30"/>
      <c r="BB104" s="20"/>
      <c r="BC104" s="20"/>
      <c r="BD104" s="20"/>
      <c r="BE104" s="20"/>
      <c r="BF104" s="20"/>
      <c r="BG104" s="20"/>
      <c r="BH104" s="20"/>
      <c r="BI104" s="45"/>
      <c r="BJ104" s="48"/>
      <c r="BK104" s="30"/>
      <c r="BL104" s="30"/>
      <c r="BM104" s="30"/>
      <c r="BN104" s="20"/>
      <c r="BO104" s="20"/>
      <c r="BP104" s="20"/>
      <c r="BQ104" s="20"/>
      <c r="BR104" s="20"/>
      <c r="BS104" s="20"/>
      <c r="BT104" s="20"/>
      <c r="BU104" s="45"/>
      <c r="BV104" s="48"/>
      <c r="BW104" s="30"/>
      <c r="BX104" s="30"/>
      <c r="BY104" s="30"/>
      <c r="BZ104" s="20"/>
      <c r="CA104" s="20"/>
      <c r="CB104" s="20"/>
      <c r="CC104" s="20"/>
      <c r="CD104" s="20"/>
      <c r="CE104" s="20"/>
      <c r="CF104" s="20"/>
      <c r="CG104" s="45"/>
      <c r="CH104" s="48"/>
      <c r="CI104" s="30"/>
      <c r="CJ104" s="30"/>
      <c r="CK104" s="30"/>
      <c r="CL104" s="20"/>
      <c r="CM104" s="20"/>
      <c r="CN104" s="20"/>
      <c r="CO104" s="20"/>
      <c r="CP104" s="20"/>
      <c r="CQ104" s="20"/>
      <c r="CR104" s="20"/>
      <c r="CS104" s="45"/>
      <c r="CT104" s="48"/>
      <c r="CU104" s="30"/>
      <c r="CV104" s="30"/>
      <c r="CW104" s="30"/>
      <c r="CX104" s="20"/>
      <c r="CY104" s="20"/>
      <c r="CZ104" s="20"/>
      <c r="DA104" s="20"/>
      <c r="DB104" s="20"/>
      <c r="DC104" s="20"/>
      <c r="DD104" s="20"/>
      <c r="DE104" s="45"/>
      <c r="DF104" s="48"/>
      <c r="DG104" s="30"/>
      <c r="DH104" s="30"/>
      <c r="DI104" s="30"/>
      <c r="DJ104" s="20"/>
      <c r="DK104" s="20"/>
      <c r="DL104" s="20"/>
      <c r="DM104" s="20"/>
      <c r="DN104" s="20"/>
      <c r="DO104" s="20"/>
      <c r="DP104" s="20"/>
      <c r="DQ104" s="45"/>
      <c r="DR104" s="48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</row>
    <row r="105" spans="1:132" s="29" customFormat="1" ht="12.75">
      <c r="A105" s="46">
        <v>2001</v>
      </c>
      <c r="B105" s="47" t="s">
        <v>41</v>
      </c>
      <c r="C105" s="35">
        <f t="shared" si="15"/>
        <v>0.95454029726561018</v>
      </c>
      <c r="D105" s="35">
        <f t="shared" si="16"/>
        <v>0.96203544882790171</v>
      </c>
      <c r="E105" s="35">
        <f t="shared" si="17"/>
        <v>0.9922090692485156</v>
      </c>
      <c r="F105" s="20">
        <v>26441</v>
      </c>
      <c r="G105" s="20">
        <f t="shared" si="22"/>
        <v>206</v>
      </c>
      <c r="H105" s="20">
        <v>26235</v>
      </c>
      <c r="I105" s="20">
        <v>25239</v>
      </c>
      <c r="J105" s="20">
        <f t="shared" si="23"/>
        <v>996</v>
      </c>
      <c r="K105" s="20"/>
      <c r="L105" s="20"/>
      <c r="M105" s="46"/>
      <c r="N105" s="47"/>
      <c r="O105" s="30"/>
      <c r="P105" s="30"/>
      <c r="Q105" s="30"/>
      <c r="R105" s="20"/>
      <c r="S105" s="20"/>
      <c r="T105" s="20"/>
      <c r="U105" s="20"/>
      <c r="V105" s="20"/>
      <c r="W105" s="20"/>
      <c r="X105" s="20"/>
      <c r="Y105" s="46"/>
      <c r="Z105" s="47"/>
      <c r="AA105" s="30"/>
      <c r="AB105" s="30"/>
      <c r="AC105" s="30"/>
      <c r="AD105" s="20"/>
      <c r="AE105" s="20"/>
      <c r="AF105" s="20"/>
      <c r="AG105" s="20"/>
      <c r="AH105" s="20"/>
      <c r="AI105" s="20"/>
      <c r="AJ105" s="20"/>
      <c r="AK105" s="46"/>
      <c r="AL105" s="47"/>
      <c r="AM105" s="30"/>
      <c r="AN105" s="30"/>
      <c r="AO105" s="30"/>
      <c r="AP105" s="20"/>
      <c r="AQ105" s="20"/>
      <c r="AR105" s="20"/>
      <c r="AS105" s="20"/>
      <c r="AT105" s="20"/>
      <c r="AU105" s="20"/>
      <c r="AV105" s="20"/>
      <c r="AW105" s="46"/>
      <c r="AX105" s="47"/>
      <c r="AY105" s="30"/>
      <c r="AZ105" s="30"/>
      <c r="BA105" s="30"/>
      <c r="BB105" s="20"/>
      <c r="BC105" s="20"/>
      <c r="BD105" s="20"/>
      <c r="BE105" s="20"/>
      <c r="BF105" s="20"/>
      <c r="BG105" s="20"/>
      <c r="BH105" s="20"/>
      <c r="BI105" s="46"/>
      <c r="BJ105" s="47"/>
      <c r="BK105" s="30"/>
      <c r="BL105" s="30"/>
      <c r="BM105" s="30"/>
      <c r="BN105" s="20"/>
      <c r="BO105" s="20"/>
      <c r="BP105" s="20"/>
      <c r="BQ105" s="20"/>
      <c r="BR105" s="20"/>
      <c r="BS105" s="20"/>
      <c r="BT105" s="20"/>
      <c r="BU105" s="46"/>
      <c r="BV105" s="47"/>
      <c r="BW105" s="30"/>
      <c r="BX105" s="30"/>
      <c r="BY105" s="30"/>
      <c r="BZ105" s="20"/>
      <c r="CA105" s="20"/>
      <c r="CB105" s="20"/>
      <c r="CC105" s="20"/>
      <c r="CD105" s="20"/>
      <c r="CE105" s="20"/>
      <c r="CF105" s="20"/>
      <c r="CG105" s="46"/>
      <c r="CH105" s="47"/>
      <c r="CI105" s="30"/>
      <c r="CJ105" s="30"/>
      <c r="CK105" s="30"/>
      <c r="CL105" s="20"/>
      <c r="CM105" s="20"/>
      <c r="CN105" s="20"/>
      <c r="CO105" s="20"/>
      <c r="CP105" s="20"/>
      <c r="CQ105" s="20"/>
      <c r="CR105" s="20"/>
      <c r="CS105" s="46"/>
      <c r="CT105" s="47"/>
      <c r="CU105" s="30"/>
      <c r="CV105" s="30"/>
      <c r="CW105" s="30"/>
      <c r="CX105" s="20"/>
      <c r="CY105" s="20"/>
      <c r="CZ105" s="20"/>
      <c r="DA105" s="20"/>
      <c r="DB105" s="20"/>
      <c r="DC105" s="20"/>
      <c r="DD105" s="20"/>
      <c r="DE105" s="46"/>
      <c r="DF105" s="47"/>
      <c r="DG105" s="30"/>
      <c r="DH105" s="30"/>
      <c r="DI105" s="30"/>
      <c r="DJ105" s="20"/>
      <c r="DK105" s="20"/>
      <c r="DL105" s="20"/>
      <c r="DM105" s="20"/>
      <c r="DN105" s="20"/>
      <c r="DO105" s="20"/>
      <c r="DP105" s="20"/>
      <c r="DQ105" s="46"/>
      <c r="DR105" s="47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</row>
    <row r="106" spans="1:132" s="29" customFormat="1" ht="12.75">
      <c r="A106" s="45">
        <v>2001</v>
      </c>
      <c r="B106" s="48" t="s">
        <v>42</v>
      </c>
      <c r="C106" s="35">
        <f t="shared" si="15"/>
        <v>0.94438969449528365</v>
      </c>
      <c r="D106" s="35">
        <f t="shared" si="16"/>
        <v>0.95443389179383209</v>
      </c>
      <c r="E106" s="35">
        <f t="shared" si="17"/>
        <v>0.98947627762917079</v>
      </c>
      <c r="F106" s="20">
        <v>28412</v>
      </c>
      <c r="G106" s="20">
        <f t="shared" si="22"/>
        <v>299</v>
      </c>
      <c r="H106" s="20">
        <v>28113</v>
      </c>
      <c r="I106" s="20">
        <v>26832</v>
      </c>
      <c r="J106" s="20">
        <f t="shared" si="23"/>
        <v>1281</v>
      </c>
      <c r="K106" s="20"/>
      <c r="L106" s="20"/>
      <c r="M106" s="45"/>
      <c r="N106" s="48"/>
      <c r="O106" s="30"/>
      <c r="P106" s="30"/>
      <c r="Q106" s="30"/>
      <c r="R106" s="20"/>
      <c r="S106" s="20"/>
      <c r="T106" s="20"/>
      <c r="U106" s="20"/>
      <c r="V106" s="20"/>
      <c r="W106" s="20"/>
      <c r="X106" s="20"/>
      <c r="Y106" s="45"/>
      <c r="Z106" s="48"/>
      <c r="AA106" s="30"/>
      <c r="AB106" s="30"/>
      <c r="AC106" s="30"/>
      <c r="AD106" s="20"/>
      <c r="AE106" s="20"/>
      <c r="AF106" s="20"/>
      <c r="AG106" s="20"/>
      <c r="AH106" s="20"/>
      <c r="AI106" s="20"/>
      <c r="AJ106" s="20"/>
      <c r="AK106" s="45"/>
      <c r="AL106" s="48"/>
      <c r="AM106" s="30"/>
      <c r="AN106" s="30"/>
      <c r="AO106" s="30"/>
      <c r="AP106" s="20"/>
      <c r="AQ106" s="20"/>
      <c r="AR106" s="20"/>
      <c r="AS106" s="20"/>
      <c r="AT106" s="20"/>
      <c r="AU106" s="20"/>
      <c r="AV106" s="20"/>
      <c r="AW106" s="45"/>
      <c r="AX106" s="48"/>
      <c r="AY106" s="30"/>
      <c r="AZ106" s="30"/>
      <c r="BA106" s="30"/>
      <c r="BB106" s="20"/>
      <c r="BC106" s="20"/>
      <c r="BD106" s="20"/>
      <c r="BE106" s="20"/>
      <c r="BF106" s="20"/>
      <c r="BG106" s="20"/>
      <c r="BH106" s="20"/>
      <c r="BI106" s="45"/>
      <c r="BJ106" s="48"/>
      <c r="BK106" s="30"/>
      <c r="BL106" s="30"/>
      <c r="BM106" s="30"/>
      <c r="BN106" s="20"/>
      <c r="BO106" s="20"/>
      <c r="BP106" s="20"/>
      <c r="BQ106" s="20"/>
      <c r="BR106" s="20"/>
      <c r="BS106" s="20"/>
      <c r="BT106" s="20"/>
      <c r="BU106" s="45"/>
      <c r="BV106" s="48"/>
      <c r="BW106" s="30"/>
      <c r="BX106" s="30"/>
      <c r="BY106" s="30"/>
      <c r="BZ106" s="20"/>
      <c r="CA106" s="20"/>
      <c r="CB106" s="20"/>
      <c r="CC106" s="20"/>
      <c r="CD106" s="20"/>
      <c r="CE106" s="20"/>
      <c r="CF106" s="20"/>
      <c r="CG106" s="45"/>
      <c r="CH106" s="48"/>
      <c r="CI106" s="30"/>
      <c r="CJ106" s="30"/>
      <c r="CK106" s="30"/>
      <c r="CL106" s="20"/>
      <c r="CM106" s="20"/>
      <c r="CN106" s="20"/>
      <c r="CO106" s="20"/>
      <c r="CP106" s="20"/>
      <c r="CQ106" s="20"/>
      <c r="CR106" s="20"/>
      <c r="CS106" s="45"/>
      <c r="CT106" s="48"/>
      <c r="CU106" s="30"/>
      <c r="CV106" s="30"/>
      <c r="CW106" s="30"/>
      <c r="CX106" s="20"/>
      <c r="CY106" s="20"/>
      <c r="CZ106" s="20"/>
      <c r="DA106" s="20"/>
      <c r="DB106" s="20"/>
      <c r="DC106" s="20"/>
      <c r="DD106" s="20"/>
      <c r="DE106" s="45"/>
      <c r="DF106" s="48"/>
      <c r="DG106" s="30"/>
      <c r="DH106" s="30"/>
      <c r="DI106" s="30"/>
      <c r="DJ106" s="20"/>
      <c r="DK106" s="20"/>
      <c r="DL106" s="20"/>
      <c r="DM106" s="20"/>
      <c r="DN106" s="20"/>
      <c r="DO106" s="20"/>
      <c r="DP106" s="20"/>
      <c r="DQ106" s="45"/>
      <c r="DR106" s="48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</row>
    <row r="107" spans="1:132" s="29" customFormat="1" ht="12.75">
      <c r="A107" s="46">
        <v>2001</v>
      </c>
      <c r="B107" s="47" t="s">
        <v>43</v>
      </c>
      <c r="C107" s="35">
        <f t="shared" si="15"/>
        <v>0.93984417466932413</v>
      </c>
      <c r="D107" s="35">
        <f t="shared" si="16"/>
        <v>0.95750572251347554</v>
      </c>
      <c r="E107" s="35">
        <f t="shared" si="17"/>
        <v>0.98155462946185901</v>
      </c>
      <c r="F107" s="20">
        <v>27595</v>
      </c>
      <c r="G107" s="20">
        <f t="shared" si="22"/>
        <v>509</v>
      </c>
      <c r="H107" s="20">
        <v>27086</v>
      </c>
      <c r="I107" s="20">
        <v>25935</v>
      </c>
      <c r="J107" s="20">
        <f t="shared" si="23"/>
        <v>1151</v>
      </c>
      <c r="K107" s="20"/>
      <c r="L107" s="20"/>
      <c r="M107" s="46"/>
      <c r="N107" s="47"/>
      <c r="O107" s="30"/>
      <c r="P107" s="30"/>
      <c r="Q107" s="30"/>
      <c r="R107" s="20"/>
      <c r="S107" s="20"/>
      <c r="T107" s="20"/>
      <c r="U107" s="20"/>
      <c r="V107" s="20"/>
      <c r="W107" s="20"/>
      <c r="X107" s="20"/>
      <c r="Y107" s="46"/>
      <c r="Z107" s="47"/>
      <c r="AA107" s="30"/>
      <c r="AB107" s="30"/>
      <c r="AC107" s="30"/>
      <c r="AD107" s="20"/>
      <c r="AE107" s="20"/>
      <c r="AF107" s="20"/>
      <c r="AG107" s="20"/>
      <c r="AH107" s="20"/>
      <c r="AI107" s="20"/>
      <c r="AJ107" s="20"/>
      <c r="AK107" s="46"/>
      <c r="AL107" s="47"/>
      <c r="AM107" s="30"/>
      <c r="AN107" s="30"/>
      <c r="AO107" s="30"/>
      <c r="AP107" s="20"/>
      <c r="AQ107" s="20"/>
      <c r="AR107" s="20"/>
      <c r="AS107" s="20"/>
      <c r="AT107" s="20"/>
      <c r="AU107" s="20"/>
      <c r="AV107" s="20"/>
      <c r="AW107" s="46"/>
      <c r="AX107" s="47"/>
      <c r="AY107" s="30"/>
      <c r="AZ107" s="30"/>
      <c r="BA107" s="30"/>
      <c r="BB107" s="20"/>
      <c r="BC107" s="20"/>
      <c r="BD107" s="20"/>
      <c r="BE107" s="20"/>
      <c r="BF107" s="20"/>
      <c r="BG107" s="20"/>
      <c r="BH107" s="20"/>
      <c r="BI107" s="46"/>
      <c r="BJ107" s="47"/>
      <c r="BK107" s="30"/>
      <c r="BL107" s="30"/>
      <c r="BM107" s="30"/>
      <c r="BN107" s="20"/>
      <c r="BO107" s="20"/>
      <c r="BP107" s="20"/>
      <c r="BQ107" s="20"/>
      <c r="BR107" s="20"/>
      <c r="BS107" s="20"/>
      <c r="BT107" s="20"/>
      <c r="BU107" s="46"/>
      <c r="BV107" s="47"/>
      <c r="BW107" s="30"/>
      <c r="BX107" s="30"/>
      <c r="BY107" s="30"/>
      <c r="BZ107" s="20"/>
      <c r="CA107" s="20"/>
      <c r="CB107" s="20"/>
      <c r="CC107" s="20"/>
      <c r="CD107" s="20"/>
      <c r="CE107" s="20"/>
      <c r="CF107" s="20"/>
      <c r="CG107" s="46"/>
      <c r="CH107" s="47"/>
      <c r="CI107" s="30"/>
      <c r="CJ107" s="30"/>
      <c r="CK107" s="30"/>
      <c r="CL107" s="20"/>
      <c r="CM107" s="20"/>
      <c r="CN107" s="20"/>
      <c r="CO107" s="20"/>
      <c r="CP107" s="20"/>
      <c r="CQ107" s="20"/>
      <c r="CR107" s="20"/>
      <c r="CS107" s="46"/>
      <c r="CT107" s="47"/>
      <c r="CU107" s="30"/>
      <c r="CV107" s="30"/>
      <c r="CW107" s="30"/>
      <c r="CX107" s="20"/>
      <c r="CY107" s="20"/>
      <c r="CZ107" s="20"/>
      <c r="DA107" s="20"/>
      <c r="DB107" s="20"/>
      <c r="DC107" s="20"/>
      <c r="DD107" s="20"/>
      <c r="DE107" s="46"/>
      <c r="DF107" s="47"/>
      <c r="DG107" s="30"/>
      <c r="DH107" s="30"/>
      <c r="DI107" s="30"/>
      <c r="DJ107" s="20"/>
      <c r="DK107" s="20"/>
      <c r="DL107" s="20"/>
      <c r="DM107" s="20"/>
      <c r="DN107" s="20"/>
      <c r="DO107" s="20"/>
      <c r="DP107" s="20"/>
      <c r="DQ107" s="46"/>
      <c r="DR107" s="47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</row>
    <row r="108" spans="1:132" s="29" customFormat="1" ht="12.75">
      <c r="A108" s="45">
        <v>2001</v>
      </c>
      <c r="B108" s="48" t="s">
        <v>44</v>
      </c>
      <c r="C108" s="35">
        <f t="shared" si="15"/>
        <v>0.89808827663761592</v>
      </c>
      <c r="D108" s="35">
        <f t="shared" si="16"/>
        <v>0.96317792937097202</v>
      </c>
      <c r="E108" s="35">
        <f t="shared" si="17"/>
        <v>0.93242198481866745</v>
      </c>
      <c r="F108" s="20">
        <v>28456</v>
      </c>
      <c r="G108" s="20">
        <f t="shared" si="22"/>
        <v>1923</v>
      </c>
      <c r="H108" s="20">
        <v>26533</v>
      </c>
      <c r="I108" s="20">
        <v>25556</v>
      </c>
      <c r="J108" s="20">
        <f t="shared" si="23"/>
        <v>977</v>
      </c>
      <c r="K108" s="20"/>
      <c r="L108" s="20"/>
      <c r="M108" s="45"/>
      <c r="N108" s="48"/>
      <c r="O108" s="30"/>
      <c r="P108" s="30"/>
      <c r="Q108" s="30"/>
      <c r="R108" s="20"/>
      <c r="S108" s="20"/>
      <c r="T108" s="20"/>
      <c r="U108" s="20"/>
      <c r="V108" s="20"/>
      <c r="W108" s="20"/>
      <c r="X108" s="20"/>
      <c r="Y108" s="45"/>
      <c r="Z108" s="48"/>
      <c r="AA108" s="30"/>
      <c r="AB108" s="30"/>
      <c r="AC108" s="30"/>
      <c r="AD108" s="20"/>
      <c r="AE108" s="20"/>
      <c r="AF108" s="20"/>
      <c r="AG108" s="20"/>
      <c r="AH108" s="20"/>
      <c r="AI108" s="20"/>
      <c r="AJ108" s="20"/>
      <c r="AK108" s="45"/>
      <c r="AL108" s="48"/>
      <c r="AM108" s="30"/>
      <c r="AN108" s="30"/>
      <c r="AO108" s="30"/>
      <c r="AP108" s="20"/>
      <c r="AQ108" s="20"/>
      <c r="AR108" s="20"/>
      <c r="AS108" s="20"/>
      <c r="AT108" s="20"/>
      <c r="AU108" s="20"/>
      <c r="AV108" s="20"/>
      <c r="AW108" s="45"/>
      <c r="AX108" s="48"/>
      <c r="AY108" s="30"/>
      <c r="AZ108" s="30"/>
      <c r="BA108" s="30"/>
      <c r="BB108" s="20"/>
      <c r="BC108" s="20"/>
      <c r="BD108" s="20"/>
      <c r="BE108" s="20"/>
      <c r="BF108" s="20"/>
      <c r="BG108" s="20"/>
      <c r="BH108" s="20"/>
      <c r="BI108" s="45"/>
      <c r="BJ108" s="48"/>
      <c r="BK108" s="30"/>
      <c r="BL108" s="30"/>
      <c r="BM108" s="30"/>
      <c r="BN108" s="20"/>
      <c r="BO108" s="20"/>
      <c r="BP108" s="20"/>
      <c r="BQ108" s="20"/>
      <c r="BR108" s="20"/>
      <c r="BS108" s="20"/>
      <c r="BT108" s="20"/>
      <c r="BU108" s="45"/>
      <c r="BV108" s="48"/>
      <c r="BW108" s="30"/>
      <c r="BX108" s="30"/>
      <c r="BY108" s="30"/>
      <c r="BZ108" s="20"/>
      <c r="CA108" s="20"/>
      <c r="CB108" s="20"/>
      <c r="CC108" s="20"/>
      <c r="CD108" s="20"/>
      <c r="CE108" s="20"/>
      <c r="CF108" s="20"/>
      <c r="CG108" s="45"/>
      <c r="CH108" s="48"/>
      <c r="CI108" s="30"/>
      <c r="CJ108" s="30"/>
      <c r="CK108" s="30"/>
      <c r="CL108" s="20"/>
      <c r="CM108" s="20"/>
      <c r="CN108" s="20"/>
      <c r="CO108" s="20"/>
      <c r="CP108" s="20"/>
      <c r="CQ108" s="20"/>
      <c r="CR108" s="20"/>
      <c r="CS108" s="45"/>
      <c r="CT108" s="48"/>
      <c r="CU108" s="30"/>
      <c r="CV108" s="30"/>
      <c r="CW108" s="30"/>
      <c r="CX108" s="20"/>
      <c r="CY108" s="20"/>
      <c r="CZ108" s="20"/>
      <c r="DA108" s="20"/>
      <c r="DB108" s="20"/>
      <c r="DC108" s="20"/>
      <c r="DD108" s="20"/>
      <c r="DE108" s="45"/>
      <c r="DF108" s="48"/>
      <c r="DG108" s="30"/>
      <c r="DH108" s="30"/>
      <c r="DI108" s="30"/>
      <c r="DJ108" s="20"/>
      <c r="DK108" s="20"/>
      <c r="DL108" s="20"/>
      <c r="DM108" s="20"/>
      <c r="DN108" s="20"/>
      <c r="DO108" s="20"/>
      <c r="DP108" s="20"/>
      <c r="DQ108" s="45"/>
      <c r="DR108" s="48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</row>
    <row r="109" spans="1:132" s="29" customFormat="1" ht="12.75">
      <c r="A109" s="46">
        <v>2001</v>
      </c>
      <c r="B109" s="47" t="s">
        <v>45</v>
      </c>
      <c r="C109" s="35">
        <f t="shared" si="15"/>
        <v>0.94082881139183627</v>
      </c>
      <c r="D109" s="35">
        <f t="shared" si="16"/>
        <v>0.95916138125440453</v>
      </c>
      <c r="E109" s="35">
        <f t="shared" si="17"/>
        <v>0.98088687657691909</v>
      </c>
      <c r="F109" s="20">
        <v>28933</v>
      </c>
      <c r="G109" s="20">
        <f t="shared" si="22"/>
        <v>553</v>
      </c>
      <c r="H109" s="20">
        <v>28380</v>
      </c>
      <c r="I109" s="20">
        <v>27221</v>
      </c>
      <c r="J109" s="20">
        <f t="shared" si="23"/>
        <v>1159</v>
      </c>
      <c r="K109" s="20"/>
      <c r="L109" s="20"/>
      <c r="M109" s="46"/>
      <c r="N109" s="47"/>
      <c r="O109" s="30"/>
      <c r="P109" s="30"/>
      <c r="Q109" s="30"/>
      <c r="R109" s="20"/>
      <c r="S109" s="20"/>
      <c r="T109" s="20"/>
      <c r="U109" s="20"/>
      <c r="V109" s="20"/>
      <c r="W109" s="20"/>
      <c r="X109" s="20"/>
      <c r="Y109" s="46"/>
      <c r="Z109" s="47"/>
      <c r="AA109" s="30"/>
      <c r="AB109" s="30"/>
      <c r="AC109" s="30"/>
      <c r="AD109" s="20"/>
      <c r="AE109" s="20"/>
      <c r="AF109" s="20"/>
      <c r="AG109" s="20"/>
      <c r="AH109" s="20"/>
      <c r="AI109" s="20"/>
      <c r="AJ109" s="20"/>
      <c r="AK109" s="46"/>
      <c r="AL109" s="47"/>
      <c r="AM109" s="30"/>
      <c r="AN109" s="30"/>
      <c r="AO109" s="30"/>
      <c r="AP109" s="20"/>
      <c r="AQ109" s="20"/>
      <c r="AR109" s="20"/>
      <c r="AS109" s="20"/>
      <c r="AT109" s="20"/>
      <c r="AU109" s="20"/>
      <c r="AV109" s="20"/>
      <c r="AW109" s="46"/>
      <c r="AX109" s="47"/>
      <c r="AY109" s="30"/>
      <c r="AZ109" s="30"/>
      <c r="BA109" s="30"/>
      <c r="BB109" s="20"/>
      <c r="BC109" s="20"/>
      <c r="BD109" s="20"/>
      <c r="BE109" s="20"/>
      <c r="BF109" s="20"/>
      <c r="BG109" s="20"/>
      <c r="BH109" s="20"/>
      <c r="BI109" s="46"/>
      <c r="BJ109" s="47"/>
      <c r="BK109" s="30"/>
      <c r="BL109" s="30"/>
      <c r="BM109" s="30"/>
      <c r="BN109" s="20"/>
      <c r="BO109" s="20"/>
      <c r="BP109" s="20"/>
      <c r="BQ109" s="20"/>
      <c r="BR109" s="20"/>
      <c r="BS109" s="20"/>
      <c r="BT109" s="20"/>
      <c r="BU109" s="46"/>
      <c r="BV109" s="47"/>
      <c r="BW109" s="30"/>
      <c r="BX109" s="30"/>
      <c r="BY109" s="30"/>
      <c r="BZ109" s="20"/>
      <c r="CA109" s="20"/>
      <c r="CB109" s="20"/>
      <c r="CC109" s="20"/>
      <c r="CD109" s="20"/>
      <c r="CE109" s="20"/>
      <c r="CF109" s="20"/>
      <c r="CG109" s="46"/>
      <c r="CH109" s="47"/>
      <c r="CI109" s="30"/>
      <c r="CJ109" s="30"/>
      <c r="CK109" s="30"/>
      <c r="CL109" s="20"/>
      <c r="CM109" s="20"/>
      <c r="CN109" s="20"/>
      <c r="CO109" s="20"/>
      <c r="CP109" s="20"/>
      <c r="CQ109" s="20"/>
      <c r="CR109" s="20"/>
      <c r="CS109" s="46"/>
      <c r="CT109" s="47"/>
      <c r="CU109" s="30"/>
      <c r="CV109" s="30"/>
      <c r="CW109" s="30"/>
      <c r="CX109" s="20"/>
      <c r="CY109" s="20"/>
      <c r="CZ109" s="20"/>
      <c r="DA109" s="20"/>
      <c r="DB109" s="20"/>
      <c r="DC109" s="20"/>
      <c r="DD109" s="20"/>
      <c r="DE109" s="46"/>
      <c r="DF109" s="47"/>
      <c r="DG109" s="30"/>
      <c r="DH109" s="30"/>
      <c r="DI109" s="30"/>
      <c r="DJ109" s="20"/>
      <c r="DK109" s="20"/>
      <c r="DL109" s="20"/>
      <c r="DM109" s="20"/>
      <c r="DN109" s="20"/>
      <c r="DO109" s="20"/>
      <c r="DP109" s="20"/>
      <c r="DQ109" s="46"/>
      <c r="DR109" s="47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</row>
    <row r="110" spans="1:132" s="29" customFormat="1" ht="12.75">
      <c r="A110" s="45">
        <v>2001</v>
      </c>
      <c r="B110" s="48" t="s">
        <v>46</v>
      </c>
      <c r="C110" s="35">
        <f t="shared" si="15"/>
        <v>0.95127778179975386</v>
      </c>
      <c r="D110" s="35">
        <f t="shared" si="16"/>
        <v>0.96963435782016749</v>
      </c>
      <c r="E110" s="35">
        <f t="shared" si="17"/>
        <v>0.98106855860421338</v>
      </c>
      <c r="F110" s="20">
        <v>27626</v>
      </c>
      <c r="G110" s="20">
        <f t="shared" si="22"/>
        <v>523</v>
      </c>
      <c r="H110" s="20">
        <v>27103</v>
      </c>
      <c r="I110" s="20">
        <v>26280</v>
      </c>
      <c r="J110" s="20">
        <f t="shared" si="23"/>
        <v>823</v>
      </c>
      <c r="K110" s="20"/>
      <c r="L110" s="20"/>
      <c r="M110" s="45"/>
      <c r="N110" s="48"/>
      <c r="O110" s="30"/>
      <c r="P110" s="30"/>
      <c r="Q110" s="30"/>
      <c r="R110" s="20"/>
      <c r="S110" s="20"/>
      <c r="T110" s="20"/>
      <c r="U110" s="20"/>
      <c r="V110" s="20"/>
      <c r="W110" s="20"/>
      <c r="X110" s="20"/>
      <c r="Y110" s="45"/>
      <c r="Z110" s="48"/>
      <c r="AA110" s="30"/>
      <c r="AB110" s="30"/>
      <c r="AC110" s="30"/>
      <c r="AD110" s="20"/>
      <c r="AE110" s="20"/>
      <c r="AF110" s="20"/>
      <c r="AG110" s="20"/>
      <c r="AH110" s="20"/>
      <c r="AI110" s="20"/>
      <c r="AJ110" s="20"/>
      <c r="AK110" s="45"/>
      <c r="AL110" s="48"/>
      <c r="AM110" s="30"/>
      <c r="AN110" s="30"/>
      <c r="AO110" s="30"/>
      <c r="AP110" s="20"/>
      <c r="AQ110" s="20"/>
      <c r="AR110" s="20"/>
      <c r="AS110" s="20"/>
      <c r="AT110" s="20"/>
      <c r="AU110" s="20"/>
      <c r="AV110" s="20"/>
      <c r="AW110" s="45"/>
      <c r="AX110" s="48"/>
      <c r="AY110" s="30"/>
      <c r="AZ110" s="30"/>
      <c r="BA110" s="30"/>
      <c r="BB110" s="20"/>
      <c r="BC110" s="20"/>
      <c r="BD110" s="20"/>
      <c r="BE110" s="20"/>
      <c r="BF110" s="20"/>
      <c r="BG110" s="20"/>
      <c r="BH110" s="20"/>
      <c r="BI110" s="45"/>
      <c r="BJ110" s="48"/>
      <c r="BK110" s="30"/>
      <c r="BL110" s="30"/>
      <c r="BM110" s="30"/>
      <c r="BN110" s="20"/>
      <c r="BO110" s="20"/>
      <c r="BP110" s="20"/>
      <c r="BQ110" s="20"/>
      <c r="BR110" s="20"/>
      <c r="BS110" s="20"/>
      <c r="BT110" s="20"/>
      <c r="BU110" s="45"/>
      <c r="BV110" s="48"/>
      <c r="BW110" s="30"/>
      <c r="BX110" s="30"/>
      <c r="BY110" s="30"/>
      <c r="BZ110" s="20"/>
      <c r="CA110" s="20"/>
      <c r="CB110" s="20"/>
      <c r="CC110" s="20"/>
      <c r="CD110" s="20"/>
      <c r="CE110" s="20"/>
      <c r="CF110" s="20"/>
      <c r="CG110" s="45"/>
      <c r="CH110" s="48"/>
      <c r="CI110" s="30"/>
      <c r="CJ110" s="30"/>
      <c r="CK110" s="30"/>
      <c r="CL110" s="20"/>
      <c r="CM110" s="20"/>
      <c r="CN110" s="20"/>
      <c r="CO110" s="20"/>
      <c r="CP110" s="20"/>
      <c r="CQ110" s="20"/>
      <c r="CR110" s="20"/>
      <c r="CS110" s="45"/>
      <c r="CT110" s="48"/>
      <c r="CU110" s="30"/>
      <c r="CV110" s="30"/>
      <c r="CW110" s="30"/>
      <c r="CX110" s="20"/>
      <c r="CY110" s="20"/>
      <c r="CZ110" s="20"/>
      <c r="DA110" s="20"/>
      <c r="DB110" s="20"/>
      <c r="DC110" s="20"/>
      <c r="DD110" s="20"/>
      <c r="DE110" s="45"/>
      <c r="DF110" s="48"/>
      <c r="DG110" s="30"/>
      <c r="DH110" s="30"/>
      <c r="DI110" s="30"/>
      <c r="DJ110" s="20"/>
      <c r="DK110" s="20"/>
      <c r="DL110" s="20"/>
      <c r="DM110" s="20"/>
      <c r="DN110" s="20"/>
      <c r="DO110" s="20"/>
      <c r="DP110" s="20"/>
      <c r="DQ110" s="45"/>
      <c r="DR110" s="48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</row>
    <row r="111" spans="1:132" s="29" customFormat="1" ht="12.75">
      <c r="A111" s="46">
        <v>2001</v>
      </c>
      <c r="B111" s="47" t="s">
        <v>47</v>
      </c>
      <c r="C111" s="35">
        <f t="shared" si="15"/>
        <v>0.93118026197241666</v>
      </c>
      <c r="D111" s="35">
        <f t="shared" si="16"/>
        <v>0.95011137432379877</v>
      </c>
      <c r="E111" s="35">
        <f t="shared" si="17"/>
        <v>0.98007484926190314</v>
      </c>
      <c r="F111" s="20">
        <v>28858</v>
      </c>
      <c r="G111" s="20">
        <f t="shared" si="22"/>
        <v>575</v>
      </c>
      <c r="H111" s="20">
        <v>28283</v>
      </c>
      <c r="I111" s="20">
        <v>26872</v>
      </c>
      <c r="J111" s="20">
        <f t="shared" si="23"/>
        <v>1411</v>
      </c>
      <c r="K111" s="20"/>
      <c r="L111" s="20"/>
      <c r="M111" s="46"/>
      <c r="N111" s="47"/>
      <c r="O111" s="30"/>
      <c r="P111" s="30"/>
      <c r="Q111" s="30"/>
      <c r="R111" s="20"/>
      <c r="S111" s="20"/>
      <c r="T111" s="20"/>
      <c r="U111" s="20"/>
      <c r="V111" s="20"/>
      <c r="W111" s="20"/>
      <c r="X111" s="20"/>
      <c r="Y111" s="46"/>
      <c r="Z111" s="47"/>
      <c r="AA111" s="30"/>
      <c r="AB111" s="30"/>
      <c r="AC111" s="30"/>
      <c r="AD111" s="20"/>
      <c r="AE111" s="20"/>
      <c r="AF111" s="20"/>
      <c r="AG111" s="20"/>
      <c r="AH111" s="20"/>
      <c r="AI111" s="20"/>
      <c r="AJ111" s="20"/>
      <c r="AK111" s="46"/>
      <c r="AL111" s="47"/>
      <c r="AM111" s="30"/>
      <c r="AN111" s="30"/>
      <c r="AO111" s="30"/>
      <c r="AP111" s="20"/>
      <c r="AQ111" s="20"/>
      <c r="AR111" s="20"/>
      <c r="AS111" s="20"/>
      <c r="AT111" s="20"/>
      <c r="AU111" s="20"/>
      <c r="AV111" s="20"/>
      <c r="AW111" s="46"/>
      <c r="AX111" s="47"/>
      <c r="AY111" s="30"/>
      <c r="AZ111" s="30"/>
      <c r="BA111" s="30"/>
      <c r="BB111" s="20"/>
      <c r="BC111" s="20"/>
      <c r="BD111" s="20"/>
      <c r="BE111" s="20"/>
      <c r="BF111" s="20"/>
      <c r="BG111" s="20"/>
      <c r="BH111" s="20"/>
      <c r="BI111" s="46"/>
      <c r="BJ111" s="47"/>
      <c r="BK111" s="30"/>
      <c r="BL111" s="30"/>
      <c r="BM111" s="30"/>
      <c r="BN111" s="20"/>
      <c r="BO111" s="20"/>
      <c r="BP111" s="20"/>
      <c r="BQ111" s="20"/>
      <c r="BR111" s="20"/>
      <c r="BS111" s="20"/>
      <c r="BT111" s="20"/>
      <c r="BU111" s="46"/>
      <c r="BV111" s="47"/>
      <c r="BW111" s="30"/>
      <c r="BX111" s="30"/>
      <c r="BY111" s="30"/>
      <c r="BZ111" s="20"/>
      <c r="CA111" s="20"/>
      <c r="CB111" s="20"/>
      <c r="CC111" s="20"/>
      <c r="CD111" s="20"/>
      <c r="CE111" s="20"/>
      <c r="CF111" s="20"/>
      <c r="CG111" s="46"/>
      <c r="CH111" s="47"/>
      <c r="CI111" s="30"/>
      <c r="CJ111" s="30"/>
      <c r="CK111" s="30"/>
      <c r="CL111" s="20"/>
      <c r="CM111" s="20"/>
      <c r="CN111" s="20"/>
      <c r="CO111" s="20"/>
      <c r="CP111" s="20"/>
      <c r="CQ111" s="20"/>
      <c r="CR111" s="20"/>
      <c r="CS111" s="46"/>
      <c r="CT111" s="47"/>
      <c r="CU111" s="30"/>
      <c r="CV111" s="30"/>
      <c r="CW111" s="30"/>
      <c r="CX111" s="20"/>
      <c r="CY111" s="20"/>
      <c r="CZ111" s="20"/>
      <c r="DA111" s="20"/>
      <c r="DB111" s="20"/>
      <c r="DC111" s="20"/>
      <c r="DD111" s="20"/>
      <c r="DE111" s="46"/>
      <c r="DF111" s="47"/>
      <c r="DG111" s="30"/>
      <c r="DH111" s="30"/>
      <c r="DI111" s="30"/>
      <c r="DJ111" s="20"/>
      <c r="DK111" s="20"/>
      <c r="DL111" s="20"/>
      <c r="DM111" s="20"/>
      <c r="DN111" s="20"/>
      <c r="DO111" s="20"/>
      <c r="DP111" s="20"/>
      <c r="DQ111" s="46"/>
      <c r="DR111" s="47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</row>
    <row r="112" spans="1:132" s="29" customFormat="1" ht="12.75">
      <c r="A112" s="45">
        <v>2001</v>
      </c>
      <c r="B112" s="48" t="s">
        <v>48</v>
      </c>
      <c r="C112" s="35">
        <f t="shared" si="15"/>
        <v>0.93559056798378204</v>
      </c>
      <c r="D112" s="35">
        <f t="shared" si="16"/>
        <v>0.95246026286252217</v>
      </c>
      <c r="E112" s="35">
        <f t="shared" si="17"/>
        <v>0.98228829533734041</v>
      </c>
      <c r="F112" s="20">
        <v>28117</v>
      </c>
      <c r="G112" s="20">
        <f t="shared" si="22"/>
        <v>498</v>
      </c>
      <c r="H112" s="20">
        <v>27619</v>
      </c>
      <c r="I112" s="20">
        <v>26306</v>
      </c>
      <c r="J112" s="20">
        <f t="shared" si="23"/>
        <v>1313</v>
      </c>
      <c r="K112" s="20"/>
      <c r="L112" s="20"/>
      <c r="M112" s="45"/>
      <c r="N112" s="48"/>
      <c r="O112" s="30"/>
      <c r="P112" s="30"/>
      <c r="Q112" s="30"/>
      <c r="R112" s="20"/>
      <c r="S112" s="20"/>
      <c r="T112" s="20"/>
      <c r="U112" s="20"/>
      <c r="V112" s="20"/>
      <c r="W112" s="20"/>
      <c r="X112" s="20"/>
      <c r="Y112" s="45"/>
      <c r="Z112" s="48"/>
      <c r="AA112" s="30"/>
      <c r="AB112" s="30"/>
      <c r="AC112" s="30"/>
      <c r="AD112" s="20"/>
      <c r="AE112" s="20"/>
      <c r="AF112" s="20"/>
      <c r="AG112" s="20"/>
      <c r="AH112" s="20"/>
      <c r="AI112" s="20"/>
      <c r="AJ112" s="20"/>
      <c r="AK112" s="45"/>
      <c r="AL112" s="48"/>
      <c r="AM112" s="30"/>
      <c r="AN112" s="30"/>
      <c r="AO112" s="30"/>
      <c r="AP112" s="20"/>
      <c r="AQ112" s="20"/>
      <c r="AR112" s="20"/>
      <c r="AS112" s="20"/>
      <c r="AT112" s="20"/>
      <c r="AU112" s="20"/>
      <c r="AV112" s="20"/>
      <c r="AW112" s="45"/>
      <c r="AX112" s="48"/>
      <c r="AY112" s="30"/>
      <c r="AZ112" s="30"/>
      <c r="BA112" s="30"/>
      <c r="BB112" s="20"/>
      <c r="BC112" s="20"/>
      <c r="BD112" s="20"/>
      <c r="BE112" s="20"/>
      <c r="BF112" s="20"/>
      <c r="BG112" s="20"/>
      <c r="BH112" s="20"/>
      <c r="BI112" s="45"/>
      <c r="BJ112" s="48"/>
      <c r="BK112" s="30"/>
      <c r="BL112" s="30"/>
      <c r="BM112" s="30"/>
      <c r="BN112" s="20"/>
      <c r="BO112" s="20"/>
      <c r="BP112" s="20"/>
      <c r="BQ112" s="20"/>
      <c r="BR112" s="20"/>
      <c r="BS112" s="20"/>
      <c r="BT112" s="20"/>
      <c r="BU112" s="45"/>
      <c r="BV112" s="48"/>
      <c r="BW112" s="30"/>
      <c r="BX112" s="30"/>
      <c r="BY112" s="30"/>
      <c r="BZ112" s="20"/>
      <c r="CA112" s="20"/>
      <c r="CB112" s="20"/>
      <c r="CC112" s="20"/>
      <c r="CD112" s="20"/>
      <c r="CE112" s="20"/>
      <c r="CF112" s="20"/>
      <c r="CG112" s="45"/>
      <c r="CH112" s="48"/>
      <c r="CI112" s="30"/>
      <c r="CJ112" s="30"/>
      <c r="CK112" s="30"/>
      <c r="CL112" s="20"/>
      <c r="CM112" s="20"/>
      <c r="CN112" s="20"/>
      <c r="CO112" s="20"/>
      <c r="CP112" s="20"/>
      <c r="CQ112" s="20"/>
      <c r="CR112" s="20"/>
      <c r="CS112" s="45"/>
      <c r="CT112" s="48"/>
      <c r="CU112" s="30"/>
      <c r="CV112" s="30"/>
      <c r="CW112" s="30"/>
      <c r="CX112" s="20"/>
      <c r="CY112" s="20"/>
      <c r="CZ112" s="20"/>
      <c r="DA112" s="20"/>
      <c r="DB112" s="20"/>
      <c r="DC112" s="20"/>
      <c r="DD112" s="20"/>
      <c r="DE112" s="45"/>
      <c r="DF112" s="48"/>
      <c r="DG112" s="30"/>
      <c r="DH112" s="30"/>
      <c r="DI112" s="30"/>
      <c r="DJ112" s="20"/>
      <c r="DK112" s="20"/>
      <c r="DL112" s="20"/>
      <c r="DM112" s="20"/>
      <c r="DN112" s="20"/>
      <c r="DO112" s="20"/>
      <c r="DP112" s="20"/>
      <c r="DQ112" s="45"/>
      <c r="DR112" s="48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</row>
    <row r="113" spans="1:132" s="29" customFormat="1" ht="12.75">
      <c r="A113" s="46">
        <v>2001</v>
      </c>
      <c r="B113" s="47" t="s">
        <v>49</v>
      </c>
      <c r="C113" s="35">
        <f t="shared" si="15"/>
        <v>0.83734895909157081</v>
      </c>
      <c r="D113" s="35">
        <f t="shared" si="16"/>
        <v>0.95926450967311538</v>
      </c>
      <c r="E113" s="35">
        <f t="shared" si="17"/>
        <v>0.87290726452176448</v>
      </c>
      <c r="F113" s="20">
        <v>27476</v>
      </c>
      <c r="G113" s="20">
        <f t="shared" si="22"/>
        <v>3492</v>
      </c>
      <c r="H113" s="20">
        <v>23984</v>
      </c>
      <c r="I113" s="20">
        <v>23007</v>
      </c>
      <c r="J113" s="20">
        <f t="shared" si="23"/>
        <v>977</v>
      </c>
      <c r="K113" s="20"/>
      <c r="L113" s="20"/>
      <c r="M113" s="46"/>
      <c r="N113" s="47"/>
      <c r="O113" s="30"/>
      <c r="P113" s="30"/>
      <c r="Q113" s="30"/>
      <c r="R113" s="20"/>
      <c r="S113" s="20"/>
      <c r="T113" s="20"/>
      <c r="U113" s="20"/>
      <c r="V113" s="20"/>
      <c r="W113" s="20"/>
      <c r="X113" s="20"/>
      <c r="Y113" s="46"/>
      <c r="Z113" s="47"/>
      <c r="AA113" s="30"/>
      <c r="AB113" s="30"/>
      <c r="AC113" s="30"/>
      <c r="AD113" s="20"/>
      <c r="AE113" s="20"/>
      <c r="AF113" s="20"/>
      <c r="AG113" s="20"/>
      <c r="AH113" s="20"/>
      <c r="AI113" s="20"/>
      <c r="AJ113" s="20"/>
      <c r="AK113" s="46"/>
      <c r="AL113" s="47"/>
      <c r="AM113" s="30"/>
      <c r="AN113" s="30"/>
      <c r="AO113" s="30"/>
      <c r="AP113" s="20"/>
      <c r="AQ113" s="20"/>
      <c r="AR113" s="20"/>
      <c r="AS113" s="20"/>
      <c r="AT113" s="20"/>
      <c r="AU113" s="20"/>
      <c r="AV113" s="20"/>
      <c r="AW113" s="46"/>
      <c r="AX113" s="47"/>
      <c r="AY113" s="30"/>
      <c r="AZ113" s="30"/>
      <c r="BA113" s="30"/>
      <c r="BB113" s="20"/>
      <c r="BC113" s="20"/>
      <c r="BD113" s="20"/>
      <c r="BE113" s="20"/>
      <c r="BF113" s="20"/>
      <c r="BG113" s="20"/>
      <c r="BH113" s="20"/>
      <c r="BI113" s="46"/>
      <c r="BJ113" s="47"/>
      <c r="BK113" s="30"/>
      <c r="BL113" s="30"/>
      <c r="BM113" s="30"/>
      <c r="BN113" s="20"/>
      <c r="BO113" s="20"/>
      <c r="BP113" s="20"/>
      <c r="BQ113" s="20"/>
      <c r="BR113" s="20"/>
      <c r="BS113" s="20"/>
      <c r="BT113" s="20"/>
      <c r="BU113" s="46"/>
      <c r="BV113" s="47"/>
      <c r="BW113" s="30"/>
      <c r="BX113" s="30"/>
      <c r="BY113" s="30"/>
      <c r="BZ113" s="20"/>
      <c r="CA113" s="20"/>
      <c r="CB113" s="20"/>
      <c r="CC113" s="20"/>
      <c r="CD113" s="20"/>
      <c r="CE113" s="20"/>
      <c r="CF113" s="20"/>
      <c r="CG113" s="46"/>
      <c r="CH113" s="47"/>
      <c r="CI113" s="30"/>
      <c r="CJ113" s="30"/>
      <c r="CK113" s="30"/>
      <c r="CL113" s="20"/>
      <c r="CM113" s="20"/>
      <c r="CN113" s="20"/>
      <c r="CO113" s="20"/>
      <c r="CP113" s="20"/>
      <c r="CQ113" s="20"/>
      <c r="CR113" s="20"/>
      <c r="CS113" s="46"/>
      <c r="CT113" s="47"/>
      <c r="CU113" s="30"/>
      <c r="CV113" s="30"/>
      <c r="CW113" s="30"/>
      <c r="CX113" s="20"/>
      <c r="CY113" s="20"/>
      <c r="CZ113" s="20"/>
      <c r="DA113" s="20"/>
      <c r="DB113" s="20"/>
      <c r="DC113" s="20"/>
      <c r="DD113" s="20"/>
      <c r="DE113" s="46"/>
      <c r="DF113" s="47"/>
      <c r="DG113" s="30"/>
      <c r="DH113" s="30"/>
      <c r="DI113" s="30"/>
      <c r="DJ113" s="20"/>
      <c r="DK113" s="20"/>
      <c r="DL113" s="20"/>
      <c r="DM113" s="20"/>
      <c r="DN113" s="20"/>
      <c r="DO113" s="20"/>
      <c r="DP113" s="20"/>
      <c r="DQ113" s="46"/>
      <c r="DR113" s="47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</row>
    <row r="114" spans="1:132" s="29" customFormat="1" ht="12.75">
      <c r="A114" s="45">
        <v>2002</v>
      </c>
      <c r="B114" s="48" t="s">
        <v>38</v>
      </c>
      <c r="C114" s="35">
        <f t="shared" si="15"/>
        <v>0.9476510544471709</v>
      </c>
      <c r="D114" s="35">
        <f t="shared" si="16"/>
        <v>0.95897362075790837</v>
      </c>
      <c r="E114" s="35">
        <f t="shared" si="17"/>
        <v>0.98819303673672609</v>
      </c>
      <c r="F114" s="20">
        <v>28119</v>
      </c>
      <c r="G114" s="20">
        <f t="shared" ref="G114:G125" si="24">F114-H114</f>
        <v>332</v>
      </c>
      <c r="H114" s="20">
        <v>27787</v>
      </c>
      <c r="I114" s="20">
        <v>26647</v>
      </c>
      <c r="J114" s="20">
        <f t="shared" ref="J114:J125" si="25">H114-I114</f>
        <v>1140</v>
      </c>
      <c r="K114" s="20"/>
      <c r="L114" s="20"/>
      <c r="M114" s="45"/>
      <c r="N114" s="48"/>
      <c r="O114" s="30"/>
      <c r="P114" s="30"/>
      <c r="Q114" s="30"/>
      <c r="R114" s="20"/>
      <c r="S114" s="20"/>
      <c r="T114" s="20"/>
      <c r="U114" s="20"/>
      <c r="V114" s="20"/>
      <c r="W114" s="20"/>
      <c r="X114" s="20"/>
      <c r="Y114" s="45"/>
      <c r="Z114" s="48"/>
      <c r="AA114" s="30"/>
      <c r="AB114" s="30"/>
      <c r="AC114" s="30"/>
      <c r="AD114" s="20"/>
      <c r="AE114" s="20"/>
      <c r="AF114" s="20"/>
      <c r="AG114" s="20"/>
      <c r="AH114" s="20"/>
      <c r="AI114" s="20"/>
      <c r="AJ114" s="20"/>
      <c r="AK114" s="45"/>
      <c r="AL114" s="48"/>
      <c r="AM114" s="30"/>
      <c r="AN114" s="30"/>
      <c r="AO114" s="30"/>
      <c r="AP114" s="20"/>
      <c r="AQ114" s="20"/>
      <c r="AR114" s="20"/>
      <c r="AS114" s="20"/>
      <c r="AT114" s="20"/>
      <c r="AU114" s="20"/>
      <c r="AV114" s="20"/>
      <c r="AW114" s="45"/>
      <c r="AX114" s="48"/>
      <c r="AY114" s="30"/>
      <c r="AZ114" s="30"/>
      <c r="BA114" s="30"/>
      <c r="BB114" s="20"/>
      <c r="BC114" s="20"/>
      <c r="BD114" s="20"/>
      <c r="BE114" s="20"/>
      <c r="BF114" s="20"/>
      <c r="BG114" s="20"/>
      <c r="BH114" s="20"/>
      <c r="BI114" s="45"/>
      <c r="BJ114" s="48"/>
      <c r="BK114" s="30"/>
      <c r="BL114" s="30"/>
      <c r="BM114" s="30"/>
      <c r="BN114" s="20"/>
      <c r="BO114" s="20"/>
      <c r="BP114" s="20"/>
      <c r="BQ114" s="20"/>
      <c r="BR114" s="20"/>
      <c r="BS114" s="20"/>
      <c r="BT114" s="20"/>
      <c r="BU114" s="45"/>
      <c r="BV114" s="48"/>
      <c r="BW114" s="30"/>
      <c r="BX114" s="30"/>
      <c r="BY114" s="30"/>
      <c r="BZ114" s="20"/>
      <c r="CA114" s="20"/>
      <c r="CB114" s="20"/>
      <c r="CC114" s="20"/>
      <c r="CD114" s="20"/>
      <c r="CE114" s="20"/>
      <c r="CF114" s="20"/>
      <c r="CG114" s="45"/>
      <c r="CH114" s="48"/>
      <c r="CI114" s="30"/>
      <c r="CJ114" s="30"/>
      <c r="CK114" s="30"/>
      <c r="CL114" s="20"/>
      <c r="CM114" s="20"/>
      <c r="CN114" s="20"/>
      <c r="CO114" s="20"/>
      <c r="CP114" s="20"/>
      <c r="CQ114" s="20"/>
      <c r="CR114" s="20"/>
      <c r="CS114" s="45"/>
      <c r="CT114" s="48"/>
      <c r="CU114" s="30"/>
      <c r="CV114" s="30"/>
      <c r="CW114" s="30"/>
      <c r="CX114" s="20"/>
      <c r="CY114" s="20"/>
      <c r="CZ114" s="20"/>
      <c r="DA114" s="20"/>
      <c r="DB114" s="20"/>
      <c r="DC114" s="20"/>
      <c r="DD114" s="20"/>
      <c r="DE114" s="45"/>
      <c r="DF114" s="48"/>
      <c r="DG114" s="30"/>
      <c r="DH114" s="30"/>
      <c r="DI114" s="30"/>
      <c r="DJ114" s="20"/>
      <c r="DK114" s="20"/>
      <c r="DL114" s="20"/>
      <c r="DM114" s="20"/>
      <c r="DN114" s="20"/>
      <c r="DO114" s="20"/>
      <c r="DP114" s="20"/>
      <c r="DQ114" s="45"/>
      <c r="DR114" s="48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</row>
    <row r="115" spans="1:132" s="29" customFormat="1" ht="12.75">
      <c r="A115" s="46">
        <v>2002</v>
      </c>
      <c r="B115" s="47" t="s">
        <v>39</v>
      </c>
      <c r="C115" s="35">
        <f t="shared" si="15"/>
        <v>0.92269010629599346</v>
      </c>
      <c r="D115" s="35">
        <f t="shared" si="16"/>
        <v>0.94831715618303292</v>
      </c>
      <c r="E115" s="35">
        <f t="shared" si="17"/>
        <v>0.97297628781684387</v>
      </c>
      <c r="F115" s="20">
        <v>24460</v>
      </c>
      <c r="G115" s="20">
        <f t="shared" si="24"/>
        <v>661</v>
      </c>
      <c r="H115" s="20">
        <v>23799</v>
      </c>
      <c r="I115" s="20">
        <v>22569</v>
      </c>
      <c r="J115" s="20">
        <f t="shared" si="25"/>
        <v>1230</v>
      </c>
      <c r="K115" s="20"/>
      <c r="L115" s="20"/>
      <c r="M115" s="46"/>
      <c r="N115" s="47"/>
      <c r="O115" s="30"/>
      <c r="P115" s="30"/>
      <c r="Q115" s="30"/>
      <c r="R115" s="20"/>
      <c r="S115" s="20"/>
      <c r="T115" s="20"/>
      <c r="U115" s="20"/>
      <c r="V115" s="20"/>
      <c r="W115" s="20"/>
      <c r="X115" s="20"/>
      <c r="Y115" s="46"/>
      <c r="Z115" s="47"/>
      <c r="AA115" s="30"/>
      <c r="AB115" s="30"/>
      <c r="AC115" s="30"/>
      <c r="AD115" s="20"/>
      <c r="AE115" s="20"/>
      <c r="AF115" s="20"/>
      <c r="AG115" s="20"/>
      <c r="AH115" s="20"/>
      <c r="AI115" s="20"/>
      <c r="AJ115" s="20"/>
      <c r="AK115" s="46"/>
      <c r="AL115" s="47"/>
      <c r="AM115" s="30"/>
      <c r="AN115" s="30"/>
      <c r="AO115" s="30"/>
      <c r="AP115" s="20"/>
      <c r="AQ115" s="20"/>
      <c r="AR115" s="20"/>
      <c r="AS115" s="20"/>
      <c r="AT115" s="20"/>
      <c r="AU115" s="20"/>
      <c r="AV115" s="20"/>
      <c r="AW115" s="46"/>
      <c r="AX115" s="47"/>
      <c r="AY115" s="30"/>
      <c r="AZ115" s="30"/>
      <c r="BA115" s="30"/>
      <c r="BB115" s="20"/>
      <c r="BC115" s="20"/>
      <c r="BD115" s="20"/>
      <c r="BE115" s="20"/>
      <c r="BF115" s="20"/>
      <c r="BG115" s="20"/>
      <c r="BH115" s="20"/>
      <c r="BI115" s="46"/>
      <c r="BJ115" s="47"/>
      <c r="BK115" s="30"/>
      <c r="BL115" s="30"/>
      <c r="BM115" s="30"/>
      <c r="BN115" s="20"/>
      <c r="BO115" s="20"/>
      <c r="BP115" s="20"/>
      <c r="BQ115" s="20"/>
      <c r="BR115" s="20"/>
      <c r="BS115" s="20"/>
      <c r="BT115" s="20"/>
      <c r="BU115" s="46"/>
      <c r="BV115" s="47"/>
      <c r="BW115" s="30"/>
      <c r="BX115" s="30"/>
      <c r="BY115" s="30"/>
      <c r="BZ115" s="20"/>
      <c r="CA115" s="20"/>
      <c r="CB115" s="20"/>
      <c r="CC115" s="20"/>
      <c r="CD115" s="20"/>
      <c r="CE115" s="20"/>
      <c r="CF115" s="20"/>
      <c r="CG115" s="46"/>
      <c r="CH115" s="47"/>
      <c r="CI115" s="30"/>
      <c r="CJ115" s="30"/>
      <c r="CK115" s="30"/>
      <c r="CL115" s="20"/>
      <c r="CM115" s="20"/>
      <c r="CN115" s="20"/>
      <c r="CO115" s="20"/>
      <c r="CP115" s="20"/>
      <c r="CQ115" s="20"/>
      <c r="CR115" s="20"/>
      <c r="CS115" s="46"/>
      <c r="CT115" s="47"/>
      <c r="CU115" s="30"/>
      <c r="CV115" s="30"/>
      <c r="CW115" s="30"/>
      <c r="CX115" s="20"/>
      <c r="CY115" s="20"/>
      <c r="CZ115" s="20"/>
      <c r="DA115" s="20"/>
      <c r="DB115" s="20"/>
      <c r="DC115" s="20"/>
      <c r="DD115" s="20"/>
      <c r="DE115" s="46"/>
      <c r="DF115" s="47"/>
      <c r="DG115" s="30"/>
      <c r="DH115" s="30"/>
      <c r="DI115" s="30"/>
      <c r="DJ115" s="20"/>
      <c r="DK115" s="20"/>
      <c r="DL115" s="20"/>
      <c r="DM115" s="20"/>
      <c r="DN115" s="20"/>
      <c r="DO115" s="20"/>
      <c r="DP115" s="20"/>
      <c r="DQ115" s="46"/>
      <c r="DR115" s="47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</row>
    <row r="116" spans="1:132" s="29" customFormat="1" ht="12.75">
      <c r="A116" s="45">
        <v>2002</v>
      </c>
      <c r="B116" s="48" t="s">
        <v>40</v>
      </c>
      <c r="C116" s="35">
        <f t="shared" si="15"/>
        <v>0.89254976303317535</v>
      </c>
      <c r="D116" s="35">
        <f t="shared" si="16"/>
        <v>0.91645579475999528</v>
      </c>
      <c r="E116" s="35">
        <f t="shared" si="17"/>
        <v>0.97391469194312796</v>
      </c>
      <c r="F116" s="20">
        <v>26375</v>
      </c>
      <c r="G116" s="20">
        <f t="shared" si="24"/>
        <v>688</v>
      </c>
      <c r="H116" s="20">
        <v>25687</v>
      </c>
      <c r="I116" s="20">
        <v>23541</v>
      </c>
      <c r="J116" s="20">
        <f t="shared" si="25"/>
        <v>2146</v>
      </c>
      <c r="K116" s="20"/>
      <c r="L116" s="20"/>
      <c r="M116" s="45"/>
      <c r="N116" s="48"/>
      <c r="O116" s="30"/>
      <c r="P116" s="30"/>
      <c r="Q116" s="30"/>
      <c r="R116" s="20"/>
      <c r="S116" s="20"/>
      <c r="T116" s="20"/>
      <c r="U116" s="20"/>
      <c r="V116" s="20"/>
      <c r="W116" s="20"/>
      <c r="X116" s="20"/>
      <c r="Y116" s="45"/>
      <c r="Z116" s="48"/>
      <c r="AA116" s="30"/>
      <c r="AB116" s="30"/>
      <c r="AC116" s="30"/>
      <c r="AD116" s="20"/>
      <c r="AE116" s="20"/>
      <c r="AF116" s="20"/>
      <c r="AG116" s="20"/>
      <c r="AH116" s="20"/>
      <c r="AI116" s="20"/>
      <c r="AJ116" s="20"/>
      <c r="AK116" s="45"/>
      <c r="AL116" s="48"/>
      <c r="AM116" s="30"/>
      <c r="AN116" s="30"/>
      <c r="AO116" s="30"/>
      <c r="AP116" s="20"/>
      <c r="AQ116" s="20"/>
      <c r="AR116" s="20"/>
      <c r="AS116" s="20"/>
      <c r="AT116" s="20"/>
      <c r="AU116" s="20"/>
      <c r="AV116" s="20"/>
      <c r="AW116" s="45"/>
      <c r="AX116" s="48"/>
      <c r="AY116" s="30"/>
      <c r="AZ116" s="30"/>
      <c r="BA116" s="30"/>
      <c r="BB116" s="20"/>
      <c r="BC116" s="20"/>
      <c r="BD116" s="20"/>
      <c r="BE116" s="20"/>
      <c r="BF116" s="20"/>
      <c r="BG116" s="20"/>
      <c r="BH116" s="20"/>
      <c r="BI116" s="45"/>
      <c r="BJ116" s="48"/>
      <c r="BK116" s="30"/>
      <c r="BL116" s="30"/>
      <c r="BM116" s="30"/>
      <c r="BN116" s="20"/>
      <c r="BO116" s="20"/>
      <c r="BP116" s="20"/>
      <c r="BQ116" s="20"/>
      <c r="BR116" s="20"/>
      <c r="BS116" s="20"/>
      <c r="BT116" s="20"/>
      <c r="BU116" s="45"/>
      <c r="BV116" s="48"/>
      <c r="BW116" s="30"/>
      <c r="BX116" s="30"/>
      <c r="BY116" s="30"/>
      <c r="BZ116" s="20"/>
      <c r="CA116" s="20"/>
      <c r="CB116" s="20"/>
      <c r="CC116" s="20"/>
      <c r="CD116" s="20"/>
      <c r="CE116" s="20"/>
      <c r="CF116" s="20"/>
      <c r="CG116" s="45"/>
      <c r="CH116" s="48"/>
      <c r="CI116" s="30"/>
      <c r="CJ116" s="30"/>
      <c r="CK116" s="30"/>
      <c r="CL116" s="20"/>
      <c r="CM116" s="20"/>
      <c r="CN116" s="20"/>
      <c r="CO116" s="20"/>
      <c r="CP116" s="20"/>
      <c r="CQ116" s="20"/>
      <c r="CR116" s="20"/>
      <c r="CS116" s="45"/>
      <c r="CT116" s="48"/>
      <c r="CU116" s="30"/>
      <c r="CV116" s="30"/>
      <c r="CW116" s="30"/>
      <c r="CX116" s="20"/>
      <c r="CY116" s="20"/>
      <c r="CZ116" s="20"/>
      <c r="DA116" s="20"/>
      <c r="DB116" s="20"/>
      <c r="DC116" s="20"/>
      <c r="DD116" s="20"/>
      <c r="DE116" s="45"/>
      <c r="DF116" s="48"/>
      <c r="DG116" s="30"/>
      <c r="DH116" s="30"/>
      <c r="DI116" s="30"/>
      <c r="DJ116" s="20"/>
      <c r="DK116" s="20"/>
      <c r="DL116" s="20"/>
      <c r="DM116" s="20"/>
      <c r="DN116" s="20"/>
      <c r="DO116" s="20"/>
      <c r="DP116" s="20"/>
      <c r="DQ116" s="45"/>
      <c r="DR116" s="48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</row>
    <row r="117" spans="1:132" s="29" customFormat="1" ht="12.75">
      <c r="A117" s="46">
        <v>2002</v>
      </c>
      <c r="B117" s="47" t="s">
        <v>41</v>
      </c>
      <c r="C117" s="35">
        <f t="shared" si="15"/>
        <v>0.95242760296249851</v>
      </c>
      <c r="D117" s="35">
        <f t="shared" si="16"/>
        <v>0.96299377946828324</v>
      </c>
      <c r="E117" s="35">
        <f t="shared" si="17"/>
        <v>0.98902778322034568</v>
      </c>
      <c r="F117" s="20">
        <v>25519</v>
      </c>
      <c r="G117" s="20">
        <f t="shared" si="24"/>
        <v>280</v>
      </c>
      <c r="H117" s="20">
        <v>25239</v>
      </c>
      <c r="I117" s="20">
        <v>24305</v>
      </c>
      <c r="J117" s="20">
        <f t="shared" si="25"/>
        <v>934</v>
      </c>
      <c r="K117" s="20"/>
      <c r="L117" s="20"/>
      <c r="M117" s="46"/>
      <c r="N117" s="47"/>
      <c r="O117" s="30"/>
      <c r="P117" s="30"/>
      <c r="Q117" s="30"/>
      <c r="R117" s="20"/>
      <c r="S117" s="20"/>
      <c r="T117" s="20"/>
      <c r="U117" s="20"/>
      <c r="V117" s="20"/>
      <c r="W117" s="20"/>
      <c r="X117" s="20"/>
      <c r="Y117" s="46"/>
      <c r="Z117" s="47"/>
      <c r="AA117" s="30"/>
      <c r="AB117" s="30"/>
      <c r="AC117" s="30"/>
      <c r="AD117" s="20"/>
      <c r="AE117" s="20"/>
      <c r="AF117" s="20"/>
      <c r="AG117" s="20"/>
      <c r="AH117" s="20"/>
      <c r="AI117" s="20"/>
      <c r="AJ117" s="20"/>
      <c r="AK117" s="46"/>
      <c r="AL117" s="47"/>
      <c r="AM117" s="30"/>
      <c r="AN117" s="30"/>
      <c r="AO117" s="30"/>
      <c r="AP117" s="20"/>
      <c r="AQ117" s="20"/>
      <c r="AR117" s="20"/>
      <c r="AS117" s="20"/>
      <c r="AT117" s="20"/>
      <c r="AU117" s="20"/>
      <c r="AV117" s="20"/>
      <c r="AW117" s="46"/>
      <c r="AX117" s="47"/>
      <c r="AY117" s="30"/>
      <c r="AZ117" s="30"/>
      <c r="BA117" s="30"/>
      <c r="BB117" s="20"/>
      <c r="BC117" s="20"/>
      <c r="BD117" s="20"/>
      <c r="BE117" s="20"/>
      <c r="BF117" s="20"/>
      <c r="BG117" s="20"/>
      <c r="BH117" s="20"/>
      <c r="BI117" s="46"/>
      <c r="BJ117" s="47"/>
      <c r="BK117" s="30"/>
      <c r="BL117" s="30"/>
      <c r="BM117" s="30"/>
      <c r="BN117" s="20"/>
      <c r="BO117" s="20"/>
      <c r="BP117" s="20"/>
      <c r="BQ117" s="20"/>
      <c r="BR117" s="20"/>
      <c r="BS117" s="20"/>
      <c r="BT117" s="20"/>
      <c r="BU117" s="46"/>
      <c r="BV117" s="47"/>
      <c r="BW117" s="30"/>
      <c r="BX117" s="30"/>
      <c r="BY117" s="30"/>
      <c r="BZ117" s="20"/>
      <c r="CA117" s="20"/>
      <c r="CB117" s="20"/>
      <c r="CC117" s="20"/>
      <c r="CD117" s="20"/>
      <c r="CE117" s="20"/>
      <c r="CF117" s="20"/>
      <c r="CG117" s="46"/>
      <c r="CH117" s="47"/>
      <c r="CI117" s="30"/>
      <c r="CJ117" s="30"/>
      <c r="CK117" s="30"/>
      <c r="CL117" s="20"/>
      <c r="CM117" s="20"/>
      <c r="CN117" s="20"/>
      <c r="CO117" s="20"/>
      <c r="CP117" s="20"/>
      <c r="CQ117" s="20"/>
      <c r="CR117" s="20"/>
      <c r="CS117" s="46"/>
      <c r="CT117" s="47"/>
      <c r="CU117" s="30"/>
      <c r="CV117" s="30"/>
      <c r="CW117" s="30"/>
      <c r="CX117" s="20"/>
      <c r="CY117" s="20"/>
      <c r="CZ117" s="20"/>
      <c r="DA117" s="20"/>
      <c r="DB117" s="20"/>
      <c r="DC117" s="20"/>
      <c r="DD117" s="20"/>
      <c r="DE117" s="46"/>
      <c r="DF117" s="47"/>
      <c r="DG117" s="30"/>
      <c r="DH117" s="30"/>
      <c r="DI117" s="30"/>
      <c r="DJ117" s="20"/>
      <c r="DK117" s="20"/>
      <c r="DL117" s="20"/>
      <c r="DM117" s="20"/>
      <c r="DN117" s="20"/>
      <c r="DO117" s="20"/>
      <c r="DP117" s="20"/>
      <c r="DQ117" s="46"/>
      <c r="DR117" s="47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</row>
    <row r="118" spans="1:132" s="29" customFormat="1" ht="12.75">
      <c r="A118" s="45">
        <v>2002</v>
      </c>
      <c r="B118" s="48" t="s">
        <v>42</v>
      </c>
      <c r="C118" s="35">
        <f t="shared" si="15"/>
        <v>0.85958010361079729</v>
      </c>
      <c r="D118" s="35">
        <f t="shared" si="16"/>
        <v>0.90635781172991625</v>
      </c>
      <c r="E118" s="35">
        <f t="shared" si="17"/>
        <v>0.94838935846998795</v>
      </c>
      <c r="F118" s="20">
        <v>25673</v>
      </c>
      <c r="G118" s="20">
        <f t="shared" si="24"/>
        <v>1325</v>
      </c>
      <c r="H118" s="20">
        <v>24348</v>
      </c>
      <c r="I118" s="20">
        <v>22068</v>
      </c>
      <c r="J118" s="20">
        <f t="shared" si="25"/>
        <v>2280</v>
      </c>
      <c r="K118" s="20"/>
      <c r="L118" s="20"/>
      <c r="M118" s="45"/>
      <c r="N118" s="48"/>
      <c r="O118" s="30"/>
      <c r="P118" s="30"/>
      <c r="Q118" s="30"/>
      <c r="R118" s="20"/>
      <c r="S118" s="20"/>
      <c r="T118" s="20"/>
      <c r="U118" s="20"/>
      <c r="V118" s="20"/>
      <c r="W118" s="20"/>
      <c r="X118" s="20"/>
      <c r="Y118" s="45"/>
      <c r="Z118" s="48"/>
      <c r="AA118" s="30"/>
      <c r="AB118" s="30"/>
      <c r="AC118" s="30"/>
      <c r="AD118" s="20"/>
      <c r="AE118" s="20"/>
      <c r="AF118" s="20"/>
      <c r="AG118" s="20"/>
      <c r="AH118" s="20"/>
      <c r="AI118" s="20"/>
      <c r="AJ118" s="20"/>
      <c r="AK118" s="45"/>
      <c r="AL118" s="48"/>
      <c r="AM118" s="30"/>
      <c r="AN118" s="30"/>
      <c r="AO118" s="30"/>
      <c r="AP118" s="20"/>
      <c r="AQ118" s="20"/>
      <c r="AR118" s="20"/>
      <c r="AS118" s="20"/>
      <c r="AT118" s="20"/>
      <c r="AU118" s="20"/>
      <c r="AV118" s="20"/>
      <c r="AW118" s="45"/>
      <c r="AX118" s="48"/>
      <c r="AY118" s="30"/>
      <c r="AZ118" s="30"/>
      <c r="BA118" s="30"/>
      <c r="BB118" s="20"/>
      <c r="BC118" s="20"/>
      <c r="BD118" s="20"/>
      <c r="BE118" s="20"/>
      <c r="BF118" s="20"/>
      <c r="BG118" s="20"/>
      <c r="BH118" s="20"/>
      <c r="BI118" s="45"/>
      <c r="BJ118" s="48"/>
      <c r="BK118" s="30"/>
      <c r="BL118" s="30"/>
      <c r="BM118" s="30"/>
      <c r="BN118" s="20"/>
      <c r="BO118" s="20"/>
      <c r="BP118" s="20"/>
      <c r="BQ118" s="20"/>
      <c r="BR118" s="20"/>
      <c r="BS118" s="20"/>
      <c r="BT118" s="20"/>
      <c r="BU118" s="45"/>
      <c r="BV118" s="48"/>
      <c r="BW118" s="30"/>
      <c r="BX118" s="30"/>
      <c r="BY118" s="30"/>
      <c r="BZ118" s="20"/>
      <c r="CA118" s="20"/>
      <c r="CB118" s="20"/>
      <c r="CC118" s="20"/>
      <c r="CD118" s="20"/>
      <c r="CE118" s="20"/>
      <c r="CF118" s="20"/>
      <c r="CG118" s="45"/>
      <c r="CH118" s="48"/>
      <c r="CI118" s="30"/>
      <c r="CJ118" s="30"/>
      <c r="CK118" s="30"/>
      <c r="CL118" s="20"/>
      <c r="CM118" s="20"/>
      <c r="CN118" s="20"/>
      <c r="CO118" s="20"/>
      <c r="CP118" s="20"/>
      <c r="CQ118" s="20"/>
      <c r="CR118" s="20"/>
      <c r="CS118" s="45"/>
      <c r="CT118" s="48"/>
      <c r="CU118" s="30"/>
      <c r="CV118" s="30"/>
      <c r="CW118" s="30"/>
      <c r="CX118" s="20"/>
      <c r="CY118" s="20"/>
      <c r="CZ118" s="20"/>
      <c r="DA118" s="20"/>
      <c r="DB118" s="20"/>
      <c r="DC118" s="20"/>
      <c r="DD118" s="20"/>
      <c r="DE118" s="45"/>
      <c r="DF118" s="48"/>
      <c r="DG118" s="30"/>
      <c r="DH118" s="30"/>
      <c r="DI118" s="30"/>
      <c r="DJ118" s="20"/>
      <c r="DK118" s="20"/>
      <c r="DL118" s="20"/>
      <c r="DM118" s="20"/>
      <c r="DN118" s="20"/>
      <c r="DO118" s="20"/>
      <c r="DP118" s="20"/>
      <c r="DQ118" s="45"/>
      <c r="DR118" s="48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</row>
    <row r="119" spans="1:132" s="29" customFormat="1" ht="12.75">
      <c r="A119" s="46">
        <v>2002</v>
      </c>
      <c r="B119" s="47" t="s">
        <v>43</v>
      </c>
      <c r="C119" s="35">
        <f t="shared" si="15"/>
        <v>0.87468733341534421</v>
      </c>
      <c r="D119" s="35">
        <f t="shared" si="16"/>
        <v>0.92816116961099993</v>
      </c>
      <c r="E119" s="35">
        <f t="shared" si="17"/>
        <v>0.94238733751588966</v>
      </c>
      <c r="F119" s="20">
        <v>24387</v>
      </c>
      <c r="G119" s="20">
        <f t="shared" si="24"/>
        <v>1405</v>
      </c>
      <c r="H119" s="20">
        <v>22982</v>
      </c>
      <c r="I119" s="20">
        <v>21331</v>
      </c>
      <c r="J119" s="20">
        <f t="shared" si="25"/>
        <v>1651</v>
      </c>
      <c r="K119" s="20"/>
      <c r="L119" s="20"/>
      <c r="M119" s="46"/>
      <c r="N119" s="47"/>
      <c r="O119" s="30"/>
      <c r="P119" s="30"/>
      <c r="Q119" s="30"/>
      <c r="R119" s="20"/>
      <c r="S119" s="20"/>
      <c r="T119" s="20"/>
      <c r="U119" s="20"/>
      <c r="V119" s="20"/>
      <c r="W119" s="20"/>
      <c r="X119" s="20"/>
      <c r="Y119" s="46"/>
      <c r="Z119" s="47"/>
      <c r="AA119" s="30"/>
      <c r="AB119" s="30"/>
      <c r="AC119" s="30"/>
      <c r="AD119" s="20"/>
      <c r="AE119" s="20"/>
      <c r="AF119" s="20"/>
      <c r="AG119" s="20"/>
      <c r="AH119" s="20"/>
      <c r="AI119" s="20"/>
      <c r="AJ119" s="20"/>
      <c r="AK119" s="46"/>
      <c r="AL119" s="47"/>
      <c r="AM119" s="30"/>
      <c r="AN119" s="30"/>
      <c r="AO119" s="30"/>
      <c r="AP119" s="20"/>
      <c r="AQ119" s="20"/>
      <c r="AR119" s="20"/>
      <c r="AS119" s="20"/>
      <c r="AT119" s="20"/>
      <c r="AU119" s="20"/>
      <c r="AV119" s="20"/>
      <c r="AW119" s="46"/>
      <c r="AX119" s="47"/>
      <c r="AY119" s="30"/>
      <c r="AZ119" s="30"/>
      <c r="BA119" s="30"/>
      <c r="BB119" s="20"/>
      <c r="BC119" s="20"/>
      <c r="BD119" s="20"/>
      <c r="BE119" s="20"/>
      <c r="BF119" s="20"/>
      <c r="BG119" s="20"/>
      <c r="BH119" s="20"/>
      <c r="BI119" s="46"/>
      <c r="BJ119" s="47"/>
      <c r="BK119" s="30"/>
      <c r="BL119" s="30"/>
      <c r="BM119" s="30"/>
      <c r="BN119" s="20"/>
      <c r="BO119" s="20"/>
      <c r="BP119" s="20"/>
      <c r="BQ119" s="20"/>
      <c r="BR119" s="20"/>
      <c r="BS119" s="20"/>
      <c r="BT119" s="20"/>
      <c r="BU119" s="46"/>
      <c r="BV119" s="47"/>
      <c r="BW119" s="30"/>
      <c r="BX119" s="30"/>
      <c r="BY119" s="30"/>
      <c r="BZ119" s="20"/>
      <c r="CA119" s="20"/>
      <c r="CB119" s="20"/>
      <c r="CC119" s="20"/>
      <c r="CD119" s="20"/>
      <c r="CE119" s="20"/>
      <c r="CF119" s="20"/>
      <c r="CG119" s="46"/>
      <c r="CH119" s="47"/>
      <c r="CI119" s="30"/>
      <c r="CJ119" s="30"/>
      <c r="CK119" s="30"/>
      <c r="CL119" s="20"/>
      <c r="CM119" s="20"/>
      <c r="CN119" s="20"/>
      <c r="CO119" s="20"/>
      <c r="CP119" s="20"/>
      <c r="CQ119" s="20"/>
      <c r="CR119" s="20"/>
      <c r="CS119" s="46"/>
      <c r="CT119" s="47"/>
      <c r="CU119" s="30"/>
      <c r="CV119" s="30"/>
      <c r="CW119" s="30"/>
      <c r="CX119" s="20"/>
      <c r="CY119" s="20"/>
      <c r="CZ119" s="20"/>
      <c r="DA119" s="20"/>
      <c r="DB119" s="20"/>
      <c r="DC119" s="20"/>
      <c r="DD119" s="20"/>
      <c r="DE119" s="46"/>
      <c r="DF119" s="47"/>
      <c r="DG119" s="30"/>
      <c r="DH119" s="30"/>
      <c r="DI119" s="30"/>
      <c r="DJ119" s="20"/>
      <c r="DK119" s="20"/>
      <c r="DL119" s="20"/>
      <c r="DM119" s="20"/>
      <c r="DN119" s="20"/>
      <c r="DO119" s="20"/>
      <c r="DP119" s="20"/>
      <c r="DQ119" s="46"/>
      <c r="DR119" s="47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</row>
    <row r="120" spans="1:132" s="29" customFormat="1" ht="12.75">
      <c r="A120" s="45">
        <v>2002</v>
      </c>
      <c r="B120" s="48" t="s">
        <v>44</v>
      </c>
      <c r="C120" s="35">
        <f t="shared" si="15"/>
        <v>0.84336697212233691</v>
      </c>
      <c r="D120" s="35">
        <f t="shared" si="16"/>
        <v>0.89247135842880521</v>
      </c>
      <c r="E120" s="35">
        <f t="shared" si="17"/>
        <v>0.94497931407802649</v>
      </c>
      <c r="F120" s="20">
        <v>25863</v>
      </c>
      <c r="G120" s="20">
        <f t="shared" si="24"/>
        <v>1423</v>
      </c>
      <c r="H120" s="20">
        <v>24440</v>
      </c>
      <c r="I120" s="20">
        <v>21812</v>
      </c>
      <c r="J120" s="20">
        <f t="shared" si="25"/>
        <v>2628</v>
      </c>
      <c r="K120" s="20"/>
      <c r="L120" s="20"/>
      <c r="M120" s="45"/>
      <c r="N120" s="48"/>
      <c r="O120" s="30"/>
      <c r="P120" s="30"/>
      <c r="Q120" s="30"/>
      <c r="R120" s="20"/>
      <c r="S120" s="20"/>
      <c r="T120" s="20"/>
      <c r="U120" s="20"/>
      <c r="V120" s="20"/>
      <c r="W120" s="20"/>
      <c r="X120" s="20"/>
      <c r="Y120" s="45"/>
      <c r="Z120" s="48"/>
      <c r="AA120" s="30"/>
      <c r="AB120" s="30"/>
      <c r="AC120" s="30"/>
      <c r="AD120" s="20"/>
      <c r="AE120" s="20"/>
      <c r="AF120" s="20"/>
      <c r="AG120" s="20"/>
      <c r="AH120" s="20"/>
      <c r="AI120" s="20"/>
      <c r="AJ120" s="20"/>
      <c r="AK120" s="45"/>
      <c r="AL120" s="48"/>
      <c r="AM120" s="30"/>
      <c r="AN120" s="30"/>
      <c r="AO120" s="30"/>
      <c r="AP120" s="20"/>
      <c r="AQ120" s="20"/>
      <c r="AR120" s="20"/>
      <c r="AS120" s="20"/>
      <c r="AT120" s="20"/>
      <c r="AU120" s="20"/>
      <c r="AV120" s="20"/>
      <c r="AW120" s="45"/>
      <c r="AX120" s="48"/>
      <c r="AY120" s="30"/>
      <c r="AZ120" s="30"/>
      <c r="BA120" s="30"/>
      <c r="BB120" s="20"/>
      <c r="BC120" s="20"/>
      <c r="BD120" s="20"/>
      <c r="BE120" s="20"/>
      <c r="BF120" s="20"/>
      <c r="BG120" s="20"/>
      <c r="BH120" s="20"/>
      <c r="BI120" s="45"/>
      <c r="BJ120" s="48"/>
      <c r="BK120" s="30"/>
      <c r="BL120" s="30"/>
      <c r="BM120" s="30"/>
      <c r="BN120" s="20"/>
      <c r="BO120" s="20"/>
      <c r="BP120" s="20"/>
      <c r="BQ120" s="20"/>
      <c r="BR120" s="20"/>
      <c r="BS120" s="20"/>
      <c r="BT120" s="20"/>
      <c r="BU120" s="45"/>
      <c r="BV120" s="48"/>
      <c r="BW120" s="30"/>
      <c r="BX120" s="30"/>
      <c r="BY120" s="30"/>
      <c r="BZ120" s="20"/>
      <c r="CA120" s="20"/>
      <c r="CB120" s="20"/>
      <c r="CC120" s="20"/>
      <c r="CD120" s="20"/>
      <c r="CE120" s="20"/>
      <c r="CF120" s="20"/>
      <c r="CG120" s="45"/>
      <c r="CH120" s="48"/>
      <c r="CI120" s="30"/>
      <c r="CJ120" s="30"/>
      <c r="CK120" s="30"/>
      <c r="CL120" s="20"/>
      <c r="CM120" s="20"/>
      <c r="CN120" s="20"/>
      <c r="CO120" s="20"/>
      <c r="CP120" s="20"/>
      <c r="CQ120" s="20"/>
      <c r="CR120" s="20"/>
      <c r="CS120" s="45"/>
      <c r="CT120" s="48"/>
      <c r="CU120" s="30"/>
      <c r="CV120" s="30"/>
      <c r="CW120" s="30"/>
      <c r="CX120" s="20"/>
      <c r="CY120" s="20"/>
      <c r="CZ120" s="20"/>
      <c r="DA120" s="20"/>
      <c r="DB120" s="20"/>
      <c r="DC120" s="20"/>
      <c r="DD120" s="20"/>
      <c r="DE120" s="45"/>
      <c r="DF120" s="48"/>
      <c r="DG120" s="30"/>
      <c r="DH120" s="30"/>
      <c r="DI120" s="30"/>
      <c r="DJ120" s="20"/>
      <c r="DK120" s="20"/>
      <c r="DL120" s="20"/>
      <c r="DM120" s="20"/>
      <c r="DN120" s="20"/>
      <c r="DO120" s="20"/>
      <c r="DP120" s="20"/>
      <c r="DQ120" s="45"/>
      <c r="DR120" s="48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</row>
    <row r="121" spans="1:132" s="29" customFormat="1" ht="12.75">
      <c r="A121" s="46">
        <v>2002</v>
      </c>
      <c r="B121" s="47" t="s">
        <v>45</v>
      </c>
      <c r="C121" s="35">
        <f t="shared" si="15"/>
        <v>0.97801606518313544</v>
      </c>
      <c r="D121" s="35">
        <f t="shared" si="16"/>
        <v>0.98463860083578392</v>
      </c>
      <c r="E121" s="35">
        <f t="shared" si="17"/>
        <v>0.99327414581651874</v>
      </c>
      <c r="F121" s="20">
        <v>26019</v>
      </c>
      <c r="G121" s="20">
        <f t="shared" si="24"/>
        <v>175</v>
      </c>
      <c r="H121" s="20">
        <v>25844</v>
      </c>
      <c r="I121" s="20">
        <v>25447</v>
      </c>
      <c r="J121" s="20">
        <f t="shared" si="25"/>
        <v>397</v>
      </c>
      <c r="K121" s="20"/>
      <c r="L121" s="20"/>
      <c r="M121" s="46"/>
      <c r="N121" s="47"/>
      <c r="O121" s="30"/>
      <c r="P121" s="30"/>
      <c r="Q121" s="30"/>
      <c r="R121" s="20"/>
      <c r="S121" s="20"/>
      <c r="T121" s="20"/>
      <c r="U121" s="20"/>
      <c r="V121" s="20"/>
      <c r="W121" s="20"/>
      <c r="X121" s="20"/>
      <c r="Y121" s="46"/>
      <c r="Z121" s="47"/>
      <c r="AA121" s="30"/>
      <c r="AB121" s="30"/>
      <c r="AC121" s="30"/>
      <c r="AD121" s="20"/>
      <c r="AE121" s="20"/>
      <c r="AF121" s="20"/>
      <c r="AG121" s="20"/>
      <c r="AH121" s="20"/>
      <c r="AI121" s="20"/>
      <c r="AJ121" s="20"/>
      <c r="AK121" s="46"/>
      <c r="AL121" s="47"/>
      <c r="AM121" s="30"/>
      <c r="AN121" s="30"/>
      <c r="AO121" s="30"/>
      <c r="AP121" s="20"/>
      <c r="AQ121" s="20"/>
      <c r="AR121" s="20"/>
      <c r="AS121" s="20"/>
      <c r="AT121" s="20"/>
      <c r="AU121" s="20"/>
      <c r="AV121" s="20"/>
      <c r="AW121" s="46"/>
      <c r="AX121" s="47"/>
      <c r="AY121" s="30"/>
      <c r="AZ121" s="30"/>
      <c r="BA121" s="30"/>
      <c r="BB121" s="20"/>
      <c r="BC121" s="20"/>
      <c r="BD121" s="20"/>
      <c r="BE121" s="20"/>
      <c r="BF121" s="20"/>
      <c r="BG121" s="20"/>
      <c r="BH121" s="20"/>
      <c r="BI121" s="46"/>
      <c r="BJ121" s="47"/>
      <c r="BK121" s="30"/>
      <c r="BL121" s="30"/>
      <c r="BM121" s="30"/>
      <c r="BN121" s="20"/>
      <c r="BO121" s="20"/>
      <c r="BP121" s="20"/>
      <c r="BQ121" s="20"/>
      <c r="BR121" s="20"/>
      <c r="BS121" s="20"/>
      <c r="BT121" s="20"/>
      <c r="BU121" s="46"/>
      <c r="BV121" s="47"/>
      <c r="BW121" s="30"/>
      <c r="BX121" s="30"/>
      <c r="BY121" s="30"/>
      <c r="BZ121" s="20"/>
      <c r="CA121" s="20"/>
      <c r="CB121" s="20"/>
      <c r="CC121" s="20"/>
      <c r="CD121" s="20"/>
      <c r="CE121" s="20"/>
      <c r="CF121" s="20"/>
      <c r="CG121" s="46"/>
      <c r="CH121" s="47"/>
      <c r="CI121" s="30"/>
      <c r="CJ121" s="30"/>
      <c r="CK121" s="30"/>
      <c r="CL121" s="20"/>
      <c r="CM121" s="20"/>
      <c r="CN121" s="20"/>
      <c r="CO121" s="20"/>
      <c r="CP121" s="20"/>
      <c r="CQ121" s="20"/>
      <c r="CR121" s="20"/>
      <c r="CS121" s="46"/>
      <c r="CT121" s="47"/>
      <c r="CU121" s="30"/>
      <c r="CV121" s="30"/>
      <c r="CW121" s="30"/>
      <c r="CX121" s="20"/>
      <c r="CY121" s="20"/>
      <c r="CZ121" s="20"/>
      <c r="DA121" s="20"/>
      <c r="DB121" s="20"/>
      <c r="DC121" s="20"/>
      <c r="DD121" s="20"/>
      <c r="DE121" s="46"/>
      <c r="DF121" s="47"/>
      <c r="DG121" s="30"/>
      <c r="DH121" s="30"/>
      <c r="DI121" s="30"/>
      <c r="DJ121" s="20"/>
      <c r="DK121" s="20"/>
      <c r="DL121" s="20"/>
      <c r="DM121" s="20"/>
      <c r="DN121" s="20"/>
      <c r="DO121" s="20"/>
      <c r="DP121" s="20"/>
      <c r="DQ121" s="46"/>
      <c r="DR121" s="47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</row>
    <row r="122" spans="1:132" s="29" customFormat="1" ht="12.75">
      <c r="A122" s="45">
        <v>2002</v>
      </c>
      <c r="B122" s="48" t="s">
        <v>46</v>
      </c>
      <c r="C122" s="35">
        <f t="shared" si="15"/>
        <v>0.8017109192155597</v>
      </c>
      <c r="D122" s="35">
        <f t="shared" si="16"/>
        <v>0.87826010078684469</v>
      </c>
      <c r="E122" s="35">
        <f t="shared" si="17"/>
        <v>0.91283996449035587</v>
      </c>
      <c r="F122" s="20">
        <v>24782</v>
      </c>
      <c r="G122" s="20">
        <f t="shared" si="24"/>
        <v>2160</v>
      </c>
      <c r="H122" s="20">
        <v>22622</v>
      </c>
      <c r="I122" s="20">
        <v>19868</v>
      </c>
      <c r="J122" s="20">
        <f t="shared" si="25"/>
        <v>2754</v>
      </c>
      <c r="K122" s="20"/>
      <c r="L122" s="20"/>
      <c r="M122" s="45"/>
      <c r="N122" s="48"/>
      <c r="O122" s="30"/>
      <c r="P122" s="30"/>
      <c r="Q122" s="30"/>
      <c r="R122" s="20"/>
      <c r="S122" s="20"/>
      <c r="T122" s="20"/>
      <c r="U122" s="20"/>
      <c r="V122" s="20"/>
      <c r="W122" s="20"/>
      <c r="X122" s="20"/>
      <c r="Y122" s="45"/>
      <c r="Z122" s="48"/>
      <c r="AA122" s="30"/>
      <c r="AB122" s="30"/>
      <c r="AC122" s="30"/>
      <c r="AD122" s="20"/>
      <c r="AE122" s="20"/>
      <c r="AF122" s="20"/>
      <c r="AG122" s="20"/>
      <c r="AH122" s="20"/>
      <c r="AI122" s="20"/>
      <c r="AJ122" s="20"/>
      <c r="AK122" s="45"/>
      <c r="AL122" s="48"/>
      <c r="AM122" s="30"/>
      <c r="AN122" s="30"/>
      <c r="AO122" s="30"/>
      <c r="AP122" s="20"/>
      <c r="AQ122" s="20"/>
      <c r="AR122" s="20"/>
      <c r="AS122" s="20"/>
      <c r="AT122" s="20"/>
      <c r="AU122" s="20"/>
      <c r="AV122" s="20"/>
      <c r="AW122" s="45"/>
      <c r="AX122" s="48"/>
      <c r="AY122" s="30"/>
      <c r="AZ122" s="30"/>
      <c r="BA122" s="30"/>
      <c r="BB122" s="20"/>
      <c r="BC122" s="20"/>
      <c r="BD122" s="20"/>
      <c r="BE122" s="20"/>
      <c r="BF122" s="20"/>
      <c r="BG122" s="20"/>
      <c r="BH122" s="20"/>
      <c r="BI122" s="45"/>
      <c r="BJ122" s="48"/>
      <c r="BK122" s="30"/>
      <c r="BL122" s="30"/>
      <c r="BM122" s="30"/>
      <c r="BN122" s="20"/>
      <c r="BO122" s="20"/>
      <c r="BP122" s="20"/>
      <c r="BQ122" s="20"/>
      <c r="BR122" s="20"/>
      <c r="BS122" s="20"/>
      <c r="BT122" s="20"/>
      <c r="BU122" s="45"/>
      <c r="BV122" s="48"/>
      <c r="BW122" s="30"/>
      <c r="BX122" s="30"/>
      <c r="BY122" s="30"/>
      <c r="BZ122" s="20"/>
      <c r="CA122" s="20"/>
      <c r="CB122" s="20"/>
      <c r="CC122" s="20"/>
      <c r="CD122" s="20"/>
      <c r="CE122" s="20"/>
      <c r="CF122" s="20"/>
      <c r="CG122" s="45"/>
      <c r="CH122" s="48"/>
      <c r="CI122" s="30"/>
      <c r="CJ122" s="30"/>
      <c r="CK122" s="30"/>
      <c r="CL122" s="20"/>
      <c r="CM122" s="20"/>
      <c r="CN122" s="20"/>
      <c r="CO122" s="20"/>
      <c r="CP122" s="20"/>
      <c r="CQ122" s="20"/>
      <c r="CR122" s="20"/>
      <c r="CS122" s="45"/>
      <c r="CT122" s="48"/>
      <c r="CU122" s="30"/>
      <c r="CV122" s="30"/>
      <c r="CW122" s="30"/>
      <c r="CX122" s="20"/>
      <c r="CY122" s="20"/>
      <c r="CZ122" s="20"/>
      <c r="DA122" s="20"/>
      <c r="DB122" s="20"/>
      <c r="DC122" s="20"/>
      <c r="DD122" s="20"/>
      <c r="DE122" s="45"/>
      <c r="DF122" s="48"/>
      <c r="DG122" s="30"/>
      <c r="DH122" s="30"/>
      <c r="DI122" s="30"/>
      <c r="DJ122" s="20"/>
      <c r="DK122" s="20"/>
      <c r="DL122" s="20"/>
      <c r="DM122" s="20"/>
      <c r="DN122" s="20"/>
      <c r="DO122" s="20"/>
      <c r="DP122" s="20"/>
      <c r="DQ122" s="45"/>
      <c r="DR122" s="48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</row>
    <row r="123" spans="1:132" s="29" customFormat="1" ht="12.75">
      <c r="A123" s="46">
        <v>2002</v>
      </c>
      <c r="B123" s="47" t="s">
        <v>47</v>
      </c>
      <c r="C123" s="35">
        <f t="shared" si="15"/>
        <v>0.83448415101958406</v>
      </c>
      <c r="D123" s="35">
        <f t="shared" si="16"/>
        <v>0.8553807947019868</v>
      </c>
      <c r="E123" s="35">
        <f t="shared" si="17"/>
        <v>0.97557036139713305</v>
      </c>
      <c r="F123" s="20">
        <v>24765</v>
      </c>
      <c r="G123" s="20">
        <f t="shared" si="24"/>
        <v>605</v>
      </c>
      <c r="H123" s="20">
        <v>24160</v>
      </c>
      <c r="I123" s="20">
        <v>20666</v>
      </c>
      <c r="J123" s="20">
        <f t="shared" si="25"/>
        <v>3494</v>
      </c>
      <c r="K123" s="20"/>
      <c r="L123" s="20"/>
      <c r="M123" s="46"/>
      <c r="N123" s="47"/>
      <c r="O123" s="30"/>
      <c r="P123" s="30"/>
      <c r="Q123" s="30"/>
      <c r="R123" s="20"/>
      <c r="S123" s="20"/>
      <c r="T123" s="20"/>
      <c r="U123" s="20"/>
      <c r="V123" s="20"/>
      <c r="W123" s="20"/>
      <c r="X123" s="20"/>
      <c r="Y123" s="46"/>
      <c r="Z123" s="47"/>
      <c r="AA123" s="30"/>
      <c r="AB123" s="30"/>
      <c r="AC123" s="30"/>
      <c r="AD123" s="20"/>
      <c r="AE123" s="20"/>
      <c r="AF123" s="20"/>
      <c r="AG123" s="20"/>
      <c r="AH123" s="20"/>
      <c r="AI123" s="20"/>
      <c r="AJ123" s="20"/>
      <c r="AK123" s="46"/>
      <c r="AL123" s="47"/>
      <c r="AM123" s="30"/>
      <c r="AN123" s="30"/>
      <c r="AO123" s="30"/>
      <c r="AP123" s="20"/>
      <c r="AQ123" s="20"/>
      <c r="AR123" s="20"/>
      <c r="AS123" s="20"/>
      <c r="AT123" s="20"/>
      <c r="AU123" s="20"/>
      <c r="AV123" s="20"/>
      <c r="AW123" s="46"/>
      <c r="AX123" s="47"/>
      <c r="AY123" s="30"/>
      <c r="AZ123" s="30"/>
      <c r="BA123" s="30"/>
      <c r="BB123" s="20"/>
      <c r="BC123" s="20"/>
      <c r="BD123" s="20"/>
      <c r="BE123" s="20"/>
      <c r="BF123" s="20"/>
      <c r="BG123" s="20"/>
      <c r="BH123" s="20"/>
      <c r="BI123" s="46"/>
      <c r="BJ123" s="47"/>
      <c r="BK123" s="30"/>
      <c r="BL123" s="30"/>
      <c r="BM123" s="30"/>
      <c r="BN123" s="20"/>
      <c r="BO123" s="20"/>
      <c r="BP123" s="20"/>
      <c r="BQ123" s="20"/>
      <c r="BR123" s="20"/>
      <c r="BS123" s="20"/>
      <c r="BT123" s="20"/>
      <c r="BU123" s="46"/>
      <c r="BV123" s="47"/>
      <c r="BW123" s="30"/>
      <c r="BX123" s="30"/>
      <c r="BY123" s="30"/>
      <c r="BZ123" s="20"/>
      <c r="CA123" s="20"/>
      <c r="CB123" s="20"/>
      <c r="CC123" s="20"/>
      <c r="CD123" s="20"/>
      <c r="CE123" s="20"/>
      <c r="CF123" s="20"/>
      <c r="CG123" s="46"/>
      <c r="CH123" s="47"/>
      <c r="CI123" s="30"/>
      <c r="CJ123" s="30"/>
      <c r="CK123" s="30"/>
      <c r="CL123" s="20"/>
      <c r="CM123" s="20"/>
      <c r="CN123" s="20"/>
      <c r="CO123" s="20"/>
      <c r="CP123" s="20"/>
      <c r="CQ123" s="20"/>
      <c r="CR123" s="20"/>
      <c r="CS123" s="46"/>
      <c r="CT123" s="47"/>
      <c r="CU123" s="30"/>
      <c r="CV123" s="30"/>
      <c r="CW123" s="30"/>
      <c r="CX123" s="20"/>
      <c r="CY123" s="20"/>
      <c r="CZ123" s="20"/>
      <c r="DA123" s="20"/>
      <c r="DB123" s="20"/>
      <c r="DC123" s="20"/>
      <c r="DD123" s="20"/>
      <c r="DE123" s="46"/>
      <c r="DF123" s="47"/>
      <c r="DG123" s="30"/>
      <c r="DH123" s="30"/>
      <c r="DI123" s="30"/>
      <c r="DJ123" s="20"/>
      <c r="DK123" s="20"/>
      <c r="DL123" s="20"/>
      <c r="DM123" s="20"/>
      <c r="DN123" s="20"/>
      <c r="DO123" s="20"/>
      <c r="DP123" s="20"/>
      <c r="DQ123" s="46"/>
      <c r="DR123" s="47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</row>
    <row r="124" spans="1:132" s="29" customFormat="1" ht="12.75">
      <c r="A124" s="45">
        <v>2002</v>
      </c>
      <c r="B124" s="48" t="s">
        <v>48</v>
      </c>
      <c r="C124" s="35">
        <f t="shared" si="15"/>
        <v>0.81064891846921794</v>
      </c>
      <c r="D124" s="35">
        <f t="shared" si="16"/>
        <v>0.84407484407484412</v>
      </c>
      <c r="E124" s="35">
        <f t="shared" si="17"/>
        <v>0.96039933444259562</v>
      </c>
      <c r="F124" s="20">
        <v>24040</v>
      </c>
      <c r="G124" s="20">
        <f t="shared" si="24"/>
        <v>952</v>
      </c>
      <c r="H124" s="20">
        <v>23088</v>
      </c>
      <c r="I124" s="20">
        <v>19488</v>
      </c>
      <c r="J124" s="20">
        <f t="shared" si="25"/>
        <v>3600</v>
      </c>
      <c r="K124" s="20"/>
      <c r="L124" s="20"/>
      <c r="M124" s="45"/>
      <c r="N124" s="48"/>
      <c r="O124" s="30"/>
      <c r="P124" s="30"/>
      <c r="Q124" s="30"/>
      <c r="R124" s="20"/>
      <c r="S124" s="20"/>
      <c r="T124" s="20"/>
      <c r="U124" s="20"/>
      <c r="V124" s="20"/>
      <c r="W124" s="20"/>
      <c r="X124" s="20"/>
      <c r="Y124" s="45"/>
      <c r="Z124" s="48"/>
      <c r="AA124" s="30"/>
      <c r="AB124" s="30"/>
      <c r="AC124" s="30"/>
      <c r="AD124" s="20"/>
      <c r="AE124" s="20"/>
      <c r="AF124" s="20"/>
      <c r="AG124" s="20"/>
      <c r="AH124" s="20"/>
      <c r="AI124" s="20"/>
      <c r="AJ124" s="20"/>
      <c r="AK124" s="45"/>
      <c r="AL124" s="48"/>
      <c r="AM124" s="30"/>
      <c r="AN124" s="30"/>
      <c r="AO124" s="30"/>
      <c r="AP124" s="20"/>
      <c r="AQ124" s="20"/>
      <c r="AR124" s="20"/>
      <c r="AS124" s="20"/>
      <c r="AT124" s="20"/>
      <c r="AU124" s="20"/>
      <c r="AV124" s="20"/>
      <c r="AW124" s="45"/>
      <c r="AX124" s="48"/>
      <c r="AY124" s="30"/>
      <c r="AZ124" s="30"/>
      <c r="BA124" s="30"/>
      <c r="BB124" s="20"/>
      <c r="BC124" s="20"/>
      <c r="BD124" s="20"/>
      <c r="BE124" s="20"/>
      <c r="BF124" s="20"/>
      <c r="BG124" s="20"/>
      <c r="BH124" s="20"/>
      <c r="BI124" s="45"/>
      <c r="BJ124" s="48"/>
      <c r="BK124" s="30"/>
      <c r="BL124" s="30"/>
      <c r="BM124" s="30"/>
      <c r="BN124" s="20"/>
      <c r="BO124" s="20"/>
      <c r="BP124" s="20"/>
      <c r="BQ124" s="20"/>
      <c r="BR124" s="20"/>
      <c r="BS124" s="20"/>
      <c r="BT124" s="20"/>
      <c r="BU124" s="45"/>
      <c r="BV124" s="48"/>
      <c r="BW124" s="30"/>
      <c r="BX124" s="30"/>
      <c r="BY124" s="30"/>
      <c r="BZ124" s="20"/>
      <c r="CA124" s="20"/>
      <c r="CB124" s="20"/>
      <c r="CC124" s="20"/>
      <c r="CD124" s="20"/>
      <c r="CE124" s="20"/>
      <c r="CF124" s="20"/>
      <c r="CG124" s="45"/>
      <c r="CH124" s="48"/>
      <c r="CI124" s="30"/>
      <c r="CJ124" s="30"/>
      <c r="CK124" s="30"/>
      <c r="CL124" s="20"/>
      <c r="CM124" s="20"/>
      <c r="CN124" s="20"/>
      <c r="CO124" s="20"/>
      <c r="CP124" s="20"/>
      <c r="CQ124" s="20"/>
      <c r="CR124" s="20"/>
      <c r="CS124" s="45"/>
      <c r="CT124" s="48"/>
      <c r="CU124" s="30"/>
      <c r="CV124" s="30"/>
      <c r="CW124" s="30"/>
      <c r="CX124" s="20"/>
      <c r="CY124" s="20"/>
      <c r="CZ124" s="20"/>
      <c r="DA124" s="20"/>
      <c r="DB124" s="20"/>
      <c r="DC124" s="20"/>
      <c r="DD124" s="20"/>
      <c r="DE124" s="45"/>
      <c r="DF124" s="48"/>
      <c r="DG124" s="30"/>
      <c r="DH124" s="30"/>
      <c r="DI124" s="30"/>
      <c r="DJ124" s="20"/>
      <c r="DK124" s="20"/>
      <c r="DL124" s="20"/>
      <c r="DM124" s="20"/>
      <c r="DN124" s="20"/>
      <c r="DO124" s="20"/>
      <c r="DP124" s="20"/>
      <c r="DQ124" s="45"/>
      <c r="DR124" s="48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</row>
    <row r="125" spans="1:132" s="29" customFormat="1" ht="12.75">
      <c r="A125" s="46">
        <v>2002</v>
      </c>
      <c r="B125" s="47" t="s">
        <v>49</v>
      </c>
      <c r="C125" s="35">
        <f t="shared" si="15"/>
        <v>0.86377227114478805</v>
      </c>
      <c r="D125" s="35">
        <f t="shared" si="16"/>
        <v>0.89307190649614632</v>
      </c>
      <c r="E125" s="35">
        <f t="shared" si="17"/>
        <v>0.96719229981568711</v>
      </c>
      <c r="F125" s="20">
        <v>24415</v>
      </c>
      <c r="G125" s="20">
        <f t="shared" si="24"/>
        <v>801</v>
      </c>
      <c r="H125" s="20">
        <v>23614</v>
      </c>
      <c r="I125" s="20">
        <v>21089</v>
      </c>
      <c r="J125" s="20">
        <f t="shared" si="25"/>
        <v>2525</v>
      </c>
      <c r="K125" s="20"/>
      <c r="L125" s="20"/>
      <c r="M125" s="46"/>
      <c r="N125" s="47"/>
      <c r="O125" s="30"/>
      <c r="P125" s="30"/>
      <c r="Q125" s="30"/>
      <c r="R125" s="20"/>
      <c r="S125" s="20"/>
      <c r="T125" s="20"/>
      <c r="U125" s="20"/>
      <c r="V125" s="20"/>
      <c r="W125" s="20"/>
      <c r="X125" s="20"/>
      <c r="Y125" s="46"/>
      <c r="Z125" s="47"/>
      <c r="AA125" s="30"/>
      <c r="AB125" s="30"/>
      <c r="AC125" s="30"/>
      <c r="AD125" s="20"/>
      <c r="AE125" s="20"/>
      <c r="AF125" s="20"/>
      <c r="AG125" s="20"/>
      <c r="AH125" s="20"/>
      <c r="AI125" s="20"/>
      <c r="AJ125" s="20"/>
      <c r="AK125" s="46"/>
      <c r="AL125" s="47"/>
      <c r="AM125" s="30"/>
      <c r="AN125" s="30"/>
      <c r="AO125" s="30"/>
      <c r="AP125" s="20"/>
      <c r="AQ125" s="20"/>
      <c r="AR125" s="20"/>
      <c r="AS125" s="20"/>
      <c r="AT125" s="20"/>
      <c r="AU125" s="20"/>
      <c r="AV125" s="20"/>
      <c r="AW125" s="46"/>
      <c r="AX125" s="47"/>
      <c r="AY125" s="30"/>
      <c r="AZ125" s="30"/>
      <c r="BA125" s="30"/>
      <c r="BB125" s="20"/>
      <c r="BC125" s="20"/>
      <c r="BD125" s="20"/>
      <c r="BE125" s="20"/>
      <c r="BF125" s="20"/>
      <c r="BG125" s="20"/>
      <c r="BH125" s="20"/>
      <c r="BI125" s="46"/>
      <c r="BJ125" s="47"/>
      <c r="BK125" s="30"/>
      <c r="BL125" s="30"/>
      <c r="BM125" s="30"/>
      <c r="BN125" s="20"/>
      <c r="BO125" s="20"/>
      <c r="BP125" s="20"/>
      <c r="BQ125" s="20"/>
      <c r="BR125" s="20"/>
      <c r="BS125" s="20"/>
      <c r="BT125" s="20"/>
      <c r="BU125" s="46"/>
      <c r="BV125" s="47"/>
      <c r="BW125" s="30"/>
      <c r="BX125" s="30"/>
      <c r="BY125" s="30"/>
      <c r="BZ125" s="20"/>
      <c r="CA125" s="20"/>
      <c r="CB125" s="20"/>
      <c r="CC125" s="20"/>
      <c r="CD125" s="20"/>
      <c r="CE125" s="20"/>
      <c r="CF125" s="20"/>
      <c r="CG125" s="46"/>
      <c r="CH125" s="47"/>
      <c r="CI125" s="30"/>
      <c r="CJ125" s="30"/>
      <c r="CK125" s="30"/>
      <c r="CL125" s="20"/>
      <c r="CM125" s="20"/>
      <c r="CN125" s="20"/>
      <c r="CO125" s="20"/>
      <c r="CP125" s="20"/>
      <c r="CQ125" s="20"/>
      <c r="CR125" s="20"/>
      <c r="CS125" s="46"/>
      <c r="CT125" s="47"/>
      <c r="CU125" s="30"/>
      <c r="CV125" s="30"/>
      <c r="CW125" s="30"/>
      <c r="CX125" s="20"/>
      <c r="CY125" s="20"/>
      <c r="CZ125" s="20"/>
      <c r="DA125" s="20"/>
      <c r="DB125" s="20"/>
      <c r="DC125" s="20"/>
      <c r="DD125" s="20"/>
      <c r="DE125" s="46"/>
      <c r="DF125" s="47"/>
      <c r="DG125" s="30"/>
      <c r="DH125" s="30"/>
      <c r="DI125" s="30"/>
      <c r="DJ125" s="20"/>
      <c r="DK125" s="20"/>
      <c r="DL125" s="20"/>
      <c r="DM125" s="20"/>
      <c r="DN125" s="20"/>
      <c r="DO125" s="20"/>
      <c r="DP125" s="20"/>
      <c r="DQ125" s="46"/>
      <c r="DR125" s="47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</row>
    <row r="126" spans="1:132" s="29" customFormat="1" ht="12.75">
      <c r="A126" s="45">
        <v>2003</v>
      </c>
      <c r="B126" s="48" t="s">
        <v>38</v>
      </c>
      <c r="C126" s="35">
        <f t="shared" si="15"/>
        <v>0.84770725096001809</v>
      </c>
      <c r="D126" s="35">
        <f t="shared" si="16"/>
        <v>0.89030176504080472</v>
      </c>
      <c r="E126" s="35">
        <f t="shared" si="17"/>
        <v>0.95215721707702738</v>
      </c>
      <c r="F126" s="20">
        <f>1168+1230+1594+1515+2771+2734+11123</f>
        <v>22135</v>
      </c>
      <c r="G126" s="20">
        <f t="shared" ref="G126:G134" si="26">F126-H126</f>
        <v>1059</v>
      </c>
      <c r="H126" s="20">
        <f>1033+1223+1533+1507+2659+2674+10447</f>
        <v>21076</v>
      </c>
      <c r="I126" s="20">
        <f>72+1157+1389+1485+2406+2431+9824</f>
        <v>18764</v>
      </c>
      <c r="J126" s="20">
        <f t="shared" ref="J126:J134" si="27">H126-I126</f>
        <v>2312</v>
      </c>
      <c r="K126" s="20"/>
      <c r="L126" s="20"/>
      <c r="M126" s="45"/>
      <c r="N126" s="48"/>
      <c r="O126" s="30"/>
      <c r="P126" s="30"/>
      <c r="Q126" s="30"/>
      <c r="R126" s="20"/>
      <c r="S126" s="20"/>
      <c r="T126" s="20"/>
      <c r="U126" s="20"/>
      <c r="V126" s="20"/>
      <c r="W126" s="20"/>
      <c r="X126" s="20"/>
      <c r="Y126" s="45"/>
      <c r="Z126" s="48"/>
      <c r="AA126" s="30"/>
      <c r="AB126" s="30"/>
      <c r="AC126" s="30"/>
      <c r="AD126" s="20"/>
      <c r="AE126" s="20"/>
      <c r="AF126" s="20"/>
      <c r="AG126" s="20"/>
      <c r="AH126" s="20"/>
      <c r="AI126" s="20"/>
      <c r="AJ126" s="20"/>
      <c r="AK126" s="45"/>
      <c r="AL126" s="48"/>
      <c r="AM126" s="30"/>
      <c r="AN126" s="30"/>
      <c r="AO126" s="30"/>
      <c r="AP126" s="20"/>
      <c r="AQ126" s="20"/>
      <c r="AR126" s="20"/>
      <c r="AS126" s="20"/>
      <c r="AT126" s="20"/>
      <c r="AU126" s="20"/>
      <c r="AV126" s="20"/>
      <c r="AW126" s="45"/>
      <c r="AX126" s="48"/>
      <c r="AY126" s="30"/>
      <c r="AZ126" s="30"/>
      <c r="BA126" s="30"/>
      <c r="BB126" s="20"/>
      <c r="BC126" s="20"/>
      <c r="BD126" s="20"/>
      <c r="BE126" s="20"/>
      <c r="BF126" s="20"/>
      <c r="BG126" s="20"/>
      <c r="BH126" s="20"/>
      <c r="BI126" s="45"/>
      <c r="BJ126" s="48"/>
      <c r="BK126" s="30"/>
      <c r="BL126" s="30"/>
      <c r="BM126" s="30"/>
      <c r="BN126" s="20"/>
      <c r="BO126" s="20"/>
      <c r="BP126" s="20"/>
      <c r="BQ126" s="20"/>
      <c r="BR126" s="20"/>
      <c r="BS126" s="20"/>
      <c r="BT126" s="20"/>
      <c r="BU126" s="45"/>
      <c r="BV126" s="48"/>
      <c r="BW126" s="30"/>
      <c r="BX126" s="30"/>
      <c r="BY126" s="30"/>
      <c r="BZ126" s="20"/>
      <c r="CA126" s="20"/>
      <c r="CB126" s="20"/>
      <c r="CC126" s="20"/>
      <c r="CD126" s="20"/>
      <c r="CE126" s="20"/>
      <c r="CF126" s="20"/>
      <c r="CG126" s="45"/>
      <c r="CH126" s="48"/>
      <c r="CI126" s="30"/>
      <c r="CJ126" s="30"/>
      <c r="CK126" s="30"/>
      <c r="CL126" s="20"/>
      <c r="CM126" s="20"/>
      <c r="CN126" s="20"/>
      <c r="CO126" s="20"/>
      <c r="CP126" s="20"/>
      <c r="CQ126" s="20"/>
      <c r="CR126" s="20"/>
      <c r="CS126" s="45"/>
      <c r="CT126" s="48"/>
      <c r="CU126" s="30"/>
      <c r="CV126" s="30"/>
      <c r="CW126" s="30"/>
      <c r="CX126" s="20"/>
      <c r="CY126" s="20"/>
      <c r="CZ126" s="20"/>
      <c r="DA126" s="20"/>
      <c r="DB126" s="20"/>
      <c r="DC126" s="20"/>
      <c r="DD126" s="20"/>
      <c r="DE126" s="45"/>
      <c r="DF126" s="48"/>
      <c r="DG126" s="30"/>
      <c r="DH126" s="30"/>
      <c r="DI126" s="30"/>
      <c r="DJ126" s="20"/>
      <c r="DK126" s="20"/>
      <c r="DL126" s="20"/>
      <c r="DM126" s="20"/>
      <c r="DN126" s="20"/>
      <c r="DO126" s="20"/>
      <c r="DP126" s="20"/>
      <c r="DQ126" s="45"/>
      <c r="DR126" s="48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</row>
    <row r="127" spans="1:132" s="29" customFormat="1" ht="12.75">
      <c r="A127" s="46">
        <v>2003</v>
      </c>
      <c r="B127" s="47" t="s">
        <v>39</v>
      </c>
      <c r="C127" s="35">
        <f t="shared" si="15"/>
        <v>0.80678877165040808</v>
      </c>
      <c r="D127" s="35">
        <f t="shared" si="16"/>
        <v>0.87593213011996107</v>
      </c>
      <c r="E127" s="35">
        <f t="shared" si="17"/>
        <v>0.92106310969540117</v>
      </c>
      <c r="F127" s="20">
        <f>1056+1112+1448+1376+2508+2476+10116</f>
        <v>20092</v>
      </c>
      <c r="G127" s="20">
        <f t="shared" si="26"/>
        <v>1586</v>
      </c>
      <c r="H127" s="20">
        <f>910+1089+1379+1357+2394+2406+8971</f>
        <v>18506</v>
      </c>
      <c r="I127" s="20">
        <f>40+1028+1264+1300+2058+2085+8435</f>
        <v>16210</v>
      </c>
      <c r="J127" s="20">
        <f t="shared" si="27"/>
        <v>2296</v>
      </c>
      <c r="K127" s="20"/>
      <c r="L127" s="20"/>
      <c r="M127" s="46"/>
      <c r="N127" s="47"/>
      <c r="O127" s="30"/>
      <c r="P127" s="30"/>
      <c r="Q127" s="30"/>
      <c r="R127" s="20"/>
      <c r="S127" s="20"/>
      <c r="T127" s="20"/>
      <c r="U127" s="20"/>
      <c r="V127" s="20"/>
      <c r="W127" s="20"/>
      <c r="X127" s="20"/>
      <c r="Y127" s="46"/>
      <c r="Z127" s="47"/>
      <c r="AA127" s="30"/>
      <c r="AB127" s="30"/>
      <c r="AC127" s="30"/>
      <c r="AD127" s="20"/>
      <c r="AE127" s="20"/>
      <c r="AF127" s="20"/>
      <c r="AG127" s="20"/>
      <c r="AH127" s="20"/>
      <c r="AI127" s="20"/>
      <c r="AJ127" s="20"/>
      <c r="AK127" s="46"/>
      <c r="AL127" s="47"/>
      <c r="AM127" s="30"/>
      <c r="AN127" s="30"/>
      <c r="AO127" s="30"/>
      <c r="AP127" s="20"/>
      <c r="AQ127" s="20"/>
      <c r="AR127" s="20"/>
      <c r="AS127" s="20"/>
      <c r="AT127" s="20"/>
      <c r="AU127" s="20"/>
      <c r="AV127" s="20"/>
      <c r="AW127" s="46"/>
      <c r="AX127" s="47"/>
      <c r="AY127" s="30"/>
      <c r="AZ127" s="30"/>
      <c r="BA127" s="30"/>
      <c r="BB127" s="20"/>
      <c r="BC127" s="20"/>
      <c r="BD127" s="20"/>
      <c r="BE127" s="20"/>
      <c r="BF127" s="20"/>
      <c r="BG127" s="20"/>
      <c r="BH127" s="20"/>
      <c r="BI127" s="46"/>
      <c r="BJ127" s="47"/>
      <c r="BK127" s="30"/>
      <c r="BL127" s="30"/>
      <c r="BM127" s="30"/>
      <c r="BN127" s="20"/>
      <c r="BO127" s="20"/>
      <c r="BP127" s="20"/>
      <c r="BQ127" s="20"/>
      <c r="BR127" s="20"/>
      <c r="BS127" s="20"/>
      <c r="BT127" s="20"/>
      <c r="BU127" s="46"/>
      <c r="BV127" s="47"/>
      <c r="BW127" s="30"/>
      <c r="BX127" s="30"/>
      <c r="BY127" s="30"/>
      <c r="BZ127" s="20"/>
      <c r="CA127" s="20"/>
      <c r="CB127" s="20"/>
      <c r="CC127" s="20"/>
      <c r="CD127" s="20"/>
      <c r="CE127" s="20"/>
      <c r="CF127" s="20"/>
      <c r="CG127" s="46"/>
      <c r="CH127" s="47"/>
      <c r="CI127" s="30"/>
      <c r="CJ127" s="30"/>
      <c r="CK127" s="30"/>
      <c r="CL127" s="20"/>
      <c r="CM127" s="20"/>
      <c r="CN127" s="20"/>
      <c r="CO127" s="20"/>
      <c r="CP127" s="20"/>
      <c r="CQ127" s="20"/>
      <c r="CR127" s="20"/>
      <c r="CS127" s="46"/>
      <c r="CT127" s="47"/>
      <c r="CU127" s="30"/>
      <c r="CV127" s="30"/>
      <c r="CW127" s="30"/>
      <c r="CX127" s="20"/>
      <c r="CY127" s="20"/>
      <c r="CZ127" s="20"/>
      <c r="DA127" s="20"/>
      <c r="DB127" s="20"/>
      <c r="DC127" s="20"/>
      <c r="DD127" s="20"/>
      <c r="DE127" s="46"/>
      <c r="DF127" s="47"/>
      <c r="DG127" s="30"/>
      <c r="DH127" s="30"/>
      <c r="DI127" s="30"/>
      <c r="DJ127" s="20"/>
      <c r="DK127" s="20"/>
      <c r="DL127" s="20"/>
      <c r="DM127" s="20"/>
      <c r="DN127" s="20"/>
      <c r="DO127" s="20"/>
      <c r="DP127" s="20"/>
      <c r="DQ127" s="46"/>
      <c r="DR127" s="47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</row>
    <row r="128" spans="1:132" s="29" customFormat="1" ht="12.75">
      <c r="A128" s="45">
        <v>2003</v>
      </c>
      <c r="B128" s="48" t="s">
        <v>40</v>
      </c>
      <c r="C128" s="35">
        <f t="shared" si="15"/>
        <v>0.7746075715604801</v>
      </c>
      <c r="D128" s="35">
        <f t="shared" si="16"/>
        <v>0.851804843377164</v>
      </c>
      <c r="E128" s="35">
        <f t="shared" si="17"/>
        <v>0.90937211449676825</v>
      </c>
      <c r="F128" s="20">
        <f>1166+1228+1578+1491+2726+2681+10790</f>
        <v>21660</v>
      </c>
      <c r="G128" s="20">
        <f t="shared" si="26"/>
        <v>1963</v>
      </c>
      <c r="H128" s="20">
        <f>958+1175+1454+1408+2517+2487+9698</f>
        <v>19697</v>
      </c>
      <c r="I128" s="20">
        <f>44+1117+1298+1333+2035+2055+8896</f>
        <v>16778</v>
      </c>
      <c r="J128" s="20">
        <f t="shared" si="27"/>
        <v>2919</v>
      </c>
      <c r="K128" s="20"/>
      <c r="L128" s="20"/>
      <c r="M128" s="45"/>
      <c r="N128" s="48"/>
      <c r="O128" s="30"/>
      <c r="P128" s="30"/>
      <c r="Q128" s="30"/>
      <c r="R128" s="20"/>
      <c r="S128" s="20"/>
      <c r="T128" s="20"/>
      <c r="U128" s="20"/>
      <c r="V128" s="20"/>
      <c r="W128" s="20"/>
      <c r="X128" s="20"/>
      <c r="Y128" s="45"/>
      <c r="Z128" s="48"/>
      <c r="AA128" s="30"/>
      <c r="AB128" s="30"/>
      <c r="AC128" s="30"/>
      <c r="AD128" s="20"/>
      <c r="AE128" s="20"/>
      <c r="AF128" s="20"/>
      <c r="AG128" s="20"/>
      <c r="AH128" s="20"/>
      <c r="AI128" s="20"/>
      <c r="AJ128" s="20"/>
      <c r="AK128" s="45"/>
      <c r="AL128" s="48"/>
      <c r="AM128" s="30"/>
      <c r="AN128" s="30"/>
      <c r="AO128" s="30"/>
      <c r="AP128" s="20"/>
      <c r="AQ128" s="20"/>
      <c r="AR128" s="20"/>
      <c r="AS128" s="20"/>
      <c r="AT128" s="20"/>
      <c r="AU128" s="20"/>
      <c r="AV128" s="20"/>
      <c r="AW128" s="45"/>
      <c r="AX128" s="48"/>
      <c r="AY128" s="30"/>
      <c r="AZ128" s="30"/>
      <c r="BA128" s="30"/>
      <c r="BB128" s="20"/>
      <c r="BC128" s="20"/>
      <c r="BD128" s="20"/>
      <c r="BE128" s="20"/>
      <c r="BF128" s="20"/>
      <c r="BG128" s="20"/>
      <c r="BH128" s="20"/>
      <c r="BI128" s="45"/>
      <c r="BJ128" s="48"/>
      <c r="BK128" s="30"/>
      <c r="BL128" s="30"/>
      <c r="BM128" s="30"/>
      <c r="BN128" s="20"/>
      <c r="BO128" s="20"/>
      <c r="BP128" s="20"/>
      <c r="BQ128" s="20"/>
      <c r="BR128" s="20"/>
      <c r="BS128" s="20"/>
      <c r="BT128" s="20"/>
      <c r="BU128" s="45"/>
      <c r="BV128" s="48"/>
      <c r="BW128" s="30"/>
      <c r="BX128" s="30"/>
      <c r="BY128" s="30"/>
      <c r="BZ128" s="20"/>
      <c r="CA128" s="20"/>
      <c r="CB128" s="20"/>
      <c r="CC128" s="20"/>
      <c r="CD128" s="20"/>
      <c r="CE128" s="20"/>
      <c r="CF128" s="20"/>
      <c r="CG128" s="45"/>
      <c r="CH128" s="48"/>
      <c r="CI128" s="30"/>
      <c r="CJ128" s="30"/>
      <c r="CK128" s="30"/>
      <c r="CL128" s="20"/>
      <c r="CM128" s="20"/>
      <c r="CN128" s="20"/>
      <c r="CO128" s="20"/>
      <c r="CP128" s="20"/>
      <c r="CQ128" s="20"/>
      <c r="CR128" s="20"/>
      <c r="CS128" s="45"/>
      <c r="CT128" s="48"/>
      <c r="CU128" s="30"/>
      <c r="CV128" s="30"/>
      <c r="CW128" s="30"/>
      <c r="CX128" s="20"/>
      <c r="CY128" s="20"/>
      <c r="CZ128" s="20"/>
      <c r="DA128" s="20"/>
      <c r="DB128" s="20"/>
      <c r="DC128" s="20"/>
      <c r="DD128" s="20"/>
      <c r="DE128" s="45"/>
      <c r="DF128" s="48"/>
      <c r="DG128" s="30"/>
      <c r="DH128" s="30"/>
      <c r="DI128" s="30"/>
      <c r="DJ128" s="20"/>
      <c r="DK128" s="20"/>
      <c r="DL128" s="20"/>
      <c r="DM128" s="20"/>
      <c r="DN128" s="20"/>
      <c r="DO128" s="20"/>
      <c r="DP128" s="20"/>
      <c r="DQ128" s="45"/>
      <c r="DR128" s="48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</row>
    <row r="129" spans="1:132" s="29" customFormat="1" ht="12.75">
      <c r="A129" s="46">
        <v>2003</v>
      </c>
      <c r="B129" s="47" t="s">
        <v>41</v>
      </c>
      <c r="C129" s="35">
        <f t="shared" si="15"/>
        <v>0.8373290878441656</v>
      </c>
      <c r="D129" s="35">
        <f t="shared" si="16"/>
        <v>0.87502446662752009</v>
      </c>
      <c r="E129" s="35">
        <f t="shared" si="17"/>
        <v>0.95692077168008993</v>
      </c>
      <c r="F129" s="20">
        <v>21356</v>
      </c>
      <c r="G129" s="20">
        <f t="shared" si="26"/>
        <v>920</v>
      </c>
      <c r="H129" s="20">
        <v>20436</v>
      </c>
      <c r="I129" s="20">
        <v>17882</v>
      </c>
      <c r="J129" s="20">
        <f t="shared" si="27"/>
        <v>2554</v>
      </c>
      <c r="K129" s="20"/>
      <c r="L129" s="20"/>
      <c r="M129" s="46"/>
      <c r="N129" s="47"/>
      <c r="O129" s="30"/>
      <c r="P129" s="30"/>
      <c r="Q129" s="30"/>
      <c r="R129" s="20"/>
      <c r="S129" s="20"/>
      <c r="T129" s="20"/>
      <c r="U129" s="20"/>
      <c r="V129" s="20"/>
      <c r="W129" s="20"/>
      <c r="X129" s="20"/>
      <c r="Y129" s="46"/>
      <c r="Z129" s="47"/>
      <c r="AA129" s="30"/>
      <c r="AB129" s="30"/>
      <c r="AC129" s="30"/>
      <c r="AD129" s="20"/>
      <c r="AE129" s="20"/>
      <c r="AF129" s="20"/>
      <c r="AG129" s="20"/>
      <c r="AH129" s="20"/>
      <c r="AI129" s="20"/>
      <c r="AJ129" s="20"/>
      <c r="AK129" s="46"/>
      <c r="AL129" s="47"/>
      <c r="AM129" s="30"/>
      <c r="AN129" s="30"/>
      <c r="AO129" s="30"/>
      <c r="AP129" s="20"/>
      <c r="AQ129" s="20"/>
      <c r="AR129" s="20"/>
      <c r="AS129" s="20"/>
      <c r="AT129" s="20"/>
      <c r="AU129" s="20"/>
      <c r="AV129" s="20"/>
      <c r="AW129" s="46"/>
      <c r="AX129" s="47"/>
      <c r="AY129" s="30"/>
      <c r="AZ129" s="30"/>
      <c r="BA129" s="30"/>
      <c r="BB129" s="20"/>
      <c r="BC129" s="20"/>
      <c r="BD129" s="20"/>
      <c r="BE129" s="20"/>
      <c r="BF129" s="20"/>
      <c r="BG129" s="20"/>
      <c r="BH129" s="20"/>
      <c r="BI129" s="46"/>
      <c r="BJ129" s="47"/>
      <c r="BK129" s="30"/>
      <c r="BL129" s="30"/>
      <c r="BM129" s="30"/>
      <c r="BN129" s="20"/>
      <c r="BO129" s="20"/>
      <c r="BP129" s="20"/>
      <c r="BQ129" s="20"/>
      <c r="BR129" s="20"/>
      <c r="BS129" s="20"/>
      <c r="BT129" s="20"/>
      <c r="BU129" s="46"/>
      <c r="BV129" s="47"/>
      <c r="BW129" s="30"/>
      <c r="BX129" s="30"/>
      <c r="BY129" s="30"/>
      <c r="BZ129" s="20"/>
      <c r="CA129" s="20"/>
      <c r="CB129" s="20"/>
      <c r="CC129" s="20"/>
      <c r="CD129" s="20"/>
      <c r="CE129" s="20"/>
      <c r="CF129" s="20"/>
      <c r="CG129" s="46"/>
      <c r="CH129" s="47"/>
      <c r="CI129" s="30"/>
      <c r="CJ129" s="30"/>
      <c r="CK129" s="30"/>
      <c r="CL129" s="20"/>
      <c r="CM129" s="20"/>
      <c r="CN129" s="20"/>
      <c r="CO129" s="20"/>
      <c r="CP129" s="20"/>
      <c r="CQ129" s="20"/>
      <c r="CR129" s="20"/>
      <c r="CS129" s="46"/>
      <c r="CT129" s="47"/>
      <c r="CU129" s="30"/>
      <c r="CV129" s="30"/>
      <c r="CW129" s="30"/>
      <c r="CX129" s="20"/>
      <c r="CY129" s="20"/>
      <c r="CZ129" s="20"/>
      <c r="DA129" s="20"/>
      <c r="DB129" s="20"/>
      <c r="DC129" s="20"/>
      <c r="DD129" s="20"/>
      <c r="DE129" s="46"/>
      <c r="DF129" s="47"/>
      <c r="DG129" s="30"/>
      <c r="DH129" s="30"/>
      <c r="DI129" s="30"/>
      <c r="DJ129" s="20"/>
      <c r="DK129" s="20"/>
      <c r="DL129" s="20"/>
      <c r="DM129" s="20"/>
      <c r="DN129" s="20"/>
      <c r="DO129" s="20"/>
      <c r="DP129" s="20"/>
      <c r="DQ129" s="46"/>
      <c r="DR129" s="47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</row>
    <row r="130" spans="1:132" s="29" customFormat="1" ht="12.75">
      <c r="A130" s="45">
        <v>2003</v>
      </c>
      <c r="B130" s="48" t="s">
        <v>42</v>
      </c>
      <c r="C130" s="35">
        <f t="shared" si="15"/>
        <v>0.82390938452440521</v>
      </c>
      <c r="D130" s="35">
        <f t="shared" si="16"/>
        <v>0.87518724329548203</v>
      </c>
      <c r="E130" s="35">
        <f t="shared" si="17"/>
        <v>0.94140927080016379</v>
      </c>
      <c r="F130" s="20">
        <v>21983</v>
      </c>
      <c r="G130" s="20">
        <f t="shared" si="26"/>
        <v>1288</v>
      </c>
      <c r="H130" s="20">
        <v>20695</v>
      </c>
      <c r="I130" s="20">
        <v>18112</v>
      </c>
      <c r="J130" s="20">
        <f t="shared" si="27"/>
        <v>2583</v>
      </c>
      <c r="K130" s="20"/>
      <c r="L130" s="20"/>
      <c r="M130" s="45"/>
      <c r="N130" s="48"/>
      <c r="O130" s="30"/>
      <c r="P130" s="30"/>
      <c r="Q130" s="30"/>
      <c r="R130" s="20"/>
      <c r="S130" s="20"/>
      <c r="T130" s="20"/>
      <c r="U130" s="20"/>
      <c r="V130" s="20"/>
      <c r="W130" s="20"/>
      <c r="X130" s="20"/>
      <c r="Y130" s="45"/>
      <c r="Z130" s="48"/>
      <c r="AA130" s="30"/>
      <c r="AB130" s="30"/>
      <c r="AC130" s="30"/>
      <c r="AD130" s="20"/>
      <c r="AE130" s="20"/>
      <c r="AF130" s="20"/>
      <c r="AG130" s="20"/>
      <c r="AH130" s="20"/>
      <c r="AI130" s="20"/>
      <c r="AJ130" s="20"/>
      <c r="AK130" s="45"/>
      <c r="AL130" s="48"/>
      <c r="AM130" s="30"/>
      <c r="AN130" s="30"/>
      <c r="AO130" s="30"/>
      <c r="AP130" s="20"/>
      <c r="AQ130" s="20"/>
      <c r="AR130" s="20"/>
      <c r="AS130" s="20"/>
      <c r="AT130" s="20"/>
      <c r="AU130" s="20"/>
      <c r="AV130" s="20"/>
      <c r="AW130" s="45"/>
      <c r="AX130" s="48"/>
      <c r="AY130" s="30"/>
      <c r="AZ130" s="30"/>
      <c r="BA130" s="30"/>
      <c r="BB130" s="20"/>
      <c r="BC130" s="20"/>
      <c r="BD130" s="20"/>
      <c r="BE130" s="20"/>
      <c r="BF130" s="20"/>
      <c r="BG130" s="20"/>
      <c r="BH130" s="20"/>
      <c r="BI130" s="45"/>
      <c r="BJ130" s="48"/>
      <c r="BK130" s="30"/>
      <c r="BL130" s="30"/>
      <c r="BM130" s="30"/>
      <c r="BN130" s="20"/>
      <c r="BO130" s="20"/>
      <c r="BP130" s="20"/>
      <c r="BQ130" s="20"/>
      <c r="BR130" s="20"/>
      <c r="BS130" s="20"/>
      <c r="BT130" s="20"/>
      <c r="BU130" s="45"/>
      <c r="BV130" s="48"/>
      <c r="BW130" s="30"/>
      <c r="BX130" s="30"/>
      <c r="BY130" s="30"/>
      <c r="BZ130" s="20"/>
      <c r="CA130" s="20"/>
      <c r="CB130" s="20"/>
      <c r="CC130" s="20"/>
      <c r="CD130" s="20"/>
      <c r="CE130" s="20"/>
      <c r="CF130" s="20"/>
      <c r="CG130" s="45"/>
      <c r="CH130" s="48"/>
      <c r="CI130" s="30"/>
      <c r="CJ130" s="30"/>
      <c r="CK130" s="30"/>
      <c r="CL130" s="20"/>
      <c r="CM130" s="20"/>
      <c r="CN130" s="20"/>
      <c r="CO130" s="20"/>
      <c r="CP130" s="20"/>
      <c r="CQ130" s="20"/>
      <c r="CR130" s="20"/>
      <c r="CS130" s="45"/>
      <c r="CT130" s="48"/>
      <c r="CU130" s="30"/>
      <c r="CV130" s="30"/>
      <c r="CW130" s="30"/>
      <c r="CX130" s="20"/>
      <c r="CY130" s="20"/>
      <c r="CZ130" s="20"/>
      <c r="DA130" s="20"/>
      <c r="DB130" s="20"/>
      <c r="DC130" s="20"/>
      <c r="DD130" s="20"/>
      <c r="DE130" s="45"/>
      <c r="DF130" s="48"/>
      <c r="DG130" s="30"/>
      <c r="DH130" s="30"/>
      <c r="DI130" s="30"/>
      <c r="DJ130" s="20"/>
      <c r="DK130" s="20"/>
      <c r="DL130" s="20"/>
      <c r="DM130" s="20"/>
      <c r="DN130" s="20"/>
      <c r="DO130" s="20"/>
      <c r="DP130" s="20"/>
      <c r="DQ130" s="45"/>
      <c r="DR130" s="48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</row>
    <row r="131" spans="1:132" s="29" customFormat="1" ht="12.75">
      <c r="A131" s="46">
        <v>2003</v>
      </c>
      <c r="B131" s="47" t="s">
        <v>43</v>
      </c>
      <c r="C131" s="35">
        <f t="shared" si="15"/>
        <v>0.82157459351526096</v>
      </c>
      <c r="D131" s="35">
        <f t="shared" si="16"/>
        <v>0.87751993093992786</v>
      </c>
      <c r="E131" s="35">
        <f t="shared" si="17"/>
        <v>0.93624607777883428</v>
      </c>
      <c r="F131" s="20">
        <v>21034</v>
      </c>
      <c r="G131" s="20">
        <f t="shared" si="26"/>
        <v>1341</v>
      </c>
      <c r="H131" s="20">
        <v>19693</v>
      </c>
      <c r="I131" s="20">
        <v>17281</v>
      </c>
      <c r="J131" s="20">
        <f t="shared" si="27"/>
        <v>2412</v>
      </c>
      <c r="K131" s="20"/>
      <c r="L131" s="20"/>
      <c r="M131" s="46"/>
      <c r="N131" s="47"/>
      <c r="O131" s="30"/>
      <c r="P131" s="30"/>
      <c r="Q131" s="30"/>
      <c r="R131" s="20"/>
      <c r="S131" s="20"/>
      <c r="T131" s="20"/>
      <c r="U131" s="20"/>
      <c r="V131" s="20"/>
      <c r="W131" s="20"/>
      <c r="X131" s="20"/>
      <c r="Y131" s="46"/>
      <c r="Z131" s="47"/>
      <c r="AA131" s="30"/>
      <c r="AB131" s="30"/>
      <c r="AC131" s="30"/>
      <c r="AD131" s="20"/>
      <c r="AE131" s="20"/>
      <c r="AF131" s="20"/>
      <c r="AG131" s="20"/>
      <c r="AH131" s="20"/>
      <c r="AI131" s="20"/>
      <c r="AJ131" s="20"/>
      <c r="AK131" s="46"/>
      <c r="AL131" s="47"/>
      <c r="AM131" s="30"/>
      <c r="AN131" s="30"/>
      <c r="AO131" s="30"/>
      <c r="AP131" s="20"/>
      <c r="AQ131" s="20"/>
      <c r="AR131" s="20"/>
      <c r="AS131" s="20"/>
      <c r="AT131" s="20"/>
      <c r="AU131" s="20"/>
      <c r="AV131" s="20"/>
      <c r="AW131" s="46"/>
      <c r="AX131" s="47"/>
      <c r="AY131" s="30"/>
      <c r="AZ131" s="30"/>
      <c r="BA131" s="30"/>
      <c r="BB131" s="20"/>
      <c r="BC131" s="20"/>
      <c r="BD131" s="20"/>
      <c r="BE131" s="20"/>
      <c r="BF131" s="20"/>
      <c r="BG131" s="20"/>
      <c r="BH131" s="20"/>
      <c r="BI131" s="46"/>
      <c r="BJ131" s="47"/>
      <c r="BK131" s="30"/>
      <c r="BL131" s="30"/>
      <c r="BM131" s="30"/>
      <c r="BN131" s="20"/>
      <c r="BO131" s="20"/>
      <c r="BP131" s="20"/>
      <c r="BQ131" s="20"/>
      <c r="BR131" s="20"/>
      <c r="BS131" s="20"/>
      <c r="BT131" s="20"/>
      <c r="BU131" s="46"/>
      <c r="BV131" s="47"/>
      <c r="BW131" s="30"/>
      <c r="BX131" s="30"/>
      <c r="BY131" s="30"/>
      <c r="BZ131" s="20"/>
      <c r="CA131" s="20"/>
      <c r="CB131" s="20"/>
      <c r="CC131" s="20"/>
      <c r="CD131" s="20"/>
      <c r="CE131" s="20"/>
      <c r="CF131" s="20"/>
      <c r="CG131" s="46"/>
      <c r="CH131" s="47"/>
      <c r="CI131" s="30"/>
      <c r="CJ131" s="30"/>
      <c r="CK131" s="30"/>
      <c r="CL131" s="20"/>
      <c r="CM131" s="20"/>
      <c r="CN131" s="20"/>
      <c r="CO131" s="20"/>
      <c r="CP131" s="20"/>
      <c r="CQ131" s="20"/>
      <c r="CR131" s="20"/>
      <c r="CS131" s="46"/>
      <c r="CT131" s="47"/>
      <c r="CU131" s="30"/>
      <c r="CV131" s="30"/>
      <c r="CW131" s="30"/>
      <c r="CX131" s="20"/>
      <c r="CY131" s="20"/>
      <c r="CZ131" s="20"/>
      <c r="DA131" s="20"/>
      <c r="DB131" s="20"/>
      <c r="DC131" s="20"/>
      <c r="DD131" s="20"/>
      <c r="DE131" s="46"/>
      <c r="DF131" s="47"/>
      <c r="DG131" s="30"/>
      <c r="DH131" s="30"/>
      <c r="DI131" s="30"/>
      <c r="DJ131" s="20"/>
      <c r="DK131" s="20"/>
      <c r="DL131" s="20"/>
      <c r="DM131" s="20"/>
      <c r="DN131" s="20"/>
      <c r="DO131" s="20"/>
      <c r="DP131" s="20"/>
      <c r="DQ131" s="46"/>
      <c r="DR131" s="47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</row>
    <row r="132" spans="1:132" s="29" customFormat="1" ht="12.75">
      <c r="A132" s="45">
        <v>2003</v>
      </c>
      <c r="B132" s="48" t="s">
        <v>44</v>
      </c>
      <c r="C132" s="35">
        <f t="shared" si="15"/>
        <v>0.83433557896640598</v>
      </c>
      <c r="D132" s="35">
        <f t="shared" si="16"/>
        <v>0.88351048549267452</v>
      </c>
      <c r="E132" s="35">
        <f t="shared" si="17"/>
        <v>0.94434145679793824</v>
      </c>
      <c r="F132" s="20">
        <v>22117</v>
      </c>
      <c r="G132" s="20">
        <f t="shared" si="26"/>
        <v>1231</v>
      </c>
      <c r="H132" s="20">
        <v>20886</v>
      </c>
      <c r="I132" s="20">
        <v>18453</v>
      </c>
      <c r="J132" s="20">
        <f t="shared" si="27"/>
        <v>2433</v>
      </c>
      <c r="K132" s="20"/>
      <c r="L132" s="20"/>
      <c r="M132" s="45"/>
      <c r="N132" s="48"/>
      <c r="O132" s="30"/>
      <c r="P132" s="30"/>
      <c r="Q132" s="30"/>
      <c r="R132" s="20"/>
      <c r="S132" s="20"/>
      <c r="T132" s="20"/>
      <c r="U132" s="20"/>
      <c r="V132" s="20"/>
      <c r="W132" s="20"/>
      <c r="X132" s="20"/>
      <c r="Y132" s="45"/>
      <c r="Z132" s="48"/>
      <c r="AA132" s="30"/>
      <c r="AB132" s="30"/>
      <c r="AC132" s="30"/>
      <c r="AD132" s="20"/>
      <c r="AE132" s="20"/>
      <c r="AF132" s="20"/>
      <c r="AG132" s="20"/>
      <c r="AH132" s="20"/>
      <c r="AI132" s="20"/>
      <c r="AJ132" s="20"/>
      <c r="AK132" s="45"/>
      <c r="AL132" s="48"/>
      <c r="AM132" s="30"/>
      <c r="AN132" s="30"/>
      <c r="AO132" s="30"/>
      <c r="AP132" s="20"/>
      <c r="AQ132" s="20"/>
      <c r="AR132" s="20"/>
      <c r="AS132" s="20"/>
      <c r="AT132" s="20"/>
      <c r="AU132" s="20"/>
      <c r="AV132" s="20"/>
      <c r="AW132" s="45"/>
      <c r="AX132" s="48"/>
      <c r="AY132" s="30"/>
      <c r="AZ132" s="30"/>
      <c r="BA132" s="30"/>
      <c r="BB132" s="20"/>
      <c r="BC132" s="20"/>
      <c r="BD132" s="20"/>
      <c r="BE132" s="20"/>
      <c r="BF132" s="20"/>
      <c r="BG132" s="20"/>
      <c r="BH132" s="20"/>
      <c r="BI132" s="45"/>
      <c r="BJ132" s="48"/>
      <c r="BK132" s="30"/>
      <c r="BL132" s="30"/>
      <c r="BM132" s="30"/>
      <c r="BN132" s="20"/>
      <c r="BO132" s="20"/>
      <c r="BP132" s="20"/>
      <c r="BQ132" s="20"/>
      <c r="BR132" s="20"/>
      <c r="BS132" s="20"/>
      <c r="BT132" s="20"/>
      <c r="BU132" s="45"/>
      <c r="BV132" s="48"/>
      <c r="BW132" s="30"/>
      <c r="BX132" s="30"/>
      <c r="BY132" s="30"/>
      <c r="BZ132" s="20"/>
      <c r="CA132" s="20"/>
      <c r="CB132" s="20"/>
      <c r="CC132" s="20"/>
      <c r="CD132" s="20"/>
      <c r="CE132" s="20"/>
      <c r="CF132" s="20"/>
      <c r="CG132" s="45"/>
      <c r="CH132" s="48"/>
      <c r="CI132" s="30"/>
      <c r="CJ132" s="30"/>
      <c r="CK132" s="30"/>
      <c r="CL132" s="20"/>
      <c r="CM132" s="20"/>
      <c r="CN132" s="20"/>
      <c r="CO132" s="20"/>
      <c r="CP132" s="20"/>
      <c r="CQ132" s="20"/>
      <c r="CR132" s="20"/>
      <c r="CS132" s="45"/>
      <c r="CT132" s="48"/>
      <c r="CU132" s="30"/>
      <c r="CV132" s="30"/>
      <c r="CW132" s="30"/>
      <c r="CX132" s="20"/>
      <c r="CY132" s="20"/>
      <c r="CZ132" s="20"/>
      <c r="DA132" s="20"/>
      <c r="DB132" s="20"/>
      <c r="DC132" s="20"/>
      <c r="DD132" s="20"/>
      <c r="DE132" s="45"/>
      <c r="DF132" s="48"/>
      <c r="DG132" s="30"/>
      <c r="DH132" s="30"/>
      <c r="DI132" s="30"/>
      <c r="DJ132" s="20"/>
      <c r="DK132" s="20"/>
      <c r="DL132" s="20"/>
      <c r="DM132" s="20"/>
      <c r="DN132" s="20"/>
      <c r="DO132" s="20"/>
      <c r="DP132" s="20"/>
      <c r="DQ132" s="45"/>
      <c r="DR132" s="48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</row>
    <row r="133" spans="1:132" s="29" customFormat="1" ht="12.75">
      <c r="A133" s="46">
        <v>2003</v>
      </c>
      <c r="B133" s="47" t="s">
        <v>45</v>
      </c>
      <c r="C133" s="35">
        <f t="shared" si="15"/>
        <v>0.85063945703864441</v>
      </c>
      <c r="D133" s="35">
        <f t="shared" si="16"/>
        <v>0.89337147844639475</v>
      </c>
      <c r="E133" s="35">
        <f t="shared" si="17"/>
        <v>0.95216769010572977</v>
      </c>
      <c r="F133" s="20">
        <v>21659</v>
      </c>
      <c r="G133" s="20">
        <f t="shared" si="26"/>
        <v>1036</v>
      </c>
      <c r="H133" s="20">
        <v>20623</v>
      </c>
      <c r="I133" s="20">
        <v>18424</v>
      </c>
      <c r="J133" s="20">
        <f t="shared" si="27"/>
        <v>2199</v>
      </c>
      <c r="K133" s="20"/>
      <c r="L133" s="20"/>
      <c r="M133" s="46"/>
      <c r="N133" s="47"/>
      <c r="O133" s="30"/>
      <c r="P133" s="30"/>
      <c r="Q133" s="30"/>
      <c r="R133" s="20"/>
      <c r="S133" s="20"/>
      <c r="T133" s="20"/>
      <c r="U133" s="20"/>
      <c r="V133" s="20"/>
      <c r="W133" s="20"/>
      <c r="X133" s="20"/>
      <c r="Y133" s="46"/>
      <c r="Z133" s="47"/>
      <c r="AA133" s="30"/>
      <c r="AB133" s="30"/>
      <c r="AC133" s="30"/>
      <c r="AD133" s="20"/>
      <c r="AE133" s="20"/>
      <c r="AF133" s="20"/>
      <c r="AG133" s="20"/>
      <c r="AH133" s="20"/>
      <c r="AI133" s="20"/>
      <c r="AJ133" s="20"/>
      <c r="AK133" s="46"/>
      <c r="AL133" s="47"/>
      <c r="AM133" s="30"/>
      <c r="AN133" s="30"/>
      <c r="AO133" s="30"/>
      <c r="AP133" s="20"/>
      <c r="AQ133" s="20"/>
      <c r="AR133" s="20"/>
      <c r="AS133" s="20"/>
      <c r="AT133" s="20"/>
      <c r="AU133" s="20"/>
      <c r="AV133" s="20"/>
      <c r="AW133" s="46"/>
      <c r="AX133" s="47"/>
      <c r="AY133" s="30"/>
      <c r="AZ133" s="30"/>
      <c r="BA133" s="30"/>
      <c r="BB133" s="20"/>
      <c r="BC133" s="20"/>
      <c r="BD133" s="20"/>
      <c r="BE133" s="20"/>
      <c r="BF133" s="20"/>
      <c r="BG133" s="20"/>
      <c r="BH133" s="20"/>
      <c r="BI133" s="46"/>
      <c r="BJ133" s="47"/>
      <c r="BK133" s="30"/>
      <c r="BL133" s="30"/>
      <c r="BM133" s="30"/>
      <c r="BN133" s="20"/>
      <c r="BO133" s="20"/>
      <c r="BP133" s="20"/>
      <c r="BQ133" s="20"/>
      <c r="BR133" s="20"/>
      <c r="BS133" s="20"/>
      <c r="BT133" s="20"/>
      <c r="BU133" s="46"/>
      <c r="BV133" s="47"/>
      <c r="BW133" s="30"/>
      <c r="BX133" s="30"/>
      <c r="BY133" s="30"/>
      <c r="BZ133" s="20"/>
      <c r="CA133" s="20"/>
      <c r="CB133" s="20"/>
      <c r="CC133" s="20"/>
      <c r="CD133" s="20"/>
      <c r="CE133" s="20"/>
      <c r="CF133" s="20"/>
      <c r="CG133" s="46"/>
      <c r="CH133" s="47"/>
      <c r="CI133" s="30"/>
      <c r="CJ133" s="30"/>
      <c r="CK133" s="30"/>
      <c r="CL133" s="20"/>
      <c r="CM133" s="20"/>
      <c r="CN133" s="20"/>
      <c r="CO133" s="20"/>
      <c r="CP133" s="20"/>
      <c r="CQ133" s="20"/>
      <c r="CR133" s="20"/>
      <c r="CS133" s="46"/>
      <c r="CT133" s="47"/>
      <c r="CU133" s="30"/>
      <c r="CV133" s="30"/>
      <c r="CW133" s="30"/>
      <c r="CX133" s="20"/>
      <c r="CY133" s="20"/>
      <c r="CZ133" s="20"/>
      <c r="DA133" s="20"/>
      <c r="DB133" s="20"/>
      <c r="DC133" s="20"/>
      <c r="DD133" s="20"/>
      <c r="DE133" s="46"/>
      <c r="DF133" s="47"/>
      <c r="DG133" s="30"/>
      <c r="DH133" s="30"/>
      <c r="DI133" s="30"/>
      <c r="DJ133" s="20"/>
      <c r="DK133" s="20"/>
      <c r="DL133" s="20"/>
      <c r="DM133" s="20"/>
      <c r="DN133" s="20"/>
      <c r="DO133" s="20"/>
      <c r="DP133" s="20"/>
      <c r="DQ133" s="46"/>
      <c r="DR133" s="47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</row>
    <row r="134" spans="1:132" s="29" customFormat="1" ht="12.75">
      <c r="A134" s="45">
        <v>2003</v>
      </c>
      <c r="B134" s="48" t="s">
        <v>46</v>
      </c>
      <c r="C134" s="35">
        <f t="shared" si="15"/>
        <v>0.8115125841016696</v>
      </c>
      <c r="D134" s="35">
        <f t="shared" si="16"/>
        <v>0.86304128902316213</v>
      </c>
      <c r="E134" s="35">
        <f t="shared" si="17"/>
        <v>0.94029404435584352</v>
      </c>
      <c r="F1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20065</v>
      </c>
      <c r="G134" s="20">
        <f t="shared" si="26"/>
        <v>1198</v>
      </c>
      <c r="H1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18867</v>
      </c>
      <c r="I1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16283</v>
      </c>
      <c r="J134" s="20">
        <f t="shared" si="27"/>
        <v>2584</v>
      </c>
      <c r="K134" s="20"/>
      <c r="L134" s="20"/>
      <c r="M134" s="130">
        <v>2003</v>
      </c>
      <c r="N134" s="131" t="s">
        <v>46</v>
      </c>
      <c r="O134" s="132">
        <f t="shared" ref="O134:O149" si="28">U134/R134</f>
        <v>0.88230519480519476</v>
      </c>
      <c r="P134" s="132">
        <f t="shared" ref="P134:P149" si="29">U134/T134</f>
        <v>0.89909015715467333</v>
      </c>
      <c r="Q134" s="132">
        <f t="shared" ref="Q134:Q149" si="30">T134/R134</f>
        <v>0.98133116883116878</v>
      </c>
      <c r="R134" s="129">
        <v>3696</v>
      </c>
      <c r="S134" s="133">
        <f t="shared" ref="S134:S172" si="31">R134-T134</f>
        <v>69</v>
      </c>
      <c r="T134" s="129">
        <v>3627</v>
      </c>
      <c r="U134" s="129">
        <v>3261</v>
      </c>
      <c r="V134" s="129">
        <f t="shared" ref="V134:V149" si="32">T134-U134</f>
        <v>366</v>
      </c>
      <c r="W134" s="20"/>
      <c r="X134" s="20"/>
      <c r="Y134" s="45">
        <v>2003</v>
      </c>
      <c r="Z134" s="48" t="s">
        <v>46</v>
      </c>
      <c r="AA134" s="35">
        <f t="shared" ref="AA134:AA149" si="33">AG134/AD134</f>
        <v>0.81555269922879181</v>
      </c>
      <c r="AB134" s="35">
        <f t="shared" ref="AB134:AB149" si="34">AG134/AF134</f>
        <v>0.86209239130434778</v>
      </c>
      <c r="AC134" s="35">
        <f t="shared" ref="AC134:AC149" si="35">AF134/AD134</f>
        <v>0.94601542416452444</v>
      </c>
      <c r="AD134" s="20">
        <v>1556</v>
      </c>
      <c r="AE134" s="20">
        <f t="shared" ref="AE134:AE171" si="36">AD134-AF134</f>
        <v>84</v>
      </c>
      <c r="AF134" s="20">
        <v>1472</v>
      </c>
      <c r="AG134" s="20">
        <v>1269</v>
      </c>
      <c r="AH134" s="20">
        <f t="shared" ref="AH134:AH149" si="37">AF134-AG134</f>
        <v>203</v>
      </c>
      <c r="AI134" s="20"/>
      <c r="AJ134" s="20"/>
      <c r="AK134" s="45">
        <v>2003</v>
      </c>
      <c r="AL134" s="48" t="s">
        <v>46</v>
      </c>
      <c r="AM134" s="35">
        <f t="shared" ref="AM134:AM149" si="38">AS134/AP134</f>
        <v>0.87287801026450851</v>
      </c>
      <c r="AN134" s="35">
        <f t="shared" ref="AN134:AN149" si="39">AS134/AR134</f>
        <v>0.9095022624434389</v>
      </c>
      <c r="AO134" s="35">
        <f t="shared" ref="AO134:AO149" si="40">AR134/AP134</f>
        <v>0.95973154362416102</v>
      </c>
      <c r="AP134" s="20">
        <v>5066</v>
      </c>
      <c r="AQ134" s="27">
        <f t="shared" ref="AQ134:AQ149" si="41">AP134-AR134</f>
        <v>204</v>
      </c>
      <c r="AR134" s="20">
        <v>4862</v>
      </c>
      <c r="AS134" s="20">
        <v>4422</v>
      </c>
      <c r="AT134" s="20">
        <f t="shared" ref="AT134:AT149" si="42">AR134-AS134</f>
        <v>440</v>
      </c>
      <c r="AU134" s="20"/>
      <c r="AV134" s="20"/>
      <c r="AW134" s="45">
        <v>2003</v>
      </c>
      <c r="AX134" s="48" t="s">
        <v>46</v>
      </c>
      <c r="AY134" s="35">
        <f t="shared" ref="AY134:AY149" si="43">BE134/BB134</f>
        <v>0.76398601398601396</v>
      </c>
      <c r="AZ134" s="35">
        <f t="shared" ref="AZ134:AZ149" si="44">BE134/BD134</f>
        <v>0.9377682403433476</v>
      </c>
      <c r="BA134" s="35">
        <f t="shared" ref="BA134:BA149" si="45">BD134/BB134</f>
        <v>0.81468531468531469</v>
      </c>
      <c r="BB134" s="20">
        <v>572</v>
      </c>
      <c r="BC134" s="27">
        <f t="shared" ref="BC134:BC149" si="46">BB134-BD134</f>
        <v>106</v>
      </c>
      <c r="BD134" s="20">
        <v>466</v>
      </c>
      <c r="BE134" s="20">
        <v>437</v>
      </c>
      <c r="BF134" s="20">
        <f t="shared" ref="BF134:BF149" si="47">BD134-BE134</f>
        <v>29</v>
      </c>
      <c r="BG134" s="20"/>
      <c r="BH134" s="20"/>
      <c r="BI134" s="45">
        <v>2003</v>
      </c>
      <c r="BJ134" s="48" t="s">
        <v>46</v>
      </c>
      <c r="BK134" s="35">
        <f t="shared" ref="BK134:BK149" si="48">BQ134/BN134</f>
        <v>0.80847076461769118</v>
      </c>
      <c r="BL134" s="35">
        <f t="shared" ref="BL134:BL149" si="49">BQ134/BP134</f>
        <v>0.90364474235441983</v>
      </c>
      <c r="BM134" s="35">
        <f t="shared" ref="BM134:BM149" si="50">BP134/BN134</f>
        <v>0.89467766116941527</v>
      </c>
      <c r="BN134" s="20">
        <v>2668</v>
      </c>
      <c r="BO134" s="27">
        <f t="shared" ref="BO134:BO149" si="51">BN134-BP134</f>
        <v>281</v>
      </c>
      <c r="BP134" s="20">
        <v>2387</v>
      </c>
      <c r="BQ134" s="20">
        <v>2157</v>
      </c>
      <c r="BR134" s="20">
        <f t="shared" ref="BR134:BR149" si="52">BP134-BQ134</f>
        <v>230</v>
      </c>
      <c r="BS134" s="20"/>
      <c r="BT134" s="20"/>
      <c r="BU134" s="45">
        <v>2003</v>
      </c>
      <c r="BV134" s="48" t="s">
        <v>46</v>
      </c>
      <c r="BW134" s="35">
        <f t="shared" ref="BW134:BW149" si="53">CC134/BZ134</f>
        <v>0.86555555555555552</v>
      </c>
      <c r="BX134" s="35">
        <f t="shared" ref="BX134:BX149" si="54">CC134/CB134</f>
        <v>0.89953810623556585</v>
      </c>
      <c r="BY134" s="35">
        <f t="shared" ref="BY134:BY149" si="55">CB134/BZ134</f>
        <v>0.9622222222222222</v>
      </c>
      <c r="BZ134" s="20">
        <v>2700</v>
      </c>
      <c r="CA134" s="27">
        <f t="shared" ref="CA134:CA149" si="56">BZ134-CB134</f>
        <v>102</v>
      </c>
      <c r="CB134" s="20">
        <v>2598</v>
      </c>
      <c r="CC134" s="20">
        <v>2337</v>
      </c>
      <c r="CD134" s="20">
        <f t="shared" ref="CD134:CD149" si="57">CB134-CC134</f>
        <v>261</v>
      </c>
      <c r="CE134" s="20"/>
      <c r="CF134" s="20"/>
      <c r="CG134" s="45">
        <v>2003</v>
      </c>
      <c r="CH134" s="48" t="s">
        <v>46</v>
      </c>
      <c r="CI134" s="35">
        <f t="shared" ref="CI134:CI197" si="58">CO134/CL134</f>
        <v>0.88469318948078224</v>
      </c>
      <c r="CJ134" s="35">
        <f t="shared" ref="CJ134:CJ197" si="59">CO134/CN134</f>
        <v>0.96898079763663225</v>
      </c>
      <c r="CK134" s="35">
        <f t="shared" ref="CK134:CK197" si="60">CN134/CL134</f>
        <v>0.91301416048550232</v>
      </c>
      <c r="CL134" s="20">
        <v>1483</v>
      </c>
      <c r="CM134" s="20">
        <f t="shared" ref="CM134:CM197" si="61">CL134-CN134</f>
        <v>129</v>
      </c>
      <c r="CN134" s="20">
        <v>1354</v>
      </c>
      <c r="CO134" s="20">
        <v>1312</v>
      </c>
      <c r="CP134" s="20">
        <f t="shared" ref="CP134:CP197" si="62">CN134-CO134</f>
        <v>42</v>
      </c>
      <c r="CQ134" s="20"/>
      <c r="CR134" s="20"/>
      <c r="CS134" s="45">
        <v>2003</v>
      </c>
      <c r="CT134" s="48" t="s">
        <v>46</v>
      </c>
      <c r="CU134" s="35">
        <f t="shared" ref="CU134:CU149" si="63">DA134/CX134</f>
        <v>4.9469964664310952E-2</v>
      </c>
      <c r="CV134" s="35">
        <f t="shared" ref="CV134:CV149" si="64">DA134/CZ134</f>
        <v>5.9322033898305086E-2</v>
      </c>
      <c r="CW134" s="35">
        <f t="shared" ref="CW134:CW149" si="65">CZ134/CX134</f>
        <v>0.83392226148409898</v>
      </c>
      <c r="CX134" s="20">
        <v>1132</v>
      </c>
      <c r="CY134" s="27">
        <f t="shared" ref="CY134:CY149" si="66">CX134-CZ134</f>
        <v>188</v>
      </c>
      <c r="CZ134" s="20">
        <v>944</v>
      </c>
      <c r="DA134" s="20">
        <v>56</v>
      </c>
      <c r="DB134" s="20">
        <f t="shared" ref="DB134:DB149" si="67">CZ134-DA134</f>
        <v>888</v>
      </c>
      <c r="DC134" s="20"/>
      <c r="DD134" s="20"/>
      <c r="DE134" s="45">
        <v>2003</v>
      </c>
      <c r="DF134" s="48" t="s">
        <v>46</v>
      </c>
      <c r="DG134" s="35">
        <f t="shared" ref="DG134:DG149" si="68">DM134/DJ134</f>
        <v>0.86577181208053688</v>
      </c>
      <c r="DH134" s="35">
        <f t="shared" ref="DH134:DH149" si="69">DM134/DL134</f>
        <v>0.89196197061365601</v>
      </c>
      <c r="DI134" s="35">
        <f t="shared" ref="DI134:DI149" si="70">DL134/DJ134</f>
        <v>0.97063758389261745</v>
      </c>
      <c r="DJ134" s="20">
        <v>1192</v>
      </c>
      <c r="DK134" s="27">
        <f t="shared" ref="DK134:DK149" si="71">DJ134-DL134</f>
        <v>35</v>
      </c>
      <c r="DL134" s="20">
        <v>1157</v>
      </c>
      <c r="DM134" s="20">
        <v>1032</v>
      </c>
      <c r="DN134" s="20">
        <f t="shared" ref="DN134:DN149" si="72">DL134-DM134</f>
        <v>125</v>
      </c>
      <c r="DO134" s="20"/>
      <c r="DP134" s="20"/>
      <c r="DQ134" s="45"/>
      <c r="DR134" s="48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</row>
    <row r="135" spans="1:132" s="29" customFormat="1" ht="12.75">
      <c r="A135" s="46">
        <v>2003</v>
      </c>
      <c r="B135" s="47" t="s">
        <v>47</v>
      </c>
      <c r="C135" s="35">
        <f t="shared" ref="C135:C198" si="73">I135/F135</f>
        <v>0.85443161807865387</v>
      </c>
      <c r="D135" s="35">
        <f t="shared" ref="D135:D198" si="74">I135/H135</f>
        <v>0.89081544188892858</v>
      </c>
      <c r="E135" s="35">
        <f t="shared" ref="E135:E198" si="75">H135/F135</f>
        <v>0.95915672079827818</v>
      </c>
      <c r="F1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20444</v>
      </c>
      <c r="G135" s="20">
        <f t="shared" ref="G135:G198" si="76">F135-H135</f>
        <v>835</v>
      </c>
      <c r="H1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19609</v>
      </c>
      <c r="I1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17468</v>
      </c>
      <c r="J135" s="20">
        <f t="shared" ref="J135:J198" si="77">H135-I135</f>
        <v>2141</v>
      </c>
      <c r="K135" s="20"/>
      <c r="L135" s="20"/>
      <c r="M135" s="134">
        <v>2003</v>
      </c>
      <c r="N135" s="135" t="s">
        <v>47</v>
      </c>
      <c r="O135" s="132">
        <f t="shared" si="28"/>
        <v>0.92227841362789464</v>
      </c>
      <c r="P135" s="132">
        <f t="shared" si="29"/>
        <v>0.93673965936739656</v>
      </c>
      <c r="Q135" s="132">
        <f t="shared" si="30"/>
        <v>0.98456215065211605</v>
      </c>
      <c r="R135" s="129">
        <v>3757</v>
      </c>
      <c r="S135" s="133">
        <f t="shared" si="31"/>
        <v>58</v>
      </c>
      <c r="T135" s="129">
        <v>3699</v>
      </c>
      <c r="U135" s="129">
        <v>3465</v>
      </c>
      <c r="V135" s="129">
        <f t="shared" si="32"/>
        <v>234</v>
      </c>
      <c r="W135" s="20"/>
      <c r="X135" s="20"/>
      <c r="Y135" s="46">
        <v>2003</v>
      </c>
      <c r="Z135" s="47" t="s">
        <v>47</v>
      </c>
      <c r="AA135" s="35">
        <f t="shared" si="33"/>
        <v>0.88781431334622829</v>
      </c>
      <c r="AB135" s="35">
        <f t="shared" si="34"/>
        <v>0.89183937823834192</v>
      </c>
      <c r="AC135" s="35">
        <f t="shared" si="35"/>
        <v>0.99548678272082525</v>
      </c>
      <c r="AD135" s="20">
        <v>1551</v>
      </c>
      <c r="AE135" s="20">
        <f t="shared" si="36"/>
        <v>7</v>
      </c>
      <c r="AF135" s="20">
        <v>1544</v>
      </c>
      <c r="AG135" s="20">
        <v>1377</v>
      </c>
      <c r="AH135" s="20">
        <f t="shared" si="37"/>
        <v>167</v>
      </c>
      <c r="AI135" s="20"/>
      <c r="AJ135" s="20"/>
      <c r="AK135" s="46">
        <v>2003</v>
      </c>
      <c r="AL135" s="47" t="s">
        <v>47</v>
      </c>
      <c r="AM135" s="35">
        <f t="shared" si="38"/>
        <v>0.94341463414634141</v>
      </c>
      <c r="AN135" s="35">
        <f t="shared" si="39"/>
        <v>0.9578050713153724</v>
      </c>
      <c r="AO135" s="35">
        <f t="shared" si="40"/>
        <v>0.98497560975609755</v>
      </c>
      <c r="AP135" s="20">
        <v>5125</v>
      </c>
      <c r="AQ135" s="27">
        <f t="shared" si="41"/>
        <v>77</v>
      </c>
      <c r="AR135" s="20">
        <v>5048</v>
      </c>
      <c r="AS135" s="20">
        <v>4835</v>
      </c>
      <c r="AT135" s="20">
        <f t="shared" si="42"/>
        <v>213</v>
      </c>
      <c r="AU135" s="20"/>
      <c r="AV135" s="20"/>
      <c r="AW135" s="46">
        <v>2003</v>
      </c>
      <c r="AX135" s="47" t="s">
        <v>47</v>
      </c>
      <c r="AY135" s="35">
        <f t="shared" si="43"/>
        <v>0.77609427609427606</v>
      </c>
      <c r="AZ135" s="35">
        <f t="shared" si="44"/>
        <v>0.93699186991869921</v>
      </c>
      <c r="BA135" s="35">
        <f t="shared" si="45"/>
        <v>0.82828282828282829</v>
      </c>
      <c r="BB135" s="20">
        <v>594</v>
      </c>
      <c r="BC135" s="27">
        <f t="shared" si="46"/>
        <v>102</v>
      </c>
      <c r="BD135" s="20">
        <v>492</v>
      </c>
      <c r="BE135" s="20">
        <v>461</v>
      </c>
      <c r="BF135" s="20">
        <f t="shared" si="47"/>
        <v>31</v>
      </c>
      <c r="BG135" s="20"/>
      <c r="BH135" s="20"/>
      <c r="BI135" s="46">
        <v>2003</v>
      </c>
      <c r="BJ135" s="47" t="s">
        <v>47</v>
      </c>
      <c r="BK135" s="35">
        <f t="shared" si="48"/>
        <v>0.84857351865398678</v>
      </c>
      <c r="BL135" s="35">
        <f t="shared" si="49"/>
        <v>0.90625</v>
      </c>
      <c r="BM135" s="35">
        <f t="shared" si="50"/>
        <v>0.93635698610095097</v>
      </c>
      <c r="BN135" s="20">
        <v>2734</v>
      </c>
      <c r="BO135" s="27">
        <f t="shared" si="51"/>
        <v>174</v>
      </c>
      <c r="BP135" s="20">
        <v>2560</v>
      </c>
      <c r="BQ135" s="20">
        <v>2320</v>
      </c>
      <c r="BR135" s="20">
        <f t="shared" si="52"/>
        <v>240</v>
      </c>
      <c r="BS135" s="20"/>
      <c r="BT135" s="20"/>
      <c r="BU135" s="46">
        <v>2003</v>
      </c>
      <c r="BV135" s="47" t="s">
        <v>47</v>
      </c>
      <c r="BW135" s="35">
        <f t="shared" si="53"/>
        <v>0.87513533020570189</v>
      </c>
      <c r="BX135" s="35">
        <f t="shared" si="54"/>
        <v>0.90182223875046486</v>
      </c>
      <c r="BY135" s="35">
        <f t="shared" si="55"/>
        <v>0.97040779501984842</v>
      </c>
      <c r="BZ135" s="20">
        <v>2771</v>
      </c>
      <c r="CA135" s="27">
        <f t="shared" si="56"/>
        <v>82</v>
      </c>
      <c r="CB135" s="20">
        <v>2689</v>
      </c>
      <c r="CC135" s="20">
        <v>2425</v>
      </c>
      <c r="CD135" s="20">
        <f t="shared" si="57"/>
        <v>264</v>
      </c>
      <c r="CE135" s="20"/>
      <c r="CF135" s="20"/>
      <c r="CG135" s="46">
        <v>2003</v>
      </c>
      <c r="CH135" s="47" t="s">
        <v>47</v>
      </c>
      <c r="CI135" s="35">
        <f t="shared" si="58"/>
        <v>0.91875825627476881</v>
      </c>
      <c r="CJ135" s="35">
        <f t="shared" si="59"/>
        <v>0.98026779422128263</v>
      </c>
      <c r="CK135" s="35">
        <f t="shared" si="60"/>
        <v>0.93725231175693524</v>
      </c>
      <c r="CL135" s="20">
        <v>1514</v>
      </c>
      <c r="CM135" s="20">
        <f t="shared" si="61"/>
        <v>95</v>
      </c>
      <c r="CN135" s="20">
        <v>1419</v>
      </c>
      <c r="CO135" s="20">
        <v>1391</v>
      </c>
      <c r="CP135" s="20">
        <f t="shared" si="62"/>
        <v>28</v>
      </c>
      <c r="CQ135" s="20"/>
      <c r="CR135" s="20"/>
      <c r="CS135" s="46">
        <v>2003</v>
      </c>
      <c r="CT135" s="47" t="s">
        <v>47</v>
      </c>
      <c r="CU135" s="35">
        <f t="shared" si="63"/>
        <v>4.1952054794520549E-2</v>
      </c>
      <c r="CV135" s="35">
        <f t="shared" si="64"/>
        <v>5.0882658359293877E-2</v>
      </c>
      <c r="CW135" s="35">
        <f t="shared" si="65"/>
        <v>0.82448630136986301</v>
      </c>
      <c r="CX135" s="20">
        <v>1168</v>
      </c>
      <c r="CY135" s="27">
        <f t="shared" si="66"/>
        <v>205</v>
      </c>
      <c r="CZ135" s="20">
        <v>963</v>
      </c>
      <c r="DA135" s="20">
        <v>49</v>
      </c>
      <c r="DB135" s="20">
        <f t="shared" si="67"/>
        <v>914</v>
      </c>
      <c r="DC135" s="20"/>
      <c r="DD135" s="20"/>
      <c r="DE135" s="46">
        <v>2003</v>
      </c>
      <c r="DF135" s="47" t="s">
        <v>47</v>
      </c>
      <c r="DG135" s="35">
        <f t="shared" si="68"/>
        <v>0.93089430894308944</v>
      </c>
      <c r="DH135" s="35">
        <f t="shared" si="69"/>
        <v>0.95815899581589958</v>
      </c>
      <c r="DI135" s="35">
        <f t="shared" si="70"/>
        <v>0.97154471544715448</v>
      </c>
      <c r="DJ135" s="20">
        <v>1230</v>
      </c>
      <c r="DK135" s="27">
        <f t="shared" si="71"/>
        <v>35</v>
      </c>
      <c r="DL135" s="20">
        <v>1195</v>
      </c>
      <c r="DM135" s="20">
        <v>1145</v>
      </c>
      <c r="DN135" s="20">
        <f t="shared" si="72"/>
        <v>50</v>
      </c>
      <c r="DO135" s="20"/>
      <c r="DP135" s="20"/>
      <c r="DQ135" s="46"/>
      <c r="DR135" s="47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</row>
    <row r="136" spans="1:132" s="29" customFormat="1" ht="12.75">
      <c r="A136" s="45">
        <v>2003</v>
      </c>
      <c r="B136" s="48" t="s">
        <v>48</v>
      </c>
      <c r="C136" s="35">
        <f t="shared" si="73"/>
        <v>0.83836162814481485</v>
      </c>
      <c r="D136" s="35">
        <f t="shared" si="74"/>
        <v>0.87556742323097458</v>
      </c>
      <c r="E136" s="35">
        <f t="shared" si="75"/>
        <v>0.95750664757619142</v>
      </c>
      <c r="F1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19556</v>
      </c>
      <c r="G136" s="20">
        <f t="shared" si="76"/>
        <v>831</v>
      </c>
      <c r="H1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18725</v>
      </c>
      <c r="I1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J136" s="20">
        <f t="shared" si="77"/>
        <v>2330</v>
      </c>
      <c r="K136" s="20"/>
      <c r="L136" s="20"/>
      <c r="M136" s="130">
        <v>2003</v>
      </c>
      <c r="N136" s="131" t="s">
        <v>48</v>
      </c>
      <c r="O136" s="132">
        <f t="shared" si="28"/>
        <v>0.91438164521544485</v>
      </c>
      <c r="P136" s="132">
        <f t="shared" si="29"/>
        <v>0.92630385487528344</v>
      </c>
      <c r="Q136" s="132">
        <f t="shared" si="30"/>
        <v>0.987129266927812</v>
      </c>
      <c r="R136" s="129">
        <v>3574</v>
      </c>
      <c r="S136" s="133">
        <f t="shared" si="31"/>
        <v>46</v>
      </c>
      <c r="T136" s="129">
        <v>3528</v>
      </c>
      <c r="U136" s="129">
        <v>3268</v>
      </c>
      <c r="V136" s="129">
        <f t="shared" si="32"/>
        <v>260</v>
      </c>
      <c r="W136" s="20"/>
      <c r="X136" s="20"/>
      <c r="Y136" s="45">
        <v>2003</v>
      </c>
      <c r="Z136" s="48" t="s">
        <v>48</v>
      </c>
      <c r="AA136" s="35">
        <f t="shared" si="33"/>
        <v>0.90380761523046094</v>
      </c>
      <c r="AB136" s="35">
        <f t="shared" si="34"/>
        <v>0.91791044776119401</v>
      </c>
      <c r="AC136" s="35">
        <f t="shared" si="35"/>
        <v>0.9846359385437542</v>
      </c>
      <c r="AD136" s="20">
        <v>1497</v>
      </c>
      <c r="AE136" s="20">
        <f t="shared" si="36"/>
        <v>23</v>
      </c>
      <c r="AF136" s="20">
        <v>1474</v>
      </c>
      <c r="AG136" s="20">
        <v>1353</v>
      </c>
      <c r="AH136" s="20">
        <f t="shared" si="37"/>
        <v>121</v>
      </c>
      <c r="AI136" s="20"/>
      <c r="AJ136" s="20"/>
      <c r="AK136" s="45">
        <v>2003</v>
      </c>
      <c r="AL136" s="48" t="s">
        <v>48</v>
      </c>
      <c r="AM136" s="35">
        <f t="shared" si="38"/>
        <v>0.91846718304117403</v>
      </c>
      <c r="AN136" s="35">
        <f t="shared" si="39"/>
        <v>0.94743481917577799</v>
      </c>
      <c r="AO136" s="35">
        <f t="shared" si="40"/>
        <v>0.96942519364044033</v>
      </c>
      <c r="AP136" s="20">
        <v>4906</v>
      </c>
      <c r="AQ136" s="27">
        <f t="shared" si="41"/>
        <v>150</v>
      </c>
      <c r="AR136" s="20">
        <v>4756</v>
      </c>
      <c r="AS136" s="20">
        <v>4506</v>
      </c>
      <c r="AT136" s="20">
        <f t="shared" si="42"/>
        <v>250</v>
      </c>
      <c r="AU136" s="20"/>
      <c r="AV136" s="20"/>
      <c r="AW136" s="45">
        <v>2003</v>
      </c>
      <c r="AX136" s="48" t="s">
        <v>48</v>
      </c>
      <c r="AY136" s="35">
        <f t="shared" si="43"/>
        <v>0.8037037037037037</v>
      </c>
      <c r="AZ136" s="35">
        <f t="shared" si="44"/>
        <v>0.94967177242888401</v>
      </c>
      <c r="BA136" s="35">
        <f t="shared" si="45"/>
        <v>0.84629629629629632</v>
      </c>
      <c r="BB136" s="20">
        <v>540</v>
      </c>
      <c r="BC136" s="27">
        <f t="shared" si="46"/>
        <v>83</v>
      </c>
      <c r="BD136" s="20">
        <v>457</v>
      </c>
      <c r="BE136" s="20">
        <v>434</v>
      </c>
      <c r="BF136" s="20">
        <f t="shared" si="47"/>
        <v>23</v>
      </c>
      <c r="BG136" s="20"/>
      <c r="BH136" s="20"/>
      <c r="BI136" s="45">
        <v>2003</v>
      </c>
      <c r="BJ136" s="48" t="s">
        <v>48</v>
      </c>
      <c r="BK136" s="35">
        <f t="shared" si="48"/>
        <v>0.78891013384321229</v>
      </c>
      <c r="BL136" s="35">
        <f t="shared" si="49"/>
        <v>0.82191235059760959</v>
      </c>
      <c r="BM136" s="35">
        <f t="shared" si="50"/>
        <v>0.95984703632887192</v>
      </c>
      <c r="BN136" s="20">
        <v>2615</v>
      </c>
      <c r="BO136" s="27">
        <f t="shared" si="51"/>
        <v>105</v>
      </c>
      <c r="BP136" s="20">
        <v>2510</v>
      </c>
      <c r="BQ136" s="20">
        <v>2063</v>
      </c>
      <c r="BR136" s="20">
        <f t="shared" si="52"/>
        <v>447</v>
      </c>
      <c r="BS136" s="20"/>
      <c r="BT136" s="20"/>
      <c r="BU136" s="45">
        <v>2003</v>
      </c>
      <c r="BV136" s="48" t="s">
        <v>48</v>
      </c>
      <c r="BW136" s="35">
        <f t="shared" si="53"/>
        <v>0.863653483992467</v>
      </c>
      <c r="BX136" s="35">
        <f t="shared" si="54"/>
        <v>0.89500390320062451</v>
      </c>
      <c r="BY136" s="35">
        <f t="shared" si="55"/>
        <v>0.96497175141242941</v>
      </c>
      <c r="BZ136" s="20">
        <v>2655</v>
      </c>
      <c r="CA136" s="27">
        <f t="shared" si="56"/>
        <v>93</v>
      </c>
      <c r="CB136" s="20">
        <v>2562</v>
      </c>
      <c r="CC136" s="20">
        <v>2293</v>
      </c>
      <c r="CD136" s="20">
        <f t="shared" si="57"/>
        <v>269</v>
      </c>
      <c r="CE136" s="20"/>
      <c r="CF136" s="20"/>
      <c r="CG136" s="45">
        <v>2003</v>
      </c>
      <c r="CH136" s="48" t="s">
        <v>48</v>
      </c>
      <c r="CI136" s="35">
        <f t="shared" si="58"/>
        <v>0.93512767425810905</v>
      </c>
      <c r="CJ136" s="35">
        <f t="shared" si="59"/>
        <v>0.98832968636032092</v>
      </c>
      <c r="CK136" s="35">
        <f t="shared" si="60"/>
        <v>0.94616977225672882</v>
      </c>
      <c r="CL136" s="20">
        <v>1449</v>
      </c>
      <c r="CM136" s="20">
        <f t="shared" si="61"/>
        <v>78</v>
      </c>
      <c r="CN136" s="20">
        <v>1371</v>
      </c>
      <c r="CO136" s="20">
        <v>1355</v>
      </c>
      <c r="CP136" s="20">
        <f t="shared" si="62"/>
        <v>16</v>
      </c>
      <c r="CQ136" s="20"/>
      <c r="CR136" s="20"/>
      <c r="CS136" s="45">
        <v>2003</v>
      </c>
      <c r="CT136" s="48" t="s">
        <v>48</v>
      </c>
      <c r="CU136" s="35">
        <f t="shared" si="63"/>
        <v>3.2743362831858407E-2</v>
      </c>
      <c r="CV136" s="35">
        <f t="shared" si="64"/>
        <v>3.9827771797631861E-2</v>
      </c>
      <c r="CW136" s="35">
        <f t="shared" si="65"/>
        <v>0.8221238938053097</v>
      </c>
      <c r="CX136" s="20">
        <v>1130</v>
      </c>
      <c r="CY136" s="27">
        <f t="shared" si="66"/>
        <v>201</v>
      </c>
      <c r="CZ136" s="20">
        <v>929</v>
      </c>
      <c r="DA136" s="20">
        <v>37</v>
      </c>
      <c r="DB136" s="20">
        <f t="shared" si="67"/>
        <v>892</v>
      </c>
      <c r="DC136" s="20"/>
      <c r="DD136" s="20"/>
      <c r="DE136" s="45">
        <v>2003</v>
      </c>
      <c r="DF136" s="48" t="s">
        <v>48</v>
      </c>
      <c r="DG136" s="35">
        <f t="shared" si="68"/>
        <v>0.9126050420168067</v>
      </c>
      <c r="DH136" s="35">
        <f t="shared" si="69"/>
        <v>0.95430579964850615</v>
      </c>
      <c r="DI136" s="35">
        <f t="shared" si="70"/>
        <v>0.95630252100840341</v>
      </c>
      <c r="DJ136" s="20">
        <v>1190</v>
      </c>
      <c r="DK136" s="27">
        <f t="shared" si="71"/>
        <v>52</v>
      </c>
      <c r="DL136" s="20">
        <v>1138</v>
      </c>
      <c r="DM136" s="20">
        <v>1086</v>
      </c>
      <c r="DN136" s="20">
        <f t="shared" si="72"/>
        <v>52</v>
      </c>
      <c r="DO136" s="20"/>
      <c r="DP136" s="20"/>
      <c r="DQ136" s="45"/>
      <c r="DR136" s="48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</row>
    <row r="137" spans="1:132" s="29" customFormat="1" ht="12.75">
      <c r="A137" s="46">
        <v>2003</v>
      </c>
      <c r="B137" s="47" t="s">
        <v>49</v>
      </c>
      <c r="C137" s="35">
        <f t="shared" si="73"/>
        <v>0.81000347342827372</v>
      </c>
      <c r="D137" s="35">
        <f t="shared" si="74"/>
        <v>0.8665463424992037</v>
      </c>
      <c r="E137" s="35">
        <f t="shared" si="75"/>
        <v>0.93474916885823456</v>
      </c>
      <c r="F1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G137" s="20">
        <f t="shared" si="76"/>
        <v>1315</v>
      </c>
      <c r="H1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18838</v>
      </c>
      <c r="I1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16324</v>
      </c>
      <c r="J137" s="20">
        <f t="shared" si="77"/>
        <v>2514</v>
      </c>
      <c r="K137" s="20"/>
      <c r="L137" s="20"/>
      <c r="M137" s="134">
        <v>2003</v>
      </c>
      <c r="N137" s="135" t="s">
        <v>49</v>
      </c>
      <c r="O137" s="132">
        <f t="shared" si="28"/>
        <v>0.87785636561479874</v>
      </c>
      <c r="P137" s="132">
        <f t="shared" si="29"/>
        <v>0.89514563106796119</v>
      </c>
      <c r="Q137" s="132">
        <f t="shared" si="30"/>
        <v>0.98068552774755169</v>
      </c>
      <c r="R137" s="129">
        <v>3676</v>
      </c>
      <c r="S137" s="133">
        <f t="shared" si="31"/>
        <v>71</v>
      </c>
      <c r="T137" s="129">
        <v>3605</v>
      </c>
      <c r="U137" s="129">
        <v>3227</v>
      </c>
      <c r="V137" s="129">
        <f t="shared" si="32"/>
        <v>378</v>
      </c>
      <c r="W137" s="20"/>
      <c r="X137" s="20"/>
      <c r="Y137" s="46">
        <v>2003</v>
      </c>
      <c r="Z137" s="47" t="s">
        <v>49</v>
      </c>
      <c r="AA137" s="35">
        <f t="shared" si="33"/>
        <v>0.8817766165904638</v>
      </c>
      <c r="AB137" s="35">
        <f t="shared" si="34"/>
        <v>0.9196185286103542</v>
      </c>
      <c r="AC137" s="35">
        <f t="shared" si="35"/>
        <v>0.95885042455911174</v>
      </c>
      <c r="AD137" s="20">
        <v>1531</v>
      </c>
      <c r="AE137" s="20">
        <f t="shared" si="36"/>
        <v>63</v>
      </c>
      <c r="AF137" s="20">
        <v>1468</v>
      </c>
      <c r="AG137" s="20">
        <v>1350</v>
      </c>
      <c r="AH137" s="20">
        <f t="shared" si="37"/>
        <v>118</v>
      </c>
      <c r="AI137" s="20"/>
      <c r="AJ137" s="20"/>
      <c r="AK137" s="46">
        <v>2003</v>
      </c>
      <c r="AL137" s="47" t="s">
        <v>49</v>
      </c>
      <c r="AM137" s="35">
        <f t="shared" si="38"/>
        <v>0.88701350277998414</v>
      </c>
      <c r="AN137" s="35">
        <f t="shared" si="39"/>
        <v>0.92160099030328035</v>
      </c>
      <c r="AO137" s="35">
        <f t="shared" si="40"/>
        <v>0.96247021445591741</v>
      </c>
      <c r="AP137" s="20">
        <v>5036</v>
      </c>
      <c r="AQ137" s="27">
        <f t="shared" si="41"/>
        <v>189</v>
      </c>
      <c r="AR137" s="20">
        <v>4847</v>
      </c>
      <c r="AS137" s="20">
        <v>4467</v>
      </c>
      <c r="AT137" s="20">
        <f t="shared" si="42"/>
        <v>380</v>
      </c>
      <c r="AU137" s="20"/>
      <c r="AV137" s="20"/>
      <c r="AW137" s="46">
        <v>2003</v>
      </c>
      <c r="AX137" s="47" t="s">
        <v>49</v>
      </c>
      <c r="AY137" s="35">
        <f t="shared" si="43"/>
        <v>0.74426807760141089</v>
      </c>
      <c r="AZ137" s="35">
        <f t="shared" si="44"/>
        <v>0.91938997821350765</v>
      </c>
      <c r="BA137" s="35">
        <f t="shared" si="45"/>
        <v>0.80952380952380953</v>
      </c>
      <c r="BB137" s="20">
        <v>567</v>
      </c>
      <c r="BC137" s="27">
        <f t="shared" si="46"/>
        <v>108</v>
      </c>
      <c r="BD137" s="20">
        <v>459</v>
      </c>
      <c r="BE137" s="20">
        <v>422</v>
      </c>
      <c r="BF137" s="20">
        <f t="shared" si="47"/>
        <v>37</v>
      </c>
      <c r="BG137" s="20"/>
      <c r="BH137" s="20"/>
      <c r="BI137" s="46">
        <v>2003</v>
      </c>
      <c r="BJ137" s="47" t="s">
        <v>49</v>
      </c>
      <c r="BK137" s="35">
        <f t="shared" si="48"/>
        <v>0.8276627218934911</v>
      </c>
      <c r="BL137" s="35">
        <f t="shared" si="49"/>
        <v>0.8558317399617591</v>
      </c>
      <c r="BM137" s="35">
        <f t="shared" si="50"/>
        <v>0.96708579881656809</v>
      </c>
      <c r="BN137" s="20">
        <v>2704</v>
      </c>
      <c r="BO137" s="27">
        <f t="shared" si="51"/>
        <v>89</v>
      </c>
      <c r="BP137" s="20">
        <v>2615</v>
      </c>
      <c r="BQ137" s="20">
        <v>2238</v>
      </c>
      <c r="BR137" s="20">
        <f t="shared" si="52"/>
        <v>377</v>
      </c>
      <c r="BS137" s="20"/>
      <c r="BT137" s="20"/>
      <c r="BU137" s="46">
        <v>2003</v>
      </c>
      <c r="BV137" s="47" t="s">
        <v>49</v>
      </c>
      <c r="BW137" s="35">
        <f t="shared" si="53"/>
        <v>0.84777858703568831</v>
      </c>
      <c r="BX137" s="35">
        <f t="shared" si="54"/>
        <v>0.88382687927107062</v>
      </c>
      <c r="BY137" s="35">
        <f t="shared" si="55"/>
        <v>0.95921340131099786</v>
      </c>
      <c r="BZ137" s="20">
        <v>2746</v>
      </c>
      <c r="CA137" s="27">
        <f t="shared" si="56"/>
        <v>112</v>
      </c>
      <c r="CB137" s="20">
        <v>2634</v>
      </c>
      <c r="CC137" s="20">
        <v>2328</v>
      </c>
      <c r="CD137" s="20">
        <f t="shared" si="57"/>
        <v>306</v>
      </c>
      <c r="CE137" s="20"/>
      <c r="CF137" s="20"/>
      <c r="CG137" s="46">
        <v>2003</v>
      </c>
      <c r="CH137" s="47" t="s">
        <v>49</v>
      </c>
      <c r="CI137" s="35">
        <f t="shared" si="58"/>
        <v>0.8252168112074717</v>
      </c>
      <c r="CJ137" s="35">
        <f t="shared" si="59"/>
        <v>0.96339563862928346</v>
      </c>
      <c r="CK137" s="35">
        <f t="shared" si="60"/>
        <v>0.85657104736490997</v>
      </c>
      <c r="CL137" s="20">
        <v>1499</v>
      </c>
      <c r="CM137" s="20">
        <f t="shared" si="61"/>
        <v>215</v>
      </c>
      <c r="CN137" s="20">
        <v>1284</v>
      </c>
      <c r="CO137" s="20">
        <v>1237</v>
      </c>
      <c r="CP137" s="20">
        <f t="shared" si="62"/>
        <v>47</v>
      </c>
      <c r="CQ137" s="20"/>
      <c r="CR137" s="20"/>
      <c r="CS137" s="46">
        <v>2003</v>
      </c>
      <c r="CT137" s="47" t="s">
        <v>49</v>
      </c>
      <c r="CU137" s="35">
        <f t="shared" si="63"/>
        <v>1.2006861063464836E-2</v>
      </c>
      <c r="CV137" s="35">
        <f t="shared" si="64"/>
        <v>1.7971758664955071E-2</v>
      </c>
      <c r="CW137" s="35">
        <f t="shared" si="65"/>
        <v>0.66809605488850776</v>
      </c>
      <c r="CX137" s="20">
        <v>1166</v>
      </c>
      <c r="CY137" s="27">
        <f t="shared" si="66"/>
        <v>387</v>
      </c>
      <c r="CZ137" s="20">
        <v>779</v>
      </c>
      <c r="DA137" s="20">
        <v>14</v>
      </c>
      <c r="DB137" s="20">
        <f t="shared" si="67"/>
        <v>765</v>
      </c>
      <c r="DC137" s="20"/>
      <c r="DD137" s="20"/>
      <c r="DE137" s="46">
        <v>2003</v>
      </c>
      <c r="DF137" s="47" t="s">
        <v>49</v>
      </c>
      <c r="DG137" s="35">
        <f t="shared" si="68"/>
        <v>0.84771986970684043</v>
      </c>
      <c r="DH137" s="35">
        <f t="shared" si="69"/>
        <v>0.90758500435919787</v>
      </c>
      <c r="DI137" s="35">
        <f t="shared" si="70"/>
        <v>0.93403908794788271</v>
      </c>
      <c r="DJ137" s="20">
        <v>1228</v>
      </c>
      <c r="DK137" s="27">
        <f t="shared" si="71"/>
        <v>81</v>
      </c>
      <c r="DL137" s="20">
        <v>1147</v>
      </c>
      <c r="DM137" s="20">
        <v>1041</v>
      </c>
      <c r="DN137" s="20">
        <f t="shared" si="72"/>
        <v>106</v>
      </c>
      <c r="DO137" s="20"/>
      <c r="DP137" s="20"/>
      <c r="DQ137" s="46"/>
      <c r="DR137" s="47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</row>
    <row r="138" spans="1:132" s="29" customFormat="1" ht="12.75">
      <c r="A138" s="45">
        <v>2004</v>
      </c>
      <c r="B138" s="48" t="s">
        <v>38</v>
      </c>
      <c r="C138" s="35">
        <f t="shared" si="73"/>
        <v>0.82744169994576744</v>
      </c>
      <c r="D138" s="35">
        <f t="shared" si="74"/>
        <v>0.88266540443883457</v>
      </c>
      <c r="E138" s="35">
        <f t="shared" si="75"/>
        <v>0.93743529063747966</v>
      </c>
      <c r="F1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38" s="20">
        <f t="shared" si="76"/>
        <v>1269</v>
      </c>
      <c r="H1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19014</v>
      </c>
      <c r="I1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16783</v>
      </c>
      <c r="J138" s="20">
        <f t="shared" si="77"/>
        <v>2231</v>
      </c>
      <c r="K138" s="20"/>
      <c r="L138" s="20"/>
      <c r="M138" s="130">
        <v>2004</v>
      </c>
      <c r="N138" s="131" t="s">
        <v>38</v>
      </c>
      <c r="O138" s="132">
        <f t="shared" si="28"/>
        <v>0.89499192245557346</v>
      </c>
      <c r="P138" s="132">
        <f t="shared" si="29"/>
        <v>0.9251322015029223</v>
      </c>
      <c r="Q138" s="132">
        <f t="shared" si="30"/>
        <v>0.96742057081313948</v>
      </c>
      <c r="R138" s="129">
        <v>3714</v>
      </c>
      <c r="S138" s="133">
        <f t="shared" si="31"/>
        <v>121</v>
      </c>
      <c r="T138" s="129">
        <v>3593</v>
      </c>
      <c r="U138" s="129">
        <v>3324</v>
      </c>
      <c r="V138" s="129">
        <f t="shared" si="32"/>
        <v>269</v>
      </c>
      <c r="W138" s="20"/>
      <c r="X138" s="20"/>
      <c r="Y138" s="45">
        <v>2004</v>
      </c>
      <c r="Z138" s="48" t="s">
        <v>38</v>
      </c>
      <c r="AA138" s="35">
        <f t="shared" si="33"/>
        <v>0.92387096774193544</v>
      </c>
      <c r="AB138" s="35">
        <f t="shared" si="34"/>
        <v>0.92926670992861782</v>
      </c>
      <c r="AC138" s="35">
        <f t="shared" si="35"/>
        <v>0.99419354838709673</v>
      </c>
      <c r="AD138" s="20">
        <v>1550</v>
      </c>
      <c r="AE138" s="20">
        <f t="shared" si="36"/>
        <v>9</v>
      </c>
      <c r="AF138" s="20">
        <v>1541</v>
      </c>
      <c r="AG138" s="20">
        <v>1432</v>
      </c>
      <c r="AH138" s="20">
        <f t="shared" si="37"/>
        <v>109</v>
      </c>
      <c r="AI138" s="20"/>
      <c r="AJ138" s="20"/>
      <c r="AK138" s="45">
        <v>2004</v>
      </c>
      <c r="AL138" s="48" t="s">
        <v>38</v>
      </c>
      <c r="AM138" s="35">
        <f t="shared" si="38"/>
        <v>0.89842829076620823</v>
      </c>
      <c r="AN138" s="35">
        <f t="shared" si="39"/>
        <v>0.93022782750203414</v>
      </c>
      <c r="AO138" s="35">
        <f t="shared" si="40"/>
        <v>0.96581532416502947</v>
      </c>
      <c r="AP138" s="20">
        <v>5090</v>
      </c>
      <c r="AQ138" s="27">
        <f t="shared" si="41"/>
        <v>174</v>
      </c>
      <c r="AR138" s="20">
        <v>4916</v>
      </c>
      <c r="AS138" s="20">
        <v>4573</v>
      </c>
      <c r="AT138" s="20">
        <f t="shared" si="42"/>
        <v>343</v>
      </c>
      <c r="AU138" s="20"/>
      <c r="AV138" s="20"/>
      <c r="AW138" s="45">
        <v>2004</v>
      </c>
      <c r="AX138" s="48" t="s">
        <v>38</v>
      </c>
      <c r="AY138" s="35">
        <f t="shared" si="43"/>
        <v>0.63492063492063489</v>
      </c>
      <c r="AZ138" s="35">
        <f t="shared" si="44"/>
        <v>0.93264248704663211</v>
      </c>
      <c r="BA138" s="35">
        <f t="shared" si="45"/>
        <v>0.6807760141093474</v>
      </c>
      <c r="BB138" s="20">
        <v>567</v>
      </c>
      <c r="BC138" s="27">
        <f t="shared" si="46"/>
        <v>181</v>
      </c>
      <c r="BD138" s="20">
        <v>386</v>
      </c>
      <c r="BE138" s="20">
        <v>360</v>
      </c>
      <c r="BF138" s="20">
        <f t="shared" si="47"/>
        <v>26</v>
      </c>
      <c r="BG138" s="20"/>
      <c r="BH138" s="20"/>
      <c r="BI138" s="45">
        <v>2004</v>
      </c>
      <c r="BJ138" s="48" t="s">
        <v>38</v>
      </c>
      <c r="BK138" s="35">
        <f t="shared" si="48"/>
        <v>0.85023976392475098</v>
      </c>
      <c r="BL138" s="35">
        <f t="shared" si="49"/>
        <v>0.88314176245210729</v>
      </c>
      <c r="BM138" s="35">
        <f t="shared" si="50"/>
        <v>0.96274437476945773</v>
      </c>
      <c r="BN138" s="20">
        <v>2711</v>
      </c>
      <c r="BO138" s="27">
        <f t="shared" si="51"/>
        <v>101</v>
      </c>
      <c r="BP138" s="20">
        <v>2610</v>
      </c>
      <c r="BQ138" s="20">
        <v>2305</v>
      </c>
      <c r="BR138" s="20">
        <f t="shared" si="52"/>
        <v>305</v>
      </c>
      <c r="BS138" s="20"/>
      <c r="BT138" s="20"/>
      <c r="BU138" s="45">
        <v>2004</v>
      </c>
      <c r="BV138" s="48" t="s">
        <v>38</v>
      </c>
      <c r="BW138" s="35">
        <f t="shared" si="53"/>
        <v>0.86695747001090517</v>
      </c>
      <c r="BX138" s="35">
        <f t="shared" si="54"/>
        <v>0.90136054421768708</v>
      </c>
      <c r="BY138" s="35">
        <f t="shared" si="55"/>
        <v>0.96183206106870234</v>
      </c>
      <c r="BZ138" s="20">
        <v>2751</v>
      </c>
      <c r="CA138" s="27">
        <f t="shared" si="56"/>
        <v>105</v>
      </c>
      <c r="CB138" s="20">
        <v>2646</v>
      </c>
      <c r="CC138" s="20">
        <v>2385</v>
      </c>
      <c r="CD138" s="20">
        <f t="shared" si="57"/>
        <v>261</v>
      </c>
      <c r="CE138" s="20"/>
      <c r="CF138" s="20"/>
      <c r="CG138" s="45">
        <v>2004</v>
      </c>
      <c r="CH138" s="48" t="s">
        <v>38</v>
      </c>
      <c r="CI138" s="35">
        <f t="shared" si="58"/>
        <v>0.86884154460719043</v>
      </c>
      <c r="CJ138" s="35">
        <f t="shared" si="59"/>
        <v>0.96168017686072216</v>
      </c>
      <c r="CK138" s="35">
        <f t="shared" si="60"/>
        <v>0.90346205059920104</v>
      </c>
      <c r="CL138" s="20">
        <v>1502</v>
      </c>
      <c r="CM138" s="20">
        <f t="shared" si="61"/>
        <v>145</v>
      </c>
      <c r="CN138" s="20">
        <v>1357</v>
      </c>
      <c r="CO138" s="20">
        <v>1305</v>
      </c>
      <c r="CP138" s="20">
        <f t="shared" si="62"/>
        <v>52</v>
      </c>
      <c r="CQ138" s="20"/>
      <c r="CR138" s="20"/>
      <c r="CS138" s="45">
        <v>2004</v>
      </c>
      <c r="CT138" s="48" t="s">
        <v>38</v>
      </c>
      <c r="CU138" s="35">
        <f t="shared" si="63"/>
        <v>7.7054794520547941E-3</v>
      </c>
      <c r="CV138" s="35">
        <f t="shared" si="64"/>
        <v>1.1597938144329897E-2</v>
      </c>
      <c r="CW138" s="35">
        <f t="shared" si="65"/>
        <v>0.66438356164383561</v>
      </c>
      <c r="CX138" s="20">
        <v>1168</v>
      </c>
      <c r="CY138" s="27">
        <f t="shared" si="66"/>
        <v>392</v>
      </c>
      <c r="CZ138" s="20">
        <v>776</v>
      </c>
      <c r="DA138" s="20">
        <v>9</v>
      </c>
      <c r="DB138" s="20">
        <f t="shared" si="67"/>
        <v>767</v>
      </c>
      <c r="DC138" s="20"/>
      <c r="DD138" s="20"/>
      <c r="DE138" s="45">
        <v>2004</v>
      </c>
      <c r="DF138" s="48" t="s">
        <v>38</v>
      </c>
      <c r="DG138" s="35">
        <f t="shared" si="68"/>
        <v>0.88617886178861793</v>
      </c>
      <c r="DH138" s="35">
        <f t="shared" si="69"/>
        <v>0.91673675357443229</v>
      </c>
      <c r="DI138" s="35">
        <f t="shared" si="70"/>
        <v>0.96666666666666667</v>
      </c>
      <c r="DJ138" s="20">
        <v>1230</v>
      </c>
      <c r="DK138" s="27">
        <f t="shared" si="71"/>
        <v>41</v>
      </c>
      <c r="DL138" s="20">
        <v>1189</v>
      </c>
      <c r="DM138" s="20">
        <v>1090</v>
      </c>
      <c r="DN138" s="20">
        <f t="shared" si="72"/>
        <v>99</v>
      </c>
      <c r="DO138" s="20"/>
      <c r="DP138" s="20"/>
      <c r="DQ138" s="45"/>
      <c r="DR138" s="48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</row>
    <row r="139" spans="1:132" s="29" customFormat="1" ht="12.75">
      <c r="A139" s="46">
        <v>2004</v>
      </c>
      <c r="B139" s="47" t="s">
        <v>39</v>
      </c>
      <c r="C139" s="35">
        <f t="shared" si="73"/>
        <v>0.80314919163726373</v>
      </c>
      <c r="D139" s="35">
        <f t="shared" si="74"/>
        <v>0.8637856819211599</v>
      </c>
      <c r="E139" s="35">
        <f t="shared" si="75"/>
        <v>0.92980146400547681</v>
      </c>
      <c r="F1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18989</v>
      </c>
      <c r="G139" s="20">
        <f t="shared" si="76"/>
        <v>1333</v>
      </c>
      <c r="H1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17656</v>
      </c>
      <c r="I1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15251</v>
      </c>
      <c r="J139" s="20">
        <f t="shared" si="77"/>
        <v>2405</v>
      </c>
      <c r="K139" s="20"/>
      <c r="L139" s="20"/>
      <c r="M139" s="134">
        <v>2004</v>
      </c>
      <c r="N139" s="135" t="s">
        <v>39</v>
      </c>
      <c r="O139" s="132">
        <f t="shared" si="28"/>
        <v>0.86428982173663027</v>
      </c>
      <c r="P139" s="132">
        <f t="shared" si="29"/>
        <v>0.89145907473309605</v>
      </c>
      <c r="Q139" s="132">
        <f t="shared" si="30"/>
        <v>0.96952271420356528</v>
      </c>
      <c r="R139" s="129">
        <v>3478</v>
      </c>
      <c r="S139" s="133">
        <f t="shared" si="31"/>
        <v>106</v>
      </c>
      <c r="T139" s="129">
        <v>3372</v>
      </c>
      <c r="U139" s="129">
        <v>3006</v>
      </c>
      <c r="V139" s="129">
        <f t="shared" si="32"/>
        <v>366</v>
      </c>
      <c r="W139" s="20"/>
      <c r="X139" s="20"/>
      <c r="Y139" s="46">
        <v>2004</v>
      </c>
      <c r="Z139" s="47" t="s">
        <v>39</v>
      </c>
      <c r="AA139" s="35">
        <f t="shared" si="33"/>
        <v>0.9140679140679141</v>
      </c>
      <c r="AB139" s="35">
        <f t="shared" si="34"/>
        <v>0.92691496837666898</v>
      </c>
      <c r="AC139" s="35">
        <f t="shared" si="35"/>
        <v>0.9861399861399861</v>
      </c>
      <c r="AD139" s="20">
        <v>1443</v>
      </c>
      <c r="AE139" s="20">
        <f t="shared" si="36"/>
        <v>20</v>
      </c>
      <c r="AF139" s="20">
        <v>1423</v>
      </c>
      <c r="AG139" s="20">
        <v>1319</v>
      </c>
      <c r="AH139" s="20">
        <f t="shared" si="37"/>
        <v>104</v>
      </c>
      <c r="AI139" s="20"/>
      <c r="AJ139" s="20"/>
      <c r="AK139" s="46">
        <v>2004</v>
      </c>
      <c r="AL139" s="47" t="s">
        <v>39</v>
      </c>
      <c r="AM139" s="35">
        <f t="shared" si="38"/>
        <v>0.86690496215306978</v>
      </c>
      <c r="AN139" s="35">
        <f t="shared" si="39"/>
        <v>0.90139921294271974</v>
      </c>
      <c r="AO139" s="35">
        <f t="shared" si="40"/>
        <v>0.96173254835996635</v>
      </c>
      <c r="AP139" s="20">
        <v>4756</v>
      </c>
      <c r="AQ139" s="27">
        <f t="shared" si="41"/>
        <v>182</v>
      </c>
      <c r="AR139" s="20">
        <v>4574</v>
      </c>
      <c r="AS139" s="20">
        <v>4123</v>
      </c>
      <c r="AT139" s="20">
        <f t="shared" si="42"/>
        <v>451</v>
      </c>
      <c r="AU139" s="20"/>
      <c r="AV139" s="20"/>
      <c r="AW139" s="46">
        <v>2004</v>
      </c>
      <c r="AX139" s="47" t="s">
        <v>39</v>
      </c>
      <c r="AY139" s="35">
        <f t="shared" si="43"/>
        <v>0.62037037037037035</v>
      </c>
      <c r="AZ139" s="35">
        <f t="shared" si="44"/>
        <v>0.8885941644562334</v>
      </c>
      <c r="BA139" s="35">
        <f t="shared" si="45"/>
        <v>0.69814814814814818</v>
      </c>
      <c r="BB139" s="20">
        <v>540</v>
      </c>
      <c r="BC139" s="27">
        <f t="shared" si="46"/>
        <v>163</v>
      </c>
      <c r="BD139" s="20">
        <v>377</v>
      </c>
      <c r="BE139" s="20">
        <v>335</v>
      </c>
      <c r="BF139" s="20">
        <f t="shared" si="47"/>
        <v>42</v>
      </c>
      <c r="BG139" s="20"/>
      <c r="BH139" s="20"/>
      <c r="BI139" s="46">
        <v>2004</v>
      </c>
      <c r="BJ139" s="47" t="s">
        <v>39</v>
      </c>
      <c r="BK139" s="35">
        <f t="shared" si="48"/>
        <v>0.82494099134539733</v>
      </c>
      <c r="BL139" s="35">
        <f t="shared" si="49"/>
        <v>0.86796357615894038</v>
      </c>
      <c r="BM139" s="35">
        <f t="shared" si="50"/>
        <v>0.95043273013375296</v>
      </c>
      <c r="BN139" s="20">
        <v>2542</v>
      </c>
      <c r="BO139" s="27">
        <f t="shared" si="51"/>
        <v>126</v>
      </c>
      <c r="BP139" s="20">
        <v>2416</v>
      </c>
      <c r="BQ139" s="20">
        <v>2097</v>
      </c>
      <c r="BR139" s="20">
        <f t="shared" si="52"/>
        <v>319</v>
      </c>
      <c r="BS139" s="20"/>
      <c r="BT139" s="20"/>
      <c r="BU139" s="46">
        <v>2004</v>
      </c>
      <c r="BV139" s="47" t="s">
        <v>39</v>
      </c>
      <c r="BW139" s="35">
        <f t="shared" si="53"/>
        <v>0.8290034897246995</v>
      </c>
      <c r="BX139" s="35">
        <f t="shared" si="54"/>
        <v>0.88824262567511425</v>
      </c>
      <c r="BY139" s="35">
        <f t="shared" si="55"/>
        <v>0.93330748352074444</v>
      </c>
      <c r="BZ139" s="20">
        <v>2579</v>
      </c>
      <c r="CA139" s="27">
        <f t="shared" si="56"/>
        <v>172</v>
      </c>
      <c r="CB139" s="20">
        <v>2407</v>
      </c>
      <c r="CC139" s="20">
        <v>2138</v>
      </c>
      <c r="CD139" s="20">
        <f t="shared" si="57"/>
        <v>269</v>
      </c>
      <c r="CE139" s="20"/>
      <c r="CF139" s="20"/>
      <c r="CG139" s="46">
        <v>2004</v>
      </c>
      <c r="CH139" s="47" t="s">
        <v>39</v>
      </c>
      <c r="CI139" s="35">
        <f t="shared" si="58"/>
        <v>0.89354151880766497</v>
      </c>
      <c r="CJ139" s="35">
        <f t="shared" si="59"/>
        <v>0.98590446358653094</v>
      </c>
      <c r="CK139" s="35">
        <f t="shared" si="60"/>
        <v>0.90631653655074518</v>
      </c>
      <c r="CL139" s="20">
        <v>1409</v>
      </c>
      <c r="CM139" s="20">
        <f t="shared" si="61"/>
        <v>132</v>
      </c>
      <c r="CN139" s="20">
        <v>1277</v>
      </c>
      <c r="CO139" s="20">
        <v>1259</v>
      </c>
      <c r="CP139" s="20">
        <f t="shared" si="62"/>
        <v>18</v>
      </c>
      <c r="CQ139" s="20"/>
      <c r="CR139" s="20"/>
      <c r="CS139" s="46">
        <v>2004</v>
      </c>
      <c r="CT139" s="47" t="s">
        <v>39</v>
      </c>
      <c r="CU139" s="35">
        <f t="shared" si="63"/>
        <v>2.3809523809523808E-2</v>
      </c>
      <c r="CV139" s="35">
        <f t="shared" si="64"/>
        <v>3.5470668485675309E-2</v>
      </c>
      <c r="CW139" s="35">
        <f t="shared" si="65"/>
        <v>0.67124542124542119</v>
      </c>
      <c r="CX139" s="20">
        <v>1092</v>
      </c>
      <c r="CY139" s="27">
        <f t="shared" si="66"/>
        <v>359</v>
      </c>
      <c r="CZ139" s="20">
        <v>733</v>
      </c>
      <c r="DA139" s="20">
        <v>26</v>
      </c>
      <c r="DB139" s="20">
        <f t="shared" si="67"/>
        <v>707</v>
      </c>
      <c r="DC139" s="20"/>
      <c r="DD139" s="20"/>
      <c r="DE139" s="46">
        <v>2004</v>
      </c>
      <c r="DF139" s="47" t="s">
        <v>39</v>
      </c>
      <c r="DG139" s="35">
        <f t="shared" si="68"/>
        <v>0.82434782608695656</v>
      </c>
      <c r="DH139" s="35">
        <f t="shared" si="69"/>
        <v>0.88022284122562677</v>
      </c>
      <c r="DI139" s="35">
        <f t="shared" si="70"/>
        <v>0.93652173913043479</v>
      </c>
      <c r="DJ139" s="20">
        <v>1150</v>
      </c>
      <c r="DK139" s="27">
        <f t="shared" si="71"/>
        <v>73</v>
      </c>
      <c r="DL139" s="20">
        <v>1077</v>
      </c>
      <c r="DM139" s="20">
        <v>948</v>
      </c>
      <c r="DN139" s="20">
        <f t="shared" si="72"/>
        <v>129</v>
      </c>
      <c r="DO139" s="20"/>
      <c r="DP139" s="20"/>
      <c r="DQ139" s="46"/>
      <c r="DR139" s="47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</row>
    <row r="140" spans="1:132" s="29" customFormat="1" ht="12.75">
      <c r="A140" s="45">
        <v>2004</v>
      </c>
      <c r="B140" s="48" t="s">
        <v>40</v>
      </c>
      <c r="C140" s="35">
        <f t="shared" si="73"/>
        <v>0.79673934015049197</v>
      </c>
      <c r="D140" s="35">
        <f t="shared" si="74"/>
        <v>0.84738111116811166</v>
      </c>
      <c r="E140" s="35">
        <f t="shared" si="75"/>
        <v>0.94023731429673929</v>
      </c>
      <c r="F1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20732</v>
      </c>
      <c r="G140" s="20">
        <f t="shared" si="76"/>
        <v>1239</v>
      </c>
      <c r="H1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I1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16518</v>
      </c>
      <c r="J140" s="20">
        <f t="shared" si="77"/>
        <v>2975</v>
      </c>
      <c r="K140" s="20"/>
      <c r="L140" s="20"/>
      <c r="M140" s="130">
        <v>2004</v>
      </c>
      <c r="N140" s="131" t="s">
        <v>40</v>
      </c>
      <c r="O140" s="132">
        <f t="shared" si="28"/>
        <v>0.84431137724550898</v>
      </c>
      <c r="P140" s="132">
        <f t="shared" si="29"/>
        <v>0.8604404351286814</v>
      </c>
      <c r="Q140" s="132">
        <f t="shared" si="30"/>
        <v>0.98125488154126528</v>
      </c>
      <c r="R140" s="129">
        <v>3841</v>
      </c>
      <c r="S140" s="133">
        <f t="shared" si="31"/>
        <v>72</v>
      </c>
      <c r="T140" s="129">
        <v>3769</v>
      </c>
      <c r="U140" s="129">
        <v>3243</v>
      </c>
      <c r="V140" s="129">
        <f t="shared" si="32"/>
        <v>526</v>
      </c>
      <c r="W140" s="20"/>
      <c r="X140" s="20"/>
      <c r="Y140" s="45">
        <v>2004</v>
      </c>
      <c r="Z140" s="48" t="s">
        <v>40</v>
      </c>
      <c r="AA140" s="35">
        <f t="shared" si="33"/>
        <v>0.90351437699680515</v>
      </c>
      <c r="AB140" s="35">
        <f t="shared" si="34"/>
        <v>0.91049581455247908</v>
      </c>
      <c r="AC140" s="35">
        <f t="shared" si="35"/>
        <v>0.99233226837060706</v>
      </c>
      <c r="AD140" s="20">
        <v>1565</v>
      </c>
      <c r="AE140" s="20">
        <f t="shared" si="36"/>
        <v>12</v>
      </c>
      <c r="AF140" s="20">
        <v>1553</v>
      </c>
      <c r="AG140" s="20">
        <v>1414</v>
      </c>
      <c r="AH140" s="20">
        <f t="shared" si="37"/>
        <v>139</v>
      </c>
      <c r="AI140" s="20"/>
      <c r="AJ140" s="20"/>
      <c r="AK140" s="45">
        <v>2004</v>
      </c>
      <c r="AL140" s="48" t="s">
        <v>40</v>
      </c>
      <c r="AM140" s="35">
        <f t="shared" si="38"/>
        <v>0.85722510074841685</v>
      </c>
      <c r="AN140" s="35">
        <f t="shared" si="39"/>
        <v>0.88280632411067195</v>
      </c>
      <c r="AO140" s="35">
        <f t="shared" si="40"/>
        <v>0.97102283630781039</v>
      </c>
      <c r="AP140" s="20">
        <v>5211</v>
      </c>
      <c r="AQ140" s="27">
        <f t="shared" si="41"/>
        <v>151</v>
      </c>
      <c r="AR140" s="20">
        <v>5060</v>
      </c>
      <c r="AS140" s="20">
        <v>4467</v>
      </c>
      <c r="AT140" s="20">
        <f t="shared" si="42"/>
        <v>593</v>
      </c>
      <c r="AU140" s="20"/>
      <c r="AV140" s="20"/>
      <c r="AW140" s="45">
        <v>2004</v>
      </c>
      <c r="AX140" s="48" t="s">
        <v>40</v>
      </c>
      <c r="AY140" s="35">
        <f t="shared" si="43"/>
        <v>0.6843800322061192</v>
      </c>
      <c r="AZ140" s="35">
        <f t="shared" si="44"/>
        <v>0.87090163934426235</v>
      </c>
      <c r="BA140" s="35">
        <f t="shared" si="45"/>
        <v>0.78582930756843805</v>
      </c>
      <c r="BB140" s="20">
        <v>621</v>
      </c>
      <c r="BC140" s="27">
        <f t="shared" si="46"/>
        <v>133</v>
      </c>
      <c r="BD140" s="20">
        <v>488</v>
      </c>
      <c r="BE140" s="20">
        <v>425</v>
      </c>
      <c r="BF140" s="20">
        <f t="shared" si="47"/>
        <v>63</v>
      </c>
      <c r="BG140" s="20"/>
      <c r="BH140" s="20"/>
      <c r="BI140" s="45">
        <v>2004</v>
      </c>
      <c r="BJ140" s="48" t="s">
        <v>40</v>
      </c>
      <c r="BK140" s="35">
        <f t="shared" si="48"/>
        <v>0.77785817655571632</v>
      </c>
      <c r="BL140" s="35">
        <f t="shared" si="49"/>
        <v>0.8288357748650732</v>
      </c>
      <c r="BM140" s="35">
        <f t="shared" si="50"/>
        <v>0.93849493487698987</v>
      </c>
      <c r="BN140" s="20">
        <v>2764</v>
      </c>
      <c r="BO140" s="27">
        <f t="shared" si="51"/>
        <v>170</v>
      </c>
      <c r="BP140" s="20">
        <v>2594</v>
      </c>
      <c r="BQ140" s="20">
        <v>2150</v>
      </c>
      <c r="BR140" s="20">
        <f t="shared" si="52"/>
        <v>444</v>
      </c>
      <c r="BS140" s="20"/>
      <c r="BT140" s="20"/>
      <c r="BU140" s="45">
        <v>2004</v>
      </c>
      <c r="BV140" s="48" t="s">
        <v>40</v>
      </c>
      <c r="BW140" s="35">
        <f t="shared" si="53"/>
        <v>0.81509298998569379</v>
      </c>
      <c r="BX140" s="35">
        <f t="shared" si="54"/>
        <v>0.8705118411000764</v>
      </c>
      <c r="BY140" s="35">
        <f t="shared" si="55"/>
        <v>0.9363376251788269</v>
      </c>
      <c r="BZ140" s="20">
        <v>2796</v>
      </c>
      <c r="CA140" s="27">
        <f t="shared" si="56"/>
        <v>178</v>
      </c>
      <c r="CB140" s="20">
        <v>2618</v>
      </c>
      <c r="CC140" s="20">
        <v>2279</v>
      </c>
      <c r="CD140" s="20">
        <f t="shared" si="57"/>
        <v>339</v>
      </c>
      <c r="CE140" s="20"/>
      <c r="CF140" s="20"/>
      <c r="CG140" s="45">
        <v>2004</v>
      </c>
      <c r="CH140" s="48" t="s">
        <v>40</v>
      </c>
      <c r="CI140" s="35">
        <f t="shared" si="58"/>
        <v>0.96801566579634468</v>
      </c>
      <c r="CJ140" s="35">
        <f t="shared" si="59"/>
        <v>0.98932621747831884</v>
      </c>
      <c r="CK140" s="35">
        <f t="shared" si="60"/>
        <v>0.97845953002610964</v>
      </c>
      <c r="CL140" s="20">
        <v>1532</v>
      </c>
      <c r="CM140" s="20">
        <f t="shared" si="61"/>
        <v>33</v>
      </c>
      <c r="CN140" s="20">
        <v>1499</v>
      </c>
      <c r="CO140" s="20">
        <v>1483</v>
      </c>
      <c r="CP140" s="20">
        <f t="shared" si="62"/>
        <v>16</v>
      </c>
      <c r="CQ140" s="20"/>
      <c r="CR140" s="20"/>
      <c r="CS140" s="45">
        <v>2004</v>
      </c>
      <c r="CT140" s="48" t="s">
        <v>40</v>
      </c>
      <c r="CU140" s="35">
        <f t="shared" si="63"/>
        <v>1.282051282051282E-2</v>
      </c>
      <c r="CV140" s="35">
        <f t="shared" si="64"/>
        <v>1.968503937007874E-2</v>
      </c>
      <c r="CW140" s="35">
        <f t="shared" si="65"/>
        <v>0.6512820512820513</v>
      </c>
      <c r="CX140" s="20">
        <v>1170</v>
      </c>
      <c r="CY140" s="27">
        <f t="shared" si="66"/>
        <v>408</v>
      </c>
      <c r="CZ140" s="20">
        <v>762</v>
      </c>
      <c r="DA140" s="20">
        <v>15</v>
      </c>
      <c r="DB140" s="20">
        <f t="shared" si="67"/>
        <v>747</v>
      </c>
      <c r="DC140" s="20"/>
      <c r="DD140" s="20"/>
      <c r="DE140" s="45">
        <v>2004</v>
      </c>
      <c r="DF140" s="48" t="s">
        <v>40</v>
      </c>
      <c r="DG140" s="35">
        <f t="shared" si="68"/>
        <v>0.84577922077922074</v>
      </c>
      <c r="DH140" s="35">
        <f t="shared" si="69"/>
        <v>0.9060869565217391</v>
      </c>
      <c r="DI140" s="35">
        <f t="shared" si="70"/>
        <v>0.93344155844155841</v>
      </c>
      <c r="DJ140" s="20">
        <v>1232</v>
      </c>
      <c r="DK140" s="27">
        <f t="shared" si="71"/>
        <v>82</v>
      </c>
      <c r="DL140" s="20">
        <v>1150</v>
      </c>
      <c r="DM140" s="20">
        <v>1042</v>
      </c>
      <c r="DN140" s="20">
        <f t="shared" si="72"/>
        <v>108</v>
      </c>
      <c r="DO140" s="20"/>
      <c r="DP140" s="20"/>
      <c r="DQ140" s="45"/>
      <c r="DR140" s="48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</row>
    <row r="141" spans="1:132" s="29" customFormat="1" ht="12.75">
      <c r="A141" s="46">
        <v>2004</v>
      </c>
      <c r="B141" s="47" t="s">
        <v>41</v>
      </c>
      <c r="C141" s="35">
        <f t="shared" si="73"/>
        <v>0.80240826283282296</v>
      </c>
      <c r="D141" s="35">
        <f t="shared" si="74"/>
        <v>0.85941408638612482</v>
      </c>
      <c r="E141" s="35">
        <f t="shared" si="75"/>
        <v>0.93366896766491925</v>
      </c>
      <c r="F1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19267</v>
      </c>
      <c r="G141" s="20">
        <f t="shared" si="76"/>
        <v>1278</v>
      </c>
      <c r="H1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17989</v>
      </c>
      <c r="I1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15460</v>
      </c>
      <c r="J141" s="20">
        <f t="shared" si="77"/>
        <v>2529</v>
      </c>
      <c r="K141" s="20"/>
      <c r="L141" s="20"/>
      <c r="M141" s="134">
        <v>2004</v>
      </c>
      <c r="N141" s="135" t="s">
        <v>41</v>
      </c>
      <c r="O141" s="132">
        <f t="shared" si="28"/>
        <v>0.86250358063592092</v>
      </c>
      <c r="P141" s="132">
        <f t="shared" si="29"/>
        <v>0.88532784475154369</v>
      </c>
      <c r="Q141" s="132">
        <f t="shared" si="30"/>
        <v>0.97421942136923523</v>
      </c>
      <c r="R141" s="129">
        <v>3491</v>
      </c>
      <c r="S141" s="133">
        <f t="shared" si="31"/>
        <v>90</v>
      </c>
      <c r="T141" s="129">
        <v>3401</v>
      </c>
      <c r="U141" s="129">
        <v>3011</v>
      </c>
      <c r="V141" s="129">
        <f t="shared" si="32"/>
        <v>390</v>
      </c>
      <c r="W141" s="20"/>
      <c r="X141" s="20"/>
      <c r="Y141" s="46">
        <v>2004</v>
      </c>
      <c r="Z141" s="47" t="s">
        <v>41</v>
      </c>
      <c r="AA141" s="35">
        <f t="shared" si="33"/>
        <v>0.89939230249831192</v>
      </c>
      <c r="AB141" s="35">
        <f t="shared" si="34"/>
        <v>0.91672401927047487</v>
      </c>
      <c r="AC141" s="35">
        <f t="shared" si="35"/>
        <v>0.98109385550303851</v>
      </c>
      <c r="AD141" s="20">
        <v>1481</v>
      </c>
      <c r="AE141" s="20">
        <f t="shared" si="36"/>
        <v>28</v>
      </c>
      <c r="AF141" s="20">
        <v>1453</v>
      </c>
      <c r="AG141" s="20">
        <v>1332</v>
      </c>
      <c r="AH141" s="20">
        <f t="shared" si="37"/>
        <v>121</v>
      </c>
      <c r="AI141" s="20"/>
      <c r="AJ141" s="20"/>
      <c r="AK141" s="46">
        <v>2004</v>
      </c>
      <c r="AL141" s="47" t="s">
        <v>41</v>
      </c>
      <c r="AM141" s="35">
        <f t="shared" si="38"/>
        <v>0.87632288856609253</v>
      </c>
      <c r="AN141" s="35">
        <f t="shared" si="39"/>
        <v>0.90119504908237302</v>
      </c>
      <c r="AO141" s="35">
        <f t="shared" si="40"/>
        <v>0.97240091305250054</v>
      </c>
      <c r="AP141" s="20">
        <v>4819</v>
      </c>
      <c r="AQ141" s="27">
        <f t="shared" si="41"/>
        <v>133</v>
      </c>
      <c r="AR141" s="20">
        <v>4686</v>
      </c>
      <c r="AS141" s="20">
        <v>4223</v>
      </c>
      <c r="AT141" s="20">
        <f t="shared" si="42"/>
        <v>463</v>
      </c>
      <c r="AU141" s="20"/>
      <c r="AV141" s="20"/>
      <c r="AW141" s="46">
        <v>2004</v>
      </c>
      <c r="AX141" s="47" t="s">
        <v>41</v>
      </c>
      <c r="AY141" s="35">
        <f t="shared" si="43"/>
        <v>0.64327485380116955</v>
      </c>
      <c r="AZ141" s="35">
        <f t="shared" si="44"/>
        <v>0.87765957446808507</v>
      </c>
      <c r="BA141" s="35">
        <f t="shared" si="45"/>
        <v>0.73294346978557501</v>
      </c>
      <c r="BB141" s="20">
        <v>513</v>
      </c>
      <c r="BC141" s="27">
        <f t="shared" si="46"/>
        <v>137</v>
      </c>
      <c r="BD141" s="20">
        <v>376</v>
      </c>
      <c r="BE141" s="20">
        <v>330</v>
      </c>
      <c r="BF141" s="20">
        <f t="shared" si="47"/>
        <v>46</v>
      </c>
      <c r="BG141" s="20"/>
      <c r="BH141" s="20"/>
      <c r="BI141" s="46">
        <v>2004</v>
      </c>
      <c r="BJ141" s="47" t="s">
        <v>41</v>
      </c>
      <c r="BK141" s="35">
        <f t="shared" si="48"/>
        <v>0.81083172147001936</v>
      </c>
      <c r="BL141" s="35">
        <f t="shared" si="49"/>
        <v>0.86898839137645112</v>
      </c>
      <c r="BM141" s="35">
        <f t="shared" si="50"/>
        <v>0.93307543520309477</v>
      </c>
      <c r="BN141" s="20">
        <v>2585</v>
      </c>
      <c r="BO141" s="27">
        <f t="shared" si="51"/>
        <v>173</v>
      </c>
      <c r="BP141" s="20">
        <v>2412</v>
      </c>
      <c r="BQ141" s="20">
        <v>2096</v>
      </c>
      <c r="BR141" s="20">
        <f t="shared" si="52"/>
        <v>316</v>
      </c>
      <c r="BS141" s="20"/>
      <c r="BT141" s="20"/>
      <c r="BU141" s="46">
        <v>2004</v>
      </c>
      <c r="BV141" s="47" t="s">
        <v>41</v>
      </c>
      <c r="BW141" s="35">
        <f t="shared" si="53"/>
        <v>0.82851711026615971</v>
      </c>
      <c r="BX141" s="35">
        <f t="shared" si="54"/>
        <v>0.87510040160642566</v>
      </c>
      <c r="BY141" s="35">
        <f t="shared" si="55"/>
        <v>0.94676806083650189</v>
      </c>
      <c r="BZ141" s="20">
        <v>2630</v>
      </c>
      <c r="CA141" s="27">
        <f t="shared" si="56"/>
        <v>140</v>
      </c>
      <c r="CB141" s="20">
        <v>2490</v>
      </c>
      <c r="CC141" s="20">
        <v>2179</v>
      </c>
      <c r="CD141" s="20">
        <f t="shared" si="57"/>
        <v>311</v>
      </c>
      <c r="CE141" s="20"/>
      <c r="CF141" s="20"/>
      <c r="CG141" s="46">
        <v>2004</v>
      </c>
      <c r="CH141" s="47" t="s">
        <v>41</v>
      </c>
      <c r="CI141" s="35">
        <f t="shared" si="58"/>
        <v>0.93854748603351956</v>
      </c>
      <c r="CJ141" s="35">
        <f t="shared" si="59"/>
        <v>0.97532656023222064</v>
      </c>
      <c r="CK141" s="35">
        <f t="shared" si="60"/>
        <v>0.96229050279329609</v>
      </c>
      <c r="CL141" s="20">
        <v>1432</v>
      </c>
      <c r="CM141" s="20">
        <f t="shared" si="61"/>
        <v>54</v>
      </c>
      <c r="CN141" s="20">
        <v>1378</v>
      </c>
      <c r="CO141" s="20">
        <v>1344</v>
      </c>
      <c r="CP141" s="20">
        <f t="shared" si="62"/>
        <v>34</v>
      </c>
      <c r="CQ141" s="20"/>
      <c r="CR141" s="20"/>
      <c r="CS141" s="46">
        <v>2004</v>
      </c>
      <c r="CT141" s="47" t="s">
        <v>41</v>
      </c>
      <c r="CU141" s="35">
        <f t="shared" si="63"/>
        <v>1.7730496453900711E-2</v>
      </c>
      <c r="CV141" s="35">
        <f t="shared" si="64"/>
        <v>2.7662517289073305E-2</v>
      </c>
      <c r="CW141" s="35">
        <f t="shared" si="65"/>
        <v>0.64095744680851063</v>
      </c>
      <c r="CX141" s="20">
        <v>1128</v>
      </c>
      <c r="CY141" s="27">
        <f t="shared" si="66"/>
        <v>405</v>
      </c>
      <c r="CZ141" s="20">
        <v>723</v>
      </c>
      <c r="DA141" s="20">
        <v>20</v>
      </c>
      <c r="DB141" s="20">
        <f t="shared" si="67"/>
        <v>703</v>
      </c>
      <c r="DC141" s="20"/>
      <c r="DD141" s="20"/>
      <c r="DE141" s="46">
        <v>2004</v>
      </c>
      <c r="DF141" s="47" t="s">
        <v>41</v>
      </c>
      <c r="DG141" s="35">
        <f t="shared" si="68"/>
        <v>0.77861952861952866</v>
      </c>
      <c r="DH141" s="35">
        <f t="shared" si="69"/>
        <v>0.86448598130841126</v>
      </c>
      <c r="DI141" s="35">
        <f t="shared" si="70"/>
        <v>0.90067340067340063</v>
      </c>
      <c r="DJ141" s="20">
        <v>1188</v>
      </c>
      <c r="DK141" s="27">
        <f t="shared" si="71"/>
        <v>118</v>
      </c>
      <c r="DL141" s="20">
        <v>1070</v>
      </c>
      <c r="DM141" s="20">
        <v>925</v>
      </c>
      <c r="DN141" s="20">
        <f t="shared" si="72"/>
        <v>145</v>
      </c>
      <c r="DO141" s="20"/>
      <c r="DP141" s="20"/>
      <c r="DQ141" s="46"/>
      <c r="DR141" s="47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</row>
    <row r="142" spans="1:132" s="29" customFormat="1" ht="12.75">
      <c r="A142" s="45">
        <v>2004</v>
      </c>
      <c r="B142" s="48" t="s">
        <v>42</v>
      </c>
      <c r="C142" s="35">
        <f t="shared" si="73"/>
        <v>0.72600946531064348</v>
      </c>
      <c r="D142" s="35">
        <f t="shared" si="74"/>
        <v>0.79791943337760074</v>
      </c>
      <c r="E142" s="35">
        <f t="shared" si="75"/>
        <v>0.90987815929916427</v>
      </c>
      <c r="F14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19862</v>
      </c>
      <c r="G142" s="20">
        <f t="shared" si="76"/>
        <v>1790</v>
      </c>
      <c r="H14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18072</v>
      </c>
      <c r="I14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14420</v>
      </c>
      <c r="J142" s="20">
        <f t="shared" si="77"/>
        <v>3652</v>
      </c>
      <c r="K142" s="20"/>
      <c r="L142" s="20"/>
      <c r="M142" s="130">
        <v>2004</v>
      </c>
      <c r="N142" s="131" t="s">
        <v>42</v>
      </c>
      <c r="O142" s="132">
        <f t="shared" si="28"/>
        <v>0.79499304589707931</v>
      </c>
      <c r="P142" s="132">
        <f t="shared" si="29"/>
        <v>0.84232242852932504</v>
      </c>
      <c r="Q142" s="132">
        <f t="shared" si="30"/>
        <v>0.94381084840055629</v>
      </c>
      <c r="R142" s="129">
        <v>3595</v>
      </c>
      <c r="S142" s="133">
        <f t="shared" si="31"/>
        <v>202</v>
      </c>
      <c r="T142" s="129">
        <v>3393</v>
      </c>
      <c r="U142" s="129">
        <v>2858</v>
      </c>
      <c r="V142" s="129">
        <f t="shared" si="32"/>
        <v>535</v>
      </c>
      <c r="W142" s="20"/>
      <c r="X142" s="20"/>
      <c r="Y142" s="45">
        <v>2004</v>
      </c>
      <c r="Z142" s="48" t="s">
        <v>42</v>
      </c>
      <c r="AA142" s="35">
        <f t="shared" si="33"/>
        <v>0.85638649900727992</v>
      </c>
      <c r="AB142" s="35">
        <f t="shared" si="34"/>
        <v>0.89861111111111114</v>
      </c>
      <c r="AC142" s="35">
        <f t="shared" si="35"/>
        <v>0.95301125082726668</v>
      </c>
      <c r="AD142" s="20">
        <v>1511</v>
      </c>
      <c r="AE142" s="20">
        <f t="shared" si="36"/>
        <v>71</v>
      </c>
      <c r="AF142" s="20">
        <v>1440</v>
      </c>
      <c r="AG142" s="20">
        <v>1294</v>
      </c>
      <c r="AH142" s="20">
        <f t="shared" si="37"/>
        <v>146</v>
      </c>
      <c r="AI142" s="20"/>
      <c r="AJ142" s="20"/>
      <c r="AK142" s="45">
        <v>2004</v>
      </c>
      <c r="AL142" s="48" t="s">
        <v>42</v>
      </c>
      <c r="AM142" s="35">
        <f t="shared" si="38"/>
        <v>0.81928441479684655</v>
      </c>
      <c r="AN142" s="35">
        <f t="shared" si="39"/>
        <v>0.87386804657179817</v>
      </c>
      <c r="AO142" s="35">
        <f t="shared" si="40"/>
        <v>0.9375379017586416</v>
      </c>
      <c r="AP142" s="20">
        <v>4947</v>
      </c>
      <c r="AQ142" s="27">
        <f t="shared" si="41"/>
        <v>309</v>
      </c>
      <c r="AR142" s="20">
        <v>4638</v>
      </c>
      <c r="AS142" s="20">
        <v>4053</v>
      </c>
      <c r="AT142" s="20">
        <f t="shared" si="42"/>
        <v>585</v>
      </c>
      <c r="AU142" s="20"/>
      <c r="AV142" s="20"/>
      <c r="AW142" s="45">
        <v>2004</v>
      </c>
      <c r="AX142" s="48" t="s">
        <v>42</v>
      </c>
      <c r="AY142" s="35">
        <f t="shared" si="43"/>
        <v>0.36296296296296299</v>
      </c>
      <c r="AZ142" s="35">
        <f t="shared" si="44"/>
        <v>0.60493827160493829</v>
      </c>
      <c r="BA142" s="35">
        <f t="shared" si="45"/>
        <v>0.6</v>
      </c>
      <c r="BB142" s="20">
        <v>540</v>
      </c>
      <c r="BC142" s="27">
        <f t="shared" si="46"/>
        <v>216</v>
      </c>
      <c r="BD142" s="20">
        <v>324</v>
      </c>
      <c r="BE142" s="20">
        <v>196</v>
      </c>
      <c r="BF142" s="20">
        <f t="shared" si="47"/>
        <v>128</v>
      </c>
      <c r="BG142" s="20"/>
      <c r="BH142" s="20"/>
      <c r="BI142" s="45">
        <v>2004</v>
      </c>
      <c r="BJ142" s="48" t="s">
        <v>42</v>
      </c>
      <c r="BK142" s="35">
        <f t="shared" si="48"/>
        <v>0.61892296185489903</v>
      </c>
      <c r="BL142" s="35">
        <f t="shared" si="49"/>
        <v>0.69684210526315793</v>
      </c>
      <c r="BM142" s="35">
        <f t="shared" si="50"/>
        <v>0.88818249813014216</v>
      </c>
      <c r="BN142" s="20">
        <v>2674</v>
      </c>
      <c r="BO142" s="27">
        <f t="shared" si="51"/>
        <v>299</v>
      </c>
      <c r="BP142" s="20">
        <v>2375</v>
      </c>
      <c r="BQ142" s="20">
        <v>1655</v>
      </c>
      <c r="BR142" s="20">
        <f t="shared" si="52"/>
        <v>720</v>
      </c>
      <c r="BS142" s="20"/>
      <c r="BT142" s="20"/>
      <c r="BU142" s="45">
        <v>2004</v>
      </c>
      <c r="BV142" s="48" t="s">
        <v>42</v>
      </c>
      <c r="BW142" s="35">
        <f t="shared" si="53"/>
        <v>0.75009187798603449</v>
      </c>
      <c r="BX142" s="35">
        <f t="shared" si="54"/>
        <v>0.80640063216120106</v>
      </c>
      <c r="BY142" s="35">
        <f t="shared" si="55"/>
        <v>0.93017273061374495</v>
      </c>
      <c r="BZ142" s="20">
        <v>2721</v>
      </c>
      <c r="CA142" s="27">
        <f t="shared" si="56"/>
        <v>190</v>
      </c>
      <c r="CB142" s="20">
        <v>2531</v>
      </c>
      <c r="CC142" s="20">
        <v>2041</v>
      </c>
      <c r="CD142" s="20">
        <f t="shared" si="57"/>
        <v>490</v>
      </c>
      <c r="CE142" s="20"/>
      <c r="CF142" s="20"/>
      <c r="CG142" s="45">
        <v>2004</v>
      </c>
      <c r="CH142" s="48" t="s">
        <v>42</v>
      </c>
      <c r="CI142" s="35">
        <f t="shared" si="58"/>
        <v>0.91442048517520214</v>
      </c>
      <c r="CJ142" s="35">
        <f t="shared" si="59"/>
        <v>0.96377840909090906</v>
      </c>
      <c r="CK142" s="35">
        <f t="shared" si="60"/>
        <v>0.94878706199460916</v>
      </c>
      <c r="CL142" s="20">
        <v>1484</v>
      </c>
      <c r="CM142" s="20">
        <f t="shared" si="61"/>
        <v>76</v>
      </c>
      <c r="CN142" s="20">
        <v>1408</v>
      </c>
      <c r="CO142" s="20">
        <v>1357</v>
      </c>
      <c r="CP142" s="20">
        <f t="shared" si="62"/>
        <v>51</v>
      </c>
      <c r="CQ142" s="20"/>
      <c r="CR142" s="20"/>
      <c r="CS142" s="45">
        <v>2004</v>
      </c>
      <c r="CT142" s="48" t="s">
        <v>42</v>
      </c>
      <c r="CU142" s="35">
        <f t="shared" si="63"/>
        <v>2.5773195876288658E-2</v>
      </c>
      <c r="CV142" s="35">
        <f t="shared" si="64"/>
        <v>3.7974683544303799E-2</v>
      </c>
      <c r="CW142" s="35">
        <f t="shared" si="65"/>
        <v>0.67869415807560141</v>
      </c>
      <c r="CX142" s="20">
        <v>1164</v>
      </c>
      <c r="CY142" s="27">
        <f t="shared" si="66"/>
        <v>374</v>
      </c>
      <c r="CZ142" s="20">
        <v>790</v>
      </c>
      <c r="DA142" s="20">
        <v>30</v>
      </c>
      <c r="DB142" s="20">
        <f t="shared" si="67"/>
        <v>760</v>
      </c>
      <c r="DC142" s="20"/>
      <c r="DD142" s="20"/>
      <c r="DE142" s="45">
        <v>2004</v>
      </c>
      <c r="DF142" s="48" t="s">
        <v>42</v>
      </c>
      <c r="DG142" s="35">
        <f t="shared" si="68"/>
        <v>0.76345840130505704</v>
      </c>
      <c r="DH142" s="35">
        <f t="shared" si="69"/>
        <v>0.79795396419437337</v>
      </c>
      <c r="DI142" s="35">
        <f t="shared" si="70"/>
        <v>0.95676998368678634</v>
      </c>
      <c r="DJ142" s="20">
        <v>1226</v>
      </c>
      <c r="DK142" s="27">
        <f t="shared" si="71"/>
        <v>53</v>
      </c>
      <c r="DL142" s="20">
        <v>1173</v>
      </c>
      <c r="DM142" s="20">
        <v>936</v>
      </c>
      <c r="DN142" s="20">
        <f t="shared" si="72"/>
        <v>237</v>
      </c>
      <c r="DO142" s="20"/>
      <c r="DP142" s="20"/>
      <c r="DQ142" s="45"/>
      <c r="DR142" s="48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</row>
    <row r="143" spans="1:132" s="29" customFormat="1" ht="12.75">
      <c r="A143" s="46">
        <v>2004</v>
      </c>
      <c r="B143" s="47" t="s">
        <v>43</v>
      </c>
      <c r="C143" s="35">
        <f t="shared" si="73"/>
        <v>0.60597453973728255</v>
      </c>
      <c r="D143" s="35">
        <f t="shared" si="74"/>
        <v>0.81058344640434188</v>
      </c>
      <c r="E143" s="35">
        <f t="shared" si="75"/>
        <v>0.74757823198255313</v>
      </c>
      <c r="F14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19717</v>
      </c>
      <c r="G143" s="20">
        <f t="shared" si="76"/>
        <v>4977</v>
      </c>
      <c r="H143" s="129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14740</v>
      </c>
      <c r="I14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11948</v>
      </c>
      <c r="J143" s="20">
        <f t="shared" si="77"/>
        <v>2792</v>
      </c>
      <c r="K143" s="110" t="s">
        <v>96</v>
      </c>
      <c r="L143" s="20"/>
      <c r="M143" s="134">
        <v>2004</v>
      </c>
      <c r="N143" s="135" t="s">
        <v>43</v>
      </c>
      <c r="O143" s="132">
        <f t="shared" si="28"/>
        <v>0.50760298589991704</v>
      </c>
      <c r="P143" s="132">
        <f t="shared" si="29"/>
        <v>0.9924324324324324</v>
      </c>
      <c r="Q143" s="132">
        <f t="shared" si="30"/>
        <v>0.51147359690351124</v>
      </c>
      <c r="R143" s="129">
        <v>3617</v>
      </c>
      <c r="S143" s="133">
        <f t="shared" si="31"/>
        <v>1767</v>
      </c>
      <c r="T143" s="129">
        <v>1850</v>
      </c>
      <c r="U143" s="129">
        <v>1836</v>
      </c>
      <c r="V143" s="129">
        <f t="shared" si="32"/>
        <v>14</v>
      </c>
      <c r="W143" s="20"/>
      <c r="X143" s="20"/>
      <c r="Y143" s="46">
        <v>2004</v>
      </c>
      <c r="Z143" s="47" t="s">
        <v>43</v>
      </c>
      <c r="AA143" s="35">
        <f t="shared" si="33"/>
        <v>0.84779706275033373</v>
      </c>
      <c r="AB143" s="35">
        <f t="shared" si="34"/>
        <v>0.90455840455840453</v>
      </c>
      <c r="AC143" s="35">
        <f t="shared" si="35"/>
        <v>0.93724966622162886</v>
      </c>
      <c r="AD143" s="20">
        <v>1498</v>
      </c>
      <c r="AE143" s="20">
        <f t="shared" si="36"/>
        <v>94</v>
      </c>
      <c r="AF143" s="20">
        <v>1404</v>
      </c>
      <c r="AG143" s="20">
        <v>1270</v>
      </c>
      <c r="AH143" s="20">
        <f t="shared" si="37"/>
        <v>134</v>
      </c>
      <c r="AI143" s="20"/>
      <c r="AJ143" s="20"/>
      <c r="AK143" s="46">
        <v>2004</v>
      </c>
      <c r="AL143" s="47" t="s">
        <v>43</v>
      </c>
      <c r="AM143" s="35">
        <f t="shared" si="38"/>
        <v>0.61809350333940494</v>
      </c>
      <c r="AN143" s="35">
        <f t="shared" si="39"/>
        <v>0.95229186155285317</v>
      </c>
      <c r="AO143" s="35">
        <f t="shared" si="40"/>
        <v>0.64905889496053426</v>
      </c>
      <c r="AP143" s="20">
        <v>4941</v>
      </c>
      <c r="AQ143" s="27">
        <f t="shared" si="41"/>
        <v>1734</v>
      </c>
      <c r="AR143" s="20">
        <v>3207</v>
      </c>
      <c r="AS143" s="20">
        <v>3054</v>
      </c>
      <c r="AT143" s="20">
        <f t="shared" si="42"/>
        <v>153</v>
      </c>
      <c r="AU143" s="20"/>
      <c r="AV143" s="20"/>
      <c r="AW143" s="46">
        <v>2004</v>
      </c>
      <c r="AX143" s="47" t="s">
        <v>43</v>
      </c>
      <c r="AY143" s="35">
        <f t="shared" si="43"/>
        <v>1</v>
      </c>
      <c r="AZ143" s="35">
        <f t="shared" si="44"/>
        <v>1</v>
      </c>
      <c r="BA143" s="35">
        <f t="shared" si="45"/>
        <v>1</v>
      </c>
      <c r="BB143" s="20">
        <v>567</v>
      </c>
      <c r="BC143" s="27">
        <f t="shared" si="46"/>
        <v>0</v>
      </c>
      <c r="BD143" s="129">
        <v>567</v>
      </c>
      <c r="BE143" s="129">
        <v>567</v>
      </c>
      <c r="BF143" s="20">
        <f t="shared" si="47"/>
        <v>0</v>
      </c>
      <c r="BG143" s="129" t="s">
        <v>100</v>
      </c>
      <c r="BH143" s="20"/>
      <c r="BI143" s="46">
        <v>2004</v>
      </c>
      <c r="BJ143" s="47" t="s">
        <v>43</v>
      </c>
      <c r="BK143" s="35">
        <f t="shared" si="48"/>
        <v>0.47915087187263078</v>
      </c>
      <c r="BL143" s="35">
        <f t="shared" si="49"/>
        <v>0.54412397761515285</v>
      </c>
      <c r="BM143" s="35">
        <f t="shared" si="50"/>
        <v>0.88059135708870351</v>
      </c>
      <c r="BN143" s="20">
        <v>2638</v>
      </c>
      <c r="BO143" s="27">
        <f t="shared" si="51"/>
        <v>315</v>
      </c>
      <c r="BP143" s="20">
        <v>2323</v>
      </c>
      <c r="BQ143" s="20">
        <v>1264</v>
      </c>
      <c r="BR143" s="20">
        <f t="shared" si="52"/>
        <v>1059</v>
      </c>
      <c r="BS143" s="20"/>
      <c r="BT143" s="20"/>
      <c r="BU143" s="46">
        <v>2004</v>
      </c>
      <c r="BV143" s="47" t="s">
        <v>43</v>
      </c>
      <c r="BW143" s="35">
        <f t="shared" si="53"/>
        <v>0.64336448598130846</v>
      </c>
      <c r="BX143" s="35">
        <f t="shared" si="54"/>
        <v>0.7659101023587005</v>
      </c>
      <c r="BY143" s="35">
        <f t="shared" si="55"/>
        <v>0.84</v>
      </c>
      <c r="BZ143" s="20">
        <v>2675</v>
      </c>
      <c r="CA143" s="27">
        <f t="shared" si="56"/>
        <v>428</v>
      </c>
      <c r="CB143" s="20">
        <v>2247</v>
      </c>
      <c r="CC143" s="20">
        <v>1721</v>
      </c>
      <c r="CD143" s="20">
        <f t="shared" si="57"/>
        <v>526</v>
      </c>
      <c r="CE143" s="20"/>
      <c r="CF143" s="20"/>
      <c r="CG143" s="46">
        <v>2004</v>
      </c>
      <c r="CH143" s="47" t="s">
        <v>43</v>
      </c>
      <c r="CI143" s="35">
        <f t="shared" si="58"/>
        <v>0.82956878850102667</v>
      </c>
      <c r="CJ143" s="35">
        <f t="shared" si="59"/>
        <v>0.97193263833199683</v>
      </c>
      <c r="CK143" s="35">
        <f t="shared" si="60"/>
        <v>0.85352498288843259</v>
      </c>
      <c r="CL143" s="20">
        <v>1461</v>
      </c>
      <c r="CM143" s="20">
        <f t="shared" si="61"/>
        <v>214</v>
      </c>
      <c r="CN143" s="20">
        <v>1247</v>
      </c>
      <c r="CO143" s="20">
        <v>1212</v>
      </c>
      <c r="CP143" s="20">
        <f t="shared" si="62"/>
        <v>35</v>
      </c>
      <c r="CQ143" s="20"/>
      <c r="CR143" s="20"/>
      <c r="CS143" s="46">
        <v>2004</v>
      </c>
      <c r="CT143" s="47" t="s">
        <v>43</v>
      </c>
      <c r="CU143" s="35">
        <f t="shared" si="63"/>
        <v>2.3008849557522124E-2</v>
      </c>
      <c r="CV143" s="35">
        <f t="shared" si="64"/>
        <v>3.4852546916890083E-2</v>
      </c>
      <c r="CW143" s="35">
        <f t="shared" si="65"/>
        <v>0.66017699115044248</v>
      </c>
      <c r="CX143" s="20">
        <v>1130</v>
      </c>
      <c r="CY143" s="27">
        <f t="shared" si="66"/>
        <v>384</v>
      </c>
      <c r="CZ143" s="20">
        <v>746</v>
      </c>
      <c r="DA143" s="20">
        <v>26</v>
      </c>
      <c r="DB143" s="20">
        <f t="shared" si="67"/>
        <v>720</v>
      </c>
      <c r="DC143" s="20"/>
      <c r="DD143" s="20"/>
      <c r="DE143" s="46">
        <v>2004</v>
      </c>
      <c r="DF143" s="47" t="s">
        <v>43</v>
      </c>
      <c r="DG143" s="35">
        <f t="shared" si="68"/>
        <v>0.83865546218487397</v>
      </c>
      <c r="DH143" s="35">
        <f t="shared" si="69"/>
        <v>0.8685813751087903</v>
      </c>
      <c r="DI143" s="35">
        <f t="shared" si="70"/>
        <v>0.96554621848739497</v>
      </c>
      <c r="DJ143" s="20">
        <v>1190</v>
      </c>
      <c r="DK143" s="27">
        <f t="shared" si="71"/>
        <v>41</v>
      </c>
      <c r="DL143" s="20">
        <v>1149</v>
      </c>
      <c r="DM143" s="20">
        <v>998</v>
      </c>
      <c r="DN143" s="20">
        <f t="shared" si="72"/>
        <v>151</v>
      </c>
      <c r="DO143" s="20"/>
      <c r="DP143" s="20"/>
      <c r="DQ143" s="46"/>
      <c r="DR143" s="47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</row>
    <row r="144" spans="1:132" s="29" customFormat="1" ht="12.75">
      <c r="A144" s="45">
        <v>2004</v>
      </c>
      <c r="B144" s="48" t="s">
        <v>44</v>
      </c>
      <c r="C144" s="35">
        <f t="shared" si="73"/>
        <v>0.76606024749790469</v>
      </c>
      <c r="D144" s="35">
        <f t="shared" si="74"/>
        <v>0.87287231054435144</v>
      </c>
      <c r="E144" s="35">
        <f t="shared" si="75"/>
        <v>0.87763151407582707</v>
      </c>
      <c r="F14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44" s="20">
        <f t="shared" si="76"/>
        <v>2482</v>
      </c>
      <c r="H14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17801</v>
      </c>
      <c r="I14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15538</v>
      </c>
      <c r="J144" s="20">
        <f t="shared" si="77"/>
        <v>2263</v>
      </c>
      <c r="K144" s="20"/>
      <c r="L144" s="20"/>
      <c r="M144" s="130">
        <v>2004</v>
      </c>
      <c r="N144" s="131" t="s">
        <v>44</v>
      </c>
      <c r="O144" s="132">
        <f t="shared" si="28"/>
        <v>0.85971997845988157</v>
      </c>
      <c r="P144" s="132">
        <f t="shared" si="29"/>
        <v>0.91020524515393386</v>
      </c>
      <c r="Q144" s="132">
        <f t="shared" si="30"/>
        <v>0.94453419493807211</v>
      </c>
      <c r="R144" s="129">
        <v>3714</v>
      </c>
      <c r="S144" s="133">
        <f t="shared" si="31"/>
        <v>206</v>
      </c>
      <c r="T144" s="129">
        <v>3508</v>
      </c>
      <c r="U144" s="129">
        <v>3193</v>
      </c>
      <c r="V144" s="129">
        <f t="shared" si="32"/>
        <v>315</v>
      </c>
      <c r="W144" s="20"/>
      <c r="X144" s="20"/>
      <c r="Y144" s="45">
        <v>2004</v>
      </c>
      <c r="Z144" s="48" t="s">
        <v>44</v>
      </c>
      <c r="AA144" s="35">
        <f t="shared" si="33"/>
        <v>0.88838709677419359</v>
      </c>
      <c r="AB144" s="35">
        <f t="shared" si="34"/>
        <v>0.90651744568795256</v>
      </c>
      <c r="AC144" s="35">
        <f t="shared" si="35"/>
        <v>0.98</v>
      </c>
      <c r="AD144" s="20">
        <v>1550</v>
      </c>
      <c r="AE144" s="20">
        <f t="shared" si="36"/>
        <v>31</v>
      </c>
      <c r="AF144" s="20">
        <v>1519</v>
      </c>
      <c r="AG144" s="20">
        <v>1377</v>
      </c>
      <c r="AH144" s="20">
        <f t="shared" si="37"/>
        <v>142</v>
      </c>
      <c r="AI144" s="20"/>
      <c r="AJ144" s="20"/>
      <c r="AK144" s="45">
        <v>2004</v>
      </c>
      <c r="AL144" s="48" t="s">
        <v>44</v>
      </c>
      <c r="AM144" s="35">
        <f t="shared" si="38"/>
        <v>0.86935166994106094</v>
      </c>
      <c r="AN144" s="35">
        <f t="shared" si="39"/>
        <v>0.92981718848497585</v>
      </c>
      <c r="AO144" s="35">
        <f t="shared" si="40"/>
        <v>0.9349705304518664</v>
      </c>
      <c r="AP144" s="20">
        <v>5090</v>
      </c>
      <c r="AQ144" s="27">
        <f t="shared" si="41"/>
        <v>331</v>
      </c>
      <c r="AR144" s="20">
        <v>4759</v>
      </c>
      <c r="AS144" s="20">
        <v>4425</v>
      </c>
      <c r="AT144" s="20">
        <f t="shared" si="42"/>
        <v>334</v>
      </c>
      <c r="AU144" s="20"/>
      <c r="AV144" s="20"/>
      <c r="AW144" s="45">
        <v>2004</v>
      </c>
      <c r="AX144" s="48" t="s">
        <v>44</v>
      </c>
      <c r="AY144" s="35">
        <f t="shared" si="43"/>
        <v>0.69664902998236333</v>
      </c>
      <c r="AZ144" s="35">
        <f t="shared" si="44"/>
        <v>0.92723004694835676</v>
      </c>
      <c r="BA144" s="35">
        <f t="shared" si="45"/>
        <v>0.75132275132275128</v>
      </c>
      <c r="BB144" s="20">
        <v>567</v>
      </c>
      <c r="BC144" s="27">
        <f t="shared" si="46"/>
        <v>141</v>
      </c>
      <c r="BD144" s="20">
        <v>426</v>
      </c>
      <c r="BE144" s="20">
        <v>395</v>
      </c>
      <c r="BF144" s="20">
        <f t="shared" si="47"/>
        <v>31</v>
      </c>
      <c r="BG144" s="20"/>
      <c r="BH144" s="20"/>
      <c r="BI144" s="45">
        <v>2004</v>
      </c>
      <c r="BJ144" s="48" t="s">
        <v>44</v>
      </c>
      <c r="BK144" s="35">
        <f t="shared" si="48"/>
        <v>0.66285503504241983</v>
      </c>
      <c r="BL144" s="35">
        <f t="shared" si="49"/>
        <v>0.82355637030247475</v>
      </c>
      <c r="BM144" s="35">
        <f t="shared" si="50"/>
        <v>0.80486905201032832</v>
      </c>
      <c r="BN144" s="20">
        <v>2711</v>
      </c>
      <c r="BO144" s="27">
        <f t="shared" si="51"/>
        <v>529</v>
      </c>
      <c r="BP144" s="20">
        <v>2182</v>
      </c>
      <c r="BQ144" s="20">
        <v>1797</v>
      </c>
      <c r="BR144" s="20">
        <f t="shared" si="52"/>
        <v>385</v>
      </c>
      <c r="BS144" s="20"/>
      <c r="BT144" s="20"/>
      <c r="BU144" s="45">
        <v>2004</v>
      </c>
      <c r="BV144" s="48" t="s">
        <v>44</v>
      </c>
      <c r="BW144" s="35">
        <f t="shared" si="53"/>
        <v>0.71573973100690658</v>
      </c>
      <c r="BX144" s="35">
        <f t="shared" si="54"/>
        <v>0.8689320388349514</v>
      </c>
      <c r="BY144" s="35">
        <f t="shared" si="55"/>
        <v>0.82370047255543444</v>
      </c>
      <c r="BZ144" s="20">
        <v>2751</v>
      </c>
      <c r="CA144" s="27">
        <f t="shared" si="56"/>
        <v>485</v>
      </c>
      <c r="CB144" s="20">
        <v>2266</v>
      </c>
      <c r="CC144" s="20">
        <v>1969</v>
      </c>
      <c r="CD144" s="20">
        <f t="shared" si="57"/>
        <v>297</v>
      </c>
      <c r="CE144" s="20"/>
      <c r="CF144" s="20"/>
      <c r="CG144" s="45">
        <v>2004</v>
      </c>
      <c r="CH144" s="48" t="s">
        <v>44</v>
      </c>
      <c r="CI144" s="35">
        <f t="shared" si="58"/>
        <v>0.7769640479360852</v>
      </c>
      <c r="CJ144" s="35">
        <f t="shared" si="59"/>
        <v>0.97984886649874059</v>
      </c>
      <c r="CK144" s="35">
        <f t="shared" si="60"/>
        <v>0.79294274300932088</v>
      </c>
      <c r="CL144" s="20">
        <v>1502</v>
      </c>
      <c r="CM144" s="20">
        <f t="shared" si="61"/>
        <v>311</v>
      </c>
      <c r="CN144" s="20">
        <v>1191</v>
      </c>
      <c r="CO144" s="20">
        <v>1167</v>
      </c>
      <c r="CP144" s="20">
        <f t="shared" si="62"/>
        <v>24</v>
      </c>
      <c r="CQ144" s="20"/>
      <c r="CR144" s="20"/>
      <c r="CS144" s="45">
        <v>2004</v>
      </c>
      <c r="CT144" s="48" t="s">
        <v>44</v>
      </c>
      <c r="CU144" s="35">
        <f t="shared" si="63"/>
        <v>2.8253424657534245E-2</v>
      </c>
      <c r="CV144" s="35">
        <f t="shared" si="64"/>
        <v>4.4654939106901215E-2</v>
      </c>
      <c r="CW144" s="35">
        <f t="shared" si="65"/>
        <v>0.6327054794520548</v>
      </c>
      <c r="CX144" s="20">
        <v>1168</v>
      </c>
      <c r="CY144" s="27">
        <f t="shared" si="66"/>
        <v>429</v>
      </c>
      <c r="CZ144" s="20">
        <v>739</v>
      </c>
      <c r="DA144" s="20">
        <v>33</v>
      </c>
      <c r="DB144" s="20">
        <f t="shared" si="67"/>
        <v>706</v>
      </c>
      <c r="DC144" s="20"/>
      <c r="DD144" s="20"/>
      <c r="DE144" s="45">
        <v>2004</v>
      </c>
      <c r="DF144" s="48" t="s">
        <v>44</v>
      </c>
      <c r="DG144" s="35">
        <f t="shared" si="68"/>
        <v>0.96097560975609753</v>
      </c>
      <c r="DH144" s="35">
        <f t="shared" si="69"/>
        <v>0.97605284888521882</v>
      </c>
      <c r="DI144" s="35">
        <f t="shared" si="70"/>
        <v>0.98455284552845523</v>
      </c>
      <c r="DJ144" s="20">
        <v>1230</v>
      </c>
      <c r="DK144" s="27">
        <f t="shared" si="71"/>
        <v>19</v>
      </c>
      <c r="DL144" s="20">
        <v>1211</v>
      </c>
      <c r="DM144" s="20">
        <v>1182</v>
      </c>
      <c r="DN144" s="20">
        <f t="shared" si="72"/>
        <v>29</v>
      </c>
      <c r="DO144" s="20"/>
      <c r="DP144" s="20"/>
      <c r="DQ144" s="45"/>
      <c r="DR144" s="48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</row>
    <row r="145" spans="1:132" s="29" customFormat="1" ht="12.75">
      <c r="A145" s="46">
        <v>2004</v>
      </c>
      <c r="B145" s="47" t="s">
        <v>45</v>
      </c>
      <c r="C145" s="35">
        <f t="shared" si="73"/>
        <v>0.70292264179030417</v>
      </c>
      <c r="D145" s="35">
        <f t="shared" si="74"/>
        <v>0.79152930658769627</v>
      </c>
      <c r="E145" s="35">
        <f t="shared" si="75"/>
        <v>0.88805636877884186</v>
      </c>
      <c r="F14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G145" s="20">
        <f t="shared" si="76"/>
        <v>2256</v>
      </c>
      <c r="H14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17897</v>
      </c>
      <c r="I14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14166</v>
      </c>
      <c r="J145" s="20">
        <f t="shared" si="77"/>
        <v>3731</v>
      </c>
      <c r="K145" s="20"/>
      <c r="L145" s="20"/>
      <c r="M145" s="134">
        <v>2004</v>
      </c>
      <c r="N145" s="135" t="s">
        <v>45</v>
      </c>
      <c r="O145" s="132">
        <f t="shared" si="28"/>
        <v>0.64091403699673555</v>
      </c>
      <c r="P145" s="132">
        <f t="shared" si="29"/>
        <v>0.67295058554698661</v>
      </c>
      <c r="Q145" s="132">
        <f t="shared" si="30"/>
        <v>0.95239390642002175</v>
      </c>
      <c r="R145" s="129">
        <v>3676</v>
      </c>
      <c r="S145" s="133">
        <f t="shared" si="31"/>
        <v>175</v>
      </c>
      <c r="T145" s="129">
        <v>3501</v>
      </c>
      <c r="U145" s="129">
        <v>2356</v>
      </c>
      <c r="V145" s="129">
        <f t="shared" si="32"/>
        <v>1145</v>
      </c>
      <c r="W145" s="20"/>
      <c r="X145" s="20"/>
      <c r="Y145" s="46">
        <v>2004</v>
      </c>
      <c r="Z145" s="47" t="s">
        <v>45</v>
      </c>
      <c r="AA145" s="35">
        <f t="shared" si="33"/>
        <v>0.76551273677335074</v>
      </c>
      <c r="AB145" s="35">
        <f t="shared" si="34"/>
        <v>0.7777040477770405</v>
      </c>
      <c r="AC145" s="35">
        <f t="shared" si="35"/>
        <v>0.98432397126061399</v>
      </c>
      <c r="AD145" s="20">
        <v>1531</v>
      </c>
      <c r="AE145" s="20">
        <f t="shared" si="36"/>
        <v>24</v>
      </c>
      <c r="AF145" s="20">
        <v>1507</v>
      </c>
      <c r="AG145" s="20">
        <v>1172</v>
      </c>
      <c r="AH145" s="20">
        <f t="shared" si="37"/>
        <v>335</v>
      </c>
      <c r="AI145" s="20"/>
      <c r="AJ145" s="20"/>
      <c r="AK145" s="46">
        <v>2004</v>
      </c>
      <c r="AL145" s="47" t="s">
        <v>45</v>
      </c>
      <c r="AM145" s="35">
        <f t="shared" si="38"/>
        <v>0.74702144559173944</v>
      </c>
      <c r="AN145" s="35">
        <f t="shared" si="39"/>
        <v>0.78212058212058211</v>
      </c>
      <c r="AO145" s="35">
        <f t="shared" si="40"/>
        <v>0.95512311358220814</v>
      </c>
      <c r="AP145" s="20">
        <v>5036</v>
      </c>
      <c r="AQ145" s="27">
        <f t="shared" si="41"/>
        <v>226</v>
      </c>
      <c r="AR145" s="20">
        <v>4810</v>
      </c>
      <c r="AS145" s="20">
        <v>3762</v>
      </c>
      <c r="AT145" s="20">
        <f t="shared" si="42"/>
        <v>1048</v>
      </c>
      <c r="AU145" s="20"/>
      <c r="AV145" s="20"/>
      <c r="AW145" s="46">
        <v>2004</v>
      </c>
      <c r="AX145" s="47" t="s">
        <v>45</v>
      </c>
      <c r="AY145" s="35">
        <f t="shared" si="43"/>
        <v>0.70899470899470896</v>
      </c>
      <c r="AZ145" s="35">
        <f t="shared" si="44"/>
        <v>0.83750000000000002</v>
      </c>
      <c r="BA145" s="35">
        <f t="shared" si="45"/>
        <v>0.84656084656084651</v>
      </c>
      <c r="BB145" s="20">
        <v>567</v>
      </c>
      <c r="BC145" s="27">
        <f t="shared" si="46"/>
        <v>87</v>
      </c>
      <c r="BD145" s="20">
        <v>480</v>
      </c>
      <c r="BE145" s="20">
        <v>402</v>
      </c>
      <c r="BF145" s="20">
        <f t="shared" si="47"/>
        <v>78</v>
      </c>
      <c r="BG145" s="20"/>
      <c r="BH145" s="20"/>
      <c r="BI145" s="46">
        <v>2004</v>
      </c>
      <c r="BJ145" s="47" t="s">
        <v>45</v>
      </c>
      <c r="BK145" s="35">
        <f t="shared" si="48"/>
        <v>0.76331360946745563</v>
      </c>
      <c r="BL145" s="35">
        <f t="shared" si="49"/>
        <v>0.9407474931631723</v>
      </c>
      <c r="BM145" s="35">
        <f t="shared" si="50"/>
        <v>0.81139053254437865</v>
      </c>
      <c r="BN145" s="20">
        <v>2704</v>
      </c>
      <c r="BO145" s="27">
        <f t="shared" si="51"/>
        <v>510</v>
      </c>
      <c r="BP145" s="20">
        <v>2194</v>
      </c>
      <c r="BQ145" s="20">
        <v>2064</v>
      </c>
      <c r="BR145" s="20">
        <f t="shared" si="52"/>
        <v>130</v>
      </c>
      <c r="BS145" s="20"/>
      <c r="BT145" s="20"/>
      <c r="BU145" s="46">
        <v>2004</v>
      </c>
      <c r="BV145" s="47" t="s">
        <v>45</v>
      </c>
      <c r="BW145" s="35">
        <f t="shared" si="53"/>
        <v>0.7672978878368536</v>
      </c>
      <c r="BX145" s="35">
        <f t="shared" si="54"/>
        <v>0.93395390070921991</v>
      </c>
      <c r="BY145" s="35">
        <f t="shared" si="55"/>
        <v>0.82155863073561541</v>
      </c>
      <c r="BZ145" s="20">
        <v>2746</v>
      </c>
      <c r="CA145" s="27">
        <f t="shared" si="56"/>
        <v>490</v>
      </c>
      <c r="CB145" s="20">
        <v>2256</v>
      </c>
      <c r="CC145" s="20">
        <v>2107</v>
      </c>
      <c r="CD145" s="20">
        <f t="shared" si="57"/>
        <v>149</v>
      </c>
      <c r="CE145" s="20"/>
      <c r="CF145" s="20"/>
      <c r="CG145" s="46">
        <v>2004</v>
      </c>
      <c r="CH145" s="47" t="s">
        <v>45</v>
      </c>
      <c r="CI145" s="35">
        <f t="shared" si="58"/>
        <v>0.76450967311541029</v>
      </c>
      <c r="CJ145" s="35">
        <f t="shared" si="59"/>
        <v>0.99306759098786823</v>
      </c>
      <c r="CK145" s="35">
        <f t="shared" si="60"/>
        <v>0.76984656437625087</v>
      </c>
      <c r="CL145" s="20">
        <v>1499</v>
      </c>
      <c r="CM145" s="20">
        <f t="shared" si="61"/>
        <v>345</v>
      </c>
      <c r="CN145" s="20">
        <v>1154</v>
      </c>
      <c r="CO145" s="20">
        <v>1146</v>
      </c>
      <c r="CP145" s="20">
        <f t="shared" si="62"/>
        <v>8</v>
      </c>
      <c r="CQ145" s="20"/>
      <c r="CR145" s="20"/>
      <c r="CS145" s="46">
        <v>2004</v>
      </c>
      <c r="CT145" s="47" t="s">
        <v>45</v>
      </c>
      <c r="CU145" s="35">
        <f t="shared" si="63"/>
        <v>1.2864493996569469E-2</v>
      </c>
      <c r="CV145" s="35">
        <f t="shared" si="64"/>
        <v>1.8963337547408345E-2</v>
      </c>
      <c r="CW145" s="35">
        <f t="shared" si="65"/>
        <v>0.67838765008576329</v>
      </c>
      <c r="CX145" s="20">
        <v>1166</v>
      </c>
      <c r="CY145" s="27">
        <f t="shared" si="66"/>
        <v>375</v>
      </c>
      <c r="CZ145" s="20">
        <v>791</v>
      </c>
      <c r="DA145" s="20">
        <v>15</v>
      </c>
      <c r="DB145" s="20">
        <f t="shared" si="67"/>
        <v>776</v>
      </c>
      <c r="DC145" s="20"/>
      <c r="DD145" s="20"/>
      <c r="DE145" s="46">
        <v>2004</v>
      </c>
      <c r="DF145" s="47" t="s">
        <v>45</v>
      </c>
      <c r="DG145" s="35">
        <f t="shared" si="68"/>
        <v>0.92996742671009769</v>
      </c>
      <c r="DH145" s="35">
        <f t="shared" si="69"/>
        <v>0.94850498338870437</v>
      </c>
      <c r="DI145" s="35">
        <f t="shared" si="70"/>
        <v>0.98045602605863191</v>
      </c>
      <c r="DJ145" s="20">
        <v>1228</v>
      </c>
      <c r="DK145" s="27">
        <f t="shared" si="71"/>
        <v>24</v>
      </c>
      <c r="DL145" s="20">
        <v>1204</v>
      </c>
      <c r="DM145" s="20">
        <v>1142</v>
      </c>
      <c r="DN145" s="20">
        <f t="shared" si="72"/>
        <v>62</v>
      </c>
      <c r="DO145" s="20"/>
      <c r="DP145" s="20"/>
      <c r="DQ145" s="46"/>
      <c r="DR145" s="47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</row>
    <row r="146" spans="1:132" s="29" customFormat="1" ht="12.75">
      <c r="A146" s="45">
        <v>2004</v>
      </c>
      <c r="B146" s="48" t="s">
        <v>46</v>
      </c>
      <c r="C146" s="35">
        <f t="shared" si="73"/>
        <v>0.70698790362891129</v>
      </c>
      <c r="D146" s="35">
        <f t="shared" si="74"/>
        <v>0.77306515085264538</v>
      </c>
      <c r="E146" s="35">
        <f t="shared" si="75"/>
        <v>0.91452564230730782</v>
      </c>
      <c r="F14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20006</v>
      </c>
      <c r="G146" s="20">
        <f t="shared" si="76"/>
        <v>1710</v>
      </c>
      <c r="H14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18296</v>
      </c>
      <c r="I14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14144</v>
      </c>
      <c r="J146" s="20">
        <f t="shared" si="77"/>
        <v>4152</v>
      </c>
      <c r="K146" s="20"/>
      <c r="L146" s="20"/>
      <c r="M146" s="130">
        <v>2004</v>
      </c>
      <c r="N146" s="131" t="s">
        <v>46</v>
      </c>
      <c r="O146" s="132">
        <f t="shared" si="28"/>
        <v>0.66</v>
      </c>
      <c r="P146" s="132">
        <f t="shared" si="29"/>
        <v>0.67607973421926915</v>
      </c>
      <c r="Q146" s="132">
        <f t="shared" si="30"/>
        <v>0.97621621621621624</v>
      </c>
      <c r="R146" s="129">
        <v>3700</v>
      </c>
      <c r="S146" s="133">
        <f t="shared" si="31"/>
        <v>88</v>
      </c>
      <c r="T146" s="129">
        <v>3612</v>
      </c>
      <c r="U146" s="129">
        <v>2442</v>
      </c>
      <c r="V146" s="129">
        <f t="shared" si="32"/>
        <v>1170</v>
      </c>
      <c r="W146" s="20"/>
      <c r="X146" s="20"/>
      <c r="Y146" s="45">
        <v>2004</v>
      </c>
      <c r="Z146" s="48" t="s">
        <v>46</v>
      </c>
      <c r="AA146" s="35">
        <f t="shared" si="33"/>
        <v>0.68163804491413471</v>
      </c>
      <c r="AB146" s="35">
        <f t="shared" si="34"/>
        <v>0.69918699186991873</v>
      </c>
      <c r="AC146" s="35">
        <f t="shared" si="35"/>
        <v>0.97490092470277412</v>
      </c>
      <c r="AD146" s="20">
        <v>1514</v>
      </c>
      <c r="AE146" s="20">
        <f t="shared" si="36"/>
        <v>38</v>
      </c>
      <c r="AF146" s="20">
        <v>1476</v>
      </c>
      <c r="AG146" s="20">
        <v>1032</v>
      </c>
      <c r="AH146" s="20">
        <f t="shared" si="37"/>
        <v>444</v>
      </c>
      <c r="AI146" s="20"/>
      <c r="AJ146" s="20"/>
      <c r="AK146" s="45">
        <v>2004</v>
      </c>
      <c r="AL146" s="48" t="s">
        <v>46</v>
      </c>
      <c r="AM146" s="35">
        <f t="shared" si="38"/>
        <v>0.74383452665075578</v>
      </c>
      <c r="AN146" s="35">
        <f t="shared" si="39"/>
        <v>0.78902953586497893</v>
      </c>
      <c r="AO146" s="35">
        <f t="shared" si="40"/>
        <v>0.94272076372315039</v>
      </c>
      <c r="AP146" s="20">
        <v>5028</v>
      </c>
      <c r="AQ146" s="27">
        <f t="shared" si="41"/>
        <v>288</v>
      </c>
      <c r="AR146" s="20">
        <v>4740</v>
      </c>
      <c r="AS146" s="20">
        <v>3740</v>
      </c>
      <c r="AT146" s="20">
        <f t="shared" si="42"/>
        <v>1000</v>
      </c>
      <c r="AU146" s="20"/>
      <c r="AV146" s="20"/>
      <c r="AW146" s="45">
        <v>2004</v>
      </c>
      <c r="AX146" s="48" t="s">
        <v>46</v>
      </c>
      <c r="AY146" s="35">
        <f t="shared" si="43"/>
        <v>0.6262626262626263</v>
      </c>
      <c r="AZ146" s="35">
        <f t="shared" si="44"/>
        <v>0.68007312614259596</v>
      </c>
      <c r="BA146" s="35">
        <f t="shared" si="45"/>
        <v>0.92087542087542085</v>
      </c>
      <c r="BB146" s="20">
        <v>594</v>
      </c>
      <c r="BC146" s="27">
        <f t="shared" si="46"/>
        <v>47</v>
      </c>
      <c r="BD146" s="20">
        <v>547</v>
      </c>
      <c r="BE146" s="20">
        <v>372</v>
      </c>
      <c r="BF146" s="20">
        <f t="shared" si="47"/>
        <v>175</v>
      </c>
      <c r="BG146" s="20"/>
      <c r="BH146" s="20"/>
      <c r="BI146" s="45">
        <v>2004</v>
      </c>
      <c r="BJ146" s="48" t="s">
        <v>46</v>
      </c>
      <c r="BK146" s="35">
        <f t="shared" si="48"/>
        <v>0.7646176911544228</v>
      </c>
      <c r="BL146" s="35">
        <f t="shared" si="49"/>
        <v>0.8774193548387097</v>
      </c>
      <c r="BM146" s="35">
        <f t="shared" si="50"/>
        <v>0.8714392803598201</v>
      </c>
      <c r="BN146" s="20">
        <v>2668</v>
      </c>
      <c r="BO146" s="27">
        <f t="shared" si="51"/>
        <v>343</v>
      </c>
      <c r="BP146" s="20">
        <v>2325</v>
      </c>
      <c r="BQ146" s="20">
        <v>2040</v>
      </c>
      <c r="BR146" s="20">
        <f t="shared" si="52"/>
        <v>285</v>
      </c>
      <c r="BS146" s="20"/>
      <c r="BT146" s="20"/>
      <c r="BU146" s="45">
        <v>2004</v>
      </c>
      <c r="BV146" s="48" t="s">
        <v>46</v>
      </c>
      <c r="BW146" s="35">
        <f t="shared" si="53"/>
        <v>0.79185185185185181</v>
      </c>
      <c r="BX146" s="35">
        <f t="shared" si="54"/>
        <v>0.89643605870020959</v>
      </c>
      <c r="BY146" s="35">
        <f t="shared" si="55"/>
        <v>0.8833333333333333</v>
      </c>
      <c r="BZ146" s="20">
        <v>2700</v>
      </c>
      <c r="CA146" s="27">
        <f t="shared" si="56"/>
        <v>315</v>
      </c>
      <c r="CB146" s="20">
        <v>2385</v>
      </c>
      <c r="CC146" s="20">
        <v>2138</v>
      </c>
      <c r="CD146" s="20">
        <f t="shared" si="57"/>
        <v>247</v>
      </c>
      <c r="CE146" s="20"/>
      <c r="CF146" s="20"/>
      <c r="CG146" s="45">
        <v>2004</v>
      </c>
      <c r="CH146" s="48" t="s">
        <v>46</v>
      </c>
      <c r="CI146" s="35">
        <f t="shared" si="58"/>
        <v>0.86062246278755072</v>
      </c>
      <c r="CJ146" s="35">
        <f t="shared" si="59"/>
        <v>0.98988326848249031</v>
      </c>
      <c r="CK146" s="35">
        <f t="shared" si="60"/>
        <v>0.86941813261163736</v>
      </c>
      <c r="CL146" s="20">
        <v>1478</v>
      </c>
      <c r="CM146" s="20">
        <f t="shared" si="61"/>
        <v>193</v>
      </c>
      <c r="CN146" s="20">
        <v>1285</v>
      </c>
      <c r="CO146" s="20">
        <v>1272</v>
      </c>
      <c r="CP146" s="20">
        <f t="shared" si="62"/>
        <v>13</v>
      </c>
      <c r="CQ146" s="20"/>
      <c r="CR146" s="20"/>
      <c r="CS146" s="45">
        <v>2004</v>
      </c>
      <c r="CT146" s="48" t="s">
        <v>46</v>
      </c>
      <c r="CU146" s="35">
        <f t="shared" si="63"/>
        <v>1.5901060070671377E-2</v>
      </c>
      <c r="CV146" s="35">
        <f t="shared" si="64"/>
        <v>2.3591087811271297E-2</v>
      </c>
      <c r="CW146" s="35">
        <f t="shared" si="65"/>
        <v>0.67402826855123676</v>
      </c>
      <c r="CX146" s="20">
        <v>1132</v>
      </c>
      <c r="CY146" s="27">
        <f t="shared" si="66"/>
        <v>369</v>
      </c>
      <c r="CZ146" s="20">
        <v>763</v>
      </c>
      <c r="DA146" s="20">
        <v>18</v>
      </c>
      <c r="DB146" s="20">
        <f t="shared" si="67"/>
        <v>745</v>
      </c>
      <c r="DC146" s="20"/>
      <c r="DD146" s="20"/>
      <c r="DE146" s="45">
        <v>2004</v>
      </c>
      <c r="DF146" s="48" t="s">
        <v>46</v>
      </c>
      <c r="DG146" s="35">
        <f t="shared" si="68"/>
        <v>0.91442953020134232</v>
      </c>
      <c r="DH146" s="35">
        <f t="shared" si="69"/>
        <v>0.93723129836629404</v>
      </c>
      <c r="DI146" s="35">
        <f t="shared" si="70"/>
        <v>0.97567114093959728</v>
      </c>
      <c r="DJ146" s="20">
        <v>1192</v>
      </c>
      <c r="DK146" s="27">
        <f t="shared" si="71"/>
        <v>29</v>
      </c>
      <c r="DL146" s="20">
        <v>1163</v>
      </c>
      <c r="DM146" s="20">
        <v>1090</v>
      </c>
      <c r="DN146" s="20">
        <f t="shared" si="72"/>
        <v>73</v>
      </c>
      <c r="DO146" s="20"/>
      <c r="DP146" s="20"/>
      <c r="DQ146" s="45"/>
      <c r="DR146" s="48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</row>
    <row r="147" spans="1:132" s="29" customFormat="1" ht="12.75">
      <c r="A147" s="46">
        <v>2004</v>
      </c>
      <c r="B147" s="47" t="s">
        <v>47</v>
      </c>
      <c r="C147" s="35">
        <f t="shared" si="73"/>
        <v>0.71806541962588777</v>
      </c>
      <c r="D147" s="35">
        <f t="shared" si="74"/>
        <v>0.80363839910439405</v>
      </c>
      <c r="E147" s="35">
        <f t="shared" si="75"/>
        <v>0.89351805541662499</v>
      </c>
      <c r="F14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19994</v>
      </c>
      <c r="G147" s="20">
        <f t="shared" si="76"/>
        <v>2129</v>
      </c>
      <c r="H14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17865</v>
      </c>
      <c r="I14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14357</v>
      </c>
      <c r="J147" s="20">
        <f t="shared" si="77"/>
        <v>3508</v>
      </c>
      <c r="K147" s="20"/>
      <c r="L147" s="20"/>
      <c r="M147" s="134">
        <v>2004</v>
      </c>
      <c r="N147" s="135" t="s">
        <v>47</v>
      </c>
      <c r="O147" s="132">
        <f t="shared" si="28"/>
        <v>0.68934177912420824</v>
      </c>
      <c r="P147" s="132">
        <f t="shared" si="29"/>
        <v>0.72698228289282607</v>
      </c>
      <c r="Q147" s="132">
        <f t="shared" si="30"/>
        <v>0.94822362985403474</v>
      </c>
      <c r="R147" s="129">
        <v>3631</v>
      </c>
      <c r="S147" s="133">
        <f t="shared" si="31"/>
        <v>188</v>
      </c>
      <c r="T147" s="129">
        <v>3443</v>
      </c>
      <c r="U147" s="129">
        <v>2503</v>
      </c>
      <c r="V147" s="129">
        <f t="shared" si="32"/>
        <v>940</v>
      </c>
      <c r="W147" s="20"/>
      <c r="X147" s="20"/>
      <c r="Y147" s="46">
        <v>2004</v>
      </c>
      <c r="Z147" s="47" t="s">
        <v>47</v>
      </c>
      <c r="AA147" s="35">
        <f t="shared" si="33"/>
        <v>0.70013037809647982</v>
      </c>
      <c r="AB147" s="35">
        <f t="shared" si="34"/>
        <v>0.71983914209115285</v>
      </c>
      <c r="AC147" s="35">
        <f t="shared" si="35"/>
        <v>0.97262059973924375</v>
      </c>
      <c r="AD147" s="20">
        <v>1534</v>
      </c>
      <c r="AE147" s="20">
        <f t="shared" si="36"/>
        <v>42</v>
      </c>
      <c r="AF147" s="20">
        <v>1492</v>
      </c>
      <c r="AG147" s="20">
        <v>1074</v>
      </c>
      <c r="AH147" s="20">
        <f t="shared" si="37"/>
        <v>418</v>
      </c>
      <c r="AI147" s="20"/>
      <c r="AJ147" s="20"/>
      <c r="AK147" s="46">
        <v>2004</v>
      </c>
      <c r="AL147" s="47" t="s">
        <v>47</v>
      </c>
      <c r="AM147" s="35">
        <f t="shared" si="38"/>
        <v>0.80591645012992208</v>
      </c>
      <c r="AN147" s="35">
        <f t="shared" si="39"/>
        <v>0.85988483685220729</v>
      </c>
      <c r="AO147" s="35">
        <f t="shared" si="40"/>
        <v>0.93723765740555665</v>
      </c>
      <c r="AP147" s="20">
        <v>5003</v>
      </c>
      <c r="AQ147" s="27">
        <f t="shared" si="41"/>
        <v>314</v>
      </c>
      <c r="AR147" s="20">
        <v>4689</v>
      </c>
      <c r="AS147" s="20">
        <v>4032</v>
      </c>
      <c r="AT147" s="20">
        <f t="shared" si="42"/>
        <v>657</v>
      </c>
      <c r="AU147" s="20"/>
      <c r="AV147" s="20"/>
      <c r="AW147" s="46">
        <v>2004</v>
      </c>
      <c r="AX147" s="47" t="s">
        <v>47</v>
      </c>
      <c r="AY147" s="35">
        <f t="shared" si="43"/>
        <v>0.6074074074074074</v>
      </c>
      <c r="AZ147" s="35">
        <f t="shared" si="44"/>
        <v>0.71304347826086956</v>
      </c>
      <c r="BA147" s="35">
        <f t="shared" si="45"/>
        <v>0.85185185185185186</v>
      </c>
      <c r="BB147" s="20">
        <v>540</v>
      </c>
      <c r="BC147" s="27">
        <f t="shared" si="46"/>
        <v>80</v>
      </c>
      <c r="BD147" s="20">
        <v>460</v>
      </c>
      <c r="BE147" s="20">
        <v>328</v>
      </c>
      <c r="BF147" s="20">
        <f t="shared" si="47"/>
        <v>132</v>
      </c>
      <c r="BG147" s="20"/>
      <c r="BH147" s="20"/>
      <c r="BI147" s="46">
        <v>2004</v>
      </c>
      <c r="BJ147" s="47" t="s">
        <v>47</v>
      </c>
      <c r="BK147" s="35">
        <f t="shared" si="48"/>
        <v>0.7280865348750466</v>
      </c>
      <c r="BL147" s="35">
        <f t="shared" si="49"/>
        <v>0.87967552951780081</v>
      </c>
      <c r="BM147" s="35">
        <f t="shared" si="50"/>
        <v>0.82767624020887731</v>
      </c>
      <c r="BN147" s="20">
        <v>2681</v>
      </c>
      <c r="BO147" s="27">
        <f t="shared" si="51"/>
        <v>462</v>
      </c>
      <c r="BP147" s="20">
        <v>2219</v>
      </c>
      <c r="BQ147" s="20">
        <v>1952</v>
      </c>
      <c r="BR147" s="20">
        <f t="shared" si="52"/>
        <v>267</v>
      </c>
      <c r="BS147" s="20"/>
      <c r="BT147" s="20"/>
      <c r="BU147" s="46">
        <v>2004</v>
      </c>
      <c r="BV147" s="47" t="s">
        <v>47</v>
      </c>
      <c r="BW147" s="35">
        <f t="shared" si="53"/>
        <v>0.75935436537050627</v>
      </c>
      <c r="BX147" s="35">
        <f t="shared" si="54"/>
        <v>0.88272921108742008</v>
      </c>
      <c r="BY147" s="35">
        <f t="shared" si="55"/>
        <v>0.86023477622890687</v>
      </c>
      <c r="BZ147" s="20">
        <v>2726</v>
      </c>
      <c r="CA147" s="27">
        <f t="shared" si="56"/>
        <v>381</v>
      </c>
      <c r="CB147" s="20">
        <v>2345</v>
      </c>
      <c r="CC147" s="20">
        <v>2070</v>
      </c>
      <c r="CD147" s="20">
        <f t="shared" si="57"/>
        <v>275</v>
      </c>
      <c r="CE147" s="20"/>
      <c r="CF147" s="20"/>
      <c r="CG147" s="46">
        <v>2004</v>
      </c>
      <c r="CH147" s="47" t="s">
        <v>47</v>
      </c>
      <c r="CI147" s="35">
        <f t="shared" si="58"/>
        <v>0.828956228956229</v>
      </c>
      <c r="CJ147" s="35">
        <f t="shared" si="59"/>
        <v>0.98716920609462711</v>
      </c>
      <c r="CK147" s="35">
        <f t="shared" si="60"/>
        <v>0.83973063973063977</v>
      </c>
      <c r="CL147" s="20">
        <v>1485</v>
      </c>
      <c r="CM147" s="20">
        <f t="shared" si="61"/>
        <v>238</v>
      </c>
      <c r="CN147" s="20">
        <v>1247</v>
      </c>
      <c r="CO147" s="20">
        <v>1231</v>
      </c>
      <c r="CP147" s="20">
        <f t="shared" si="62"/>
        <v>16</v>
      </c>
      <c r="CQ147" s="20"/>
      <c r="CR147" s="20"/>
      <c r="CS147" s="46">
        <v>2004</v>
      </c>
      <c r="CT147" s="47" t="s">
        <v>47</v>
      </c>
      <c r="CU147" s="35">
        <f t="shared" si="63"/>
        <v>2.3156089193825044E-2</v>
      </c>
      <c r="CV147" s="35">
        <f t="shared" si="64"/>
        <v>3.4793814432989692E-2</v>
      </c>
      <c r="CW147" s="35">
        <f t="shared" si="65"/>
        <v>0.66552315608919388</v>
      </c>
      <c r="CX147" s="20">
        <v>1166</v>
      </c>
      <c r="CY147" s="27">
        <f t="shared" si="66"/>
        <v>390</v>
      </c>
      <c r="CZ147" s="20">
        <v>776</v>
      </c>
      <c r="DA147" s="20">
        <v>27</v>
      </c>
      <c r="DB147" s="20">
        <f t="shared" si="67"/>
        <v>749</v>
      </c>
      <c r="DC147" s="20"/>
      <c r="DD147" s="20"/>
      <c r="DE147" s="46">
        <v>2004</v>
      </c>
      <c r="DF147" s="47" t="s">
        <v>47</v>
      </c>
      <c r="DG147" s="35">
        <f t="shared" si="68"/>
        <v>0.92833876221498368</v>
      </c>
      <c r="DH147" s="35">
        <f t="shared" si="69"/>
        <v>0.95477386934673369</v>
      </c>
      <c r="DI147" s="35">
        <f t="shared" si="70"/>
        <v>0.97231270358306188</v>
      </c>
      <c r="DJ147" s="20">
        <v>1228</v>
      </c>
      <c r="DK147" s="27">
        <f t="shared" si="71"/>
        <v>34</v>
      </c>
      <c r="DL147" s="20">
        <v>1194</v>
      </c>
      <c r="DM147" s="20">
        <v>1140</v>
      </c>
      <c r="DN147" s="20">
        <f t="shared" si="72"/>
        <v>54</v>
      </c>
      <c r="DO147" s="20"/>
      <c r="DP147" s="20"/>
      <c r="DQ147" s="46"/>
      <c r="DR147" s="47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</row>
    <row r="148" spans="1:132" s="29" customFormat="1" ht="12.75">
      <c r="A148" s="45">
        <v>2004</v>
      </c>
      <c r="B148" s="48" t="s">
        <v>48</v>
      </c>
      <c r="C148" s="35">
        <f t="shared" si="73"/>
        <v>0.82823188695261396</v>
      </c>
      <c r="D148" s="35">
        <f t="shared" si="74"/>
        <v>0.87281624921069245</v>
      </c>
      <c r="E148" s="35">
        <f t="shared" si="75"/>
        <v>0.94891895940480353</v>
      </c>
      <c r="F14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20027</v>
      </c>
      <c r="G148" s="20">
        <f t="shared" si="76"/>
        <v>1023</v>
      </c>
      <c r="H14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I14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16587</v>
      </c>
      <c r="J148" s="20">
        <f t="shared" si="77"/>
        <v>2417</v>
      </c>
      <c r="K148" s="20"/>
      <c r="L148" s="20"/>
      <c r="M148" s="130">
        <v>2004</v>
      </c>
      <c r="N148" s="131" t="s">
        <v>48</v>
      </c>
      <c r="O148" s="132">
        <f t="shared" si="28"/>
        <v>0.88246419886517158</v>
      </c>
      <c r="P148" s="132">
        <f t="shared" si="29"/>
        <v>0.90046870692031977</v>
      </c>
      <c r="Q148" s="132">
        <f t="shared" si="30"/>
        <v>0.98000540394487978</v>
      </c>
      <c r="R148" s="129">
        <v>3701</v>
      </c>
      <c r="S148" s="133">
        <f t="shared" si="31"/>
        <v>74</v>
      </c>
      <c r="T148" s="129">
        <v>3627</v>
      </c>
      <c r="U148" s="129">
        <v>3266</v>
      </c>
      <c r="V148" s="129">
        <f t="shared" si="32"/>
        <v>361</v>
      </c>
      <c r="W148" s="20"/>
      <c r="X148" s="20"/>
      <c r="Y148" s="45">
        <v>2004</v>
      </c>
      <c r="Z148" s="48" t="s">
        <v>48</v>
      </c>
      <c r="AA148" s="35">
        <f t="shared" si="33"/>
        <v>0.88822751322751325</v>
      </c>
      <c r="AB148" s="35">
        <f t="shared" si="34"/>
        <v>0.89295212765957444</v>
      </c>
      <c r="AC148" s="35">
        <f t="shared" si="35"/>
        <v>0.99470899470899465</v>
      </c>
      <c r="AD148" s="20">
        <v>1512</v>
      </c>
      <c r="AE148" s="20">
        <f t="shared" si="36"/>
        <v>8</v>
      </c>
      <c r="AF148" s="20">
        <v>1504</v>
      </c>
      <c r="AG148" s="20">
        <v>1343</v>
      </c>
      <c r="AH148" s="20">
        <f t="shared" si="37"/>
        <v>161</v>
      </c>
      <c r="AI148" s="20"/>
      <c r="AJ148" s="20"/>
      <c r="AK148" s="45">
        <v>2004</v>
      </c>
      <c r="AL148" s="48" t="s">
        <v>48</v>
      </c>
      <c r="AM148" s="35">
        <f t="shared" si="38"/>
        <v>0.90113387706385517</v>
      </c>
      <c r="AN148" s="35">
        <f t="shared" si="39"/>
        <v>0.93788819875776397</v>
      </c>
      <c r="AO148" s="35">
        <f t="shared" si="40"/>
        <v>0.96081161726675945</v>
      </c>
      <c r="AP148" s="20">
        <v>5027</v>
      </c>
      <c r="AQ148" s="27">
        <f t="shared" si="41"/>
        <v>197</v>
      </c>
      <c r="AR148" s="20">
        <v>4830</v>
      </c>
      <c r="AS148" s="20">
        <v>4530</v>
      </c>
      <c r="AT148" s="20">
        <f t="shared" si="42"/>
        <v>300</v>
      </c>
      <c r="AU148" s="20"/>
      <c r="AV148" s="20"/>
      <c r="AW148" s="45">
        <v>2004</v>
      </c>
      <c r="AX148" s="48" t="s">
        <v>48</v>
      </c>
      <c r="AY148" s="35">
        <f t="shared" si="43"/>
        <v>0.86038961038961037</v>
      </c>
      <c r="AZ148" s="35">
        <f t="shared" si="44"/>
        <v>0.89376053962900504</v>
      </c>
      <c r="BA148" s="35">
        <f t="shared" si="45"/>
        <v>0.96266233766233766</v>
      </c>
      <c r="BB148" s="20">
        <v>616</v>
      </c>
      <c r="BC148" s="27">
        <f t="shared" si="46"/>
        <v>23</v>
      </c>
      <c r="BD148" s="20">
        <v>593</v>
      </c>
      <c r="BE148" s="20">
        <v>530</v>
      </c>
      <c r="BF148" s="20">
        <f t="shared" si="47"/>
        <v>63</v>
      </c>
      <c r="BG148" s="20"/>
      <c r="BH148" s="20"/>
      <c r="BI148" s="45">
        <v>2004</v>
      </c>
      <c r="BJ148" s="48" t="s">
        <v>48</v>
      </c>
      <c r="BK148" s="35">
        <f t="shared" si="48"/>
        <v>0.82908545727136429</v>
      </c>
      <c r="BL148" s="35">
        <f t="shared" si="49"/>
        <v>0.86813186813186816</v>
      </c>
      <c r="BM148" s="35">
        <f t="shared" si="50"/>
        <v>0.95502248875562223</v>
      </c>
      <c r="BN148" s="20">
        <v>2668</v>
      </c>
      <c r="BO148" s="27">
        <f t="shared" si="51"/>
        <v>120</v>
      </c>
      <c r="BP148" s="20">
        <v>2548</v>
      </c>
      <c r="BQ148" s="20">
        <v>2212</v>
      </c>
      <c r="BR148" s="20">
        <f t="shared" si="52"/>
        <v>336</v>
      </c>
      <c r="BS148" s="20"/>
      <c r="BT148" s="20"/>
      <c r="BU148" s="45">
        <v>2004</v>
      </c>
      <c r="BV148" s="48" t="s">
        <v>48</v>
      </c>
      <c r="BW148" s="35">
        <f t="shared" si="53"/>
        <v>0.82925925925925925</v>
      </c>
      <c r="BX148" s="35">
        <f t="shared" si="54"/>
        <v>0.86514683153013905</v>
      </c>
      <c r="BY148" s="35">
        <f t="shared" si="55"/>
        <v>0.95851851851851855</v>
      </c>
      <c r="BZ148" s="20">
        <v>2700</v>
      </c>
      <c r="CA148" s="27">
        <f t="shared" si="56"/>
        <v>112</v>
      </c>
      <c r="CB148" s="20">
        <v>2588</v>
      </c>
      <c r="CC148" s="20">
        <v>2239</v>
      </c>
      <c r="CD148" s="20">
        <f t="shared" si="57"/>
        <v>349</v>
      </c>
      <c r="CE148" s="20"/>
      <c r="CF148" s="20"/>
      <c r="CG148" s="45">
        <v>2004</v>
      </c>
      <c r="CH148" s="48" t="s">
        <v>48</v>
      </c>
      <c r="CI148" s="35">
        <f t="shared" si="58"/>
        <v>0.90872210953346855</v>
      </c>
      <c r="CJ148" s="35">
        <f t="shared" si="59"/>
        <v>0.96899783705839937</v>
      </c>
      <c r="CK148" s="35">
        <f t="shared" si="60"/>
        <v>0.9377958079783637</v>
      </c>
      <c r="CL148" s="20">
        <v>1479</v>
      </c>
      <c r="CM148" s="20">
        <f t="shared" si="61"/>
        <v>92</v>
      </c>
      <c r="CN148" s="20">
        <v>1387</v>
      </c>
      <c r="CO148" s="20">
        <v>1344</v>
      </c>
      <c r="CP148" s="20">
        <f t="shared" si="62"/>
        <v>43</v>
      </c>
      <c r="CQ148" s="20"/>
      <c r="CR148" s="20"/>
      <c r="CS148" s="45">
        <v>2004</v>
      </c>
      <c r="CT148" s="48" t="s">
        <v>48</v>
      </c>
      <c r="CU148" s="35">
        <f t="shared" si="63"/>
        <v>7.9505300353356883E-3</v>
      </c>
      <c r="CV148" s="35">
        <f t="shared" si="64"/>
        <v>1.1936339522546418E-2</v>
      </c>
      <c r="CW148" s="35">
        <f t="shared" si="65"/>
        <v>0.66607773851590102</v>
      </c>
      <c r="CX148" s="20">
        <v>1132</v>
      </c>
      <c r="CY148" s="27">
        <f t="shared" si="66"/>
        <v>378</v>
      </c>
      <c r="CZ148" s="20">
        <v>754</v>
      </c>
      <c r="DA148" s="20">
        <v>9</v>
      </c>
      <c r="DB148" s="20">
        <f t="shared" si="67"/>
        <v>745</v>
      </c>
      <c r="DC148" s="20"/>
      <c r="DD148" s="20"/>
      <c r="DE148" s="45">
        <v>2004</v>
      </c>
      <c r="DF148" s="48" t="s">
        <v>48</v>
      </c>
      <c r="DG148" s="35">
        <f t="shared" si="68"/>
        <v>0.93456375838926176</v>
      </c>
      <c r="DH148" s="35">
        <f t="shared" si="69"/>
        <v>0.94970161977834611</v>
      </c>
      <c r="DI148" s="35">
        <f t="shared" si="70"/>
        <v>0.98406040268456374</v>
      </c>
      <c r="DJ148" s="20">
        <v>1192</v>
      </c>
      <c r="DK148" s="27">
        <f t="shared" si="71"/>
        <v>19</v>
      </c>
      <c r="DL148" s="20">
        <v>1173</v>
      </c>
      <c r="DM148" s="20">
        <v>1114</v>
      </c>
      <c r="DN148" s="20">
        <f t="shared" si="72"/>
        <v>59</v>
      </c>
      <c r="DO148" s="20"/>
      <c r="DP148" s="20"/>
      <c r="DQ148" s="45"/>
      <c r="DR148" s="48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</row>
    <row r="149" spans="1:132" s="29" customFormat="1" ht="12.75">
      <c r="A149" s="46">
        <v>2004</v>
      </c>
      <c r="B149" s="47" t="s">
        <v>49</v>
      </c>
      <c r="C149" s="35">
        <f t="shared" si="73"/>
        <v>0.84834313873384626</v>
      </c>
      <c r="D149" s="35">
        <f t="shared" si="74"/>
        <v>0.89758459246648226</v>
      </c>
      <c r="E149" s="35">
        <f t="shared" si="75"/>
        <v>0.94514004123296624</v>
      </c>
      <c r="F14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19887</v>
      </c>
      <c r="G149" s="20">
        <f t="shared" si="76"/>
        <v>1091</v>
      </c>
      <c r="H14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18796</v>
      </c>
      <c r="I14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16871</v>
      </c>
      <c r="J149" s="20">
        <f t="shared" si="77"/>
        <v>1925</v>
      </c>
      <c r="K149" s="20"/>
      <c r="L149" s="20"/>
      <c r="M149" s="134">
        <v>2004</v>
      </c>
      <c r="N149" s="135" t="s">
        <v>49</v>
      </c>
      <c r="O149" s="132">
        <f t="shared" si="28"/>
        <v>0.83865638766519823</v>
      </c>
      <c r="P149" s="132">
        <f t="shared" si="29"/>
        <v>0.88085598611914406</v>
      </c>
      <c r="Q149" s="132">
        <f t="shared" si="30"/>
        <v>0.9520925110132159</v>
      </c>
      <c r="R149" s="129">
        <v>3632</v>
      </c>
      <c r="S149" s="133">
        <f t="shared" si="31"/>
        <v>174</v>
      </c>
      <c r="T149" s="129">
        <v>3458</v>
      </c>
      <c r="U149" s="129">
        <v>3046</v>
      </c>
      <c r="V149" s="129">
        <f t="shared" si="32"/>
        <v>412</v>
      </c>
      <c r="W149" s="20"/>
      <c r="X149" s="20"/>
      <c r="Y149" s="46">
        <v>2004</v>
      </c>
      <c r="Z149" s="47" t="s">
        <v>49</v>
      </c>
      <c r="AA149" s="35">
        <f t="shared" si="33"/>
        <v>0.87140992167101827</v>
      </c>
      <c r="AB149" s="35">
        <f t="shared" si="34"/>
        <v>0.89178356713426854</v>
      </c>
      <c r="AC149" s="35">
        <f t="shared" si="35"/>
        <v>0.97715404699738906</v>
      </c>
      <c r="AD149" s="20">
        <v>1532</v>
      </c>
      <c r="AE149" s="20">
        <f t="shared" si="36"/>
        <v>35</v>
      </c>
      <c r="AF149" s="20">
        <v>1497</v>
      </c>
      <c r="AG149" s="20">
        <v>1335</v>
      </c>
      <c r="AH149" s="20">
        <f t="shared" si="37"/>
        <v>162</v>
      </c>
      <c r="AI149" s="20"/>
      <c r="AJ149" s="20"/>
      <c r="AK149" s="46">
        <v>2004</v>
      </c>
      <c r="AL149" s="47" t="s">
        <v>49</v>
      </c>
      <c r="AM149" s="35">
        <f t="shared" si="38"/>
        <v>0.86685325869652141</v>
      </c>
      <c r="AN149" s="35">
        <f t="shared" si="39"/>
        <v>0.93127147766323026</v>
      </c>
      <c r="AO149" s="35">
        <f t="shared" si="40"/>
        <v>0.93082766893242708</v>
      </c>
      <c r="AP149" s="20">
        <v>5002</v>
      </c>
      <c r="AQ149" s="27">
        <f t="shared" si="41"/>
        <v>346</v>
      </c>
      <c r="AR149" s="20">
        <v>4656</v>
      </c>
      <c r="AS149" s="20">
        <v>4336</v>
      </c>
      <c r="AT149" s="20">
        <f t="shared" si="42"/>
        <v>320</v>
      </c>
      <c r="AU149" s="20"/>
      <c r="AV149" s="20"/>
      <c r="AW149" s="46">
        <v>2004</v>
      </c>
      <c r="AX149" s="47" t="s">
        <v>49</v>
      </c>
      <c r="AY149" s="35">
        <f t="shared" si="43"/>
        <v>0.8125</v>
      </c>
      <c r="AZ149" s="35">
        <f t="shared" si="44"/>
        <v>0.8441558441558441</v>
      </c>
      <c r="BA149" s="35">
        <f t="shared" si="45"/>
        <v>0.96250000000000002</v>
      </c>
      <c r="BB149" s="20">
        <v>560</v>
      </c>
      <c r="BC149" s="27">
        <f t="shared" si="46"/>
        <v>21</v>
      </c>
      <c r="BD149" s="20">
        <v>539</v>
      </c>
      <c r="BE149" s="20">
        <v>455</v>
      </c>
      <c r="BF149" s="20">
        <f t="shared" si="47"/>
        <v>84</v>
      </c>
      <c r="BG149" s="20"/>
      <c r="BH149" s="20"/>
      <c r="BI149" s="46">
        <v>2004</v>
      </c>
      <c r="BJ149" s="47" t="s">
        <v>49</v>
      </c>
      <c r="BK149" s="35">
        <f t="shared" si="48"/>
        <v>0.83588213353226404</v>
      </c>
      <c r="BL149" s="35">
        <f t="shared" si="49"/>
        <v>0.88332676389436338</v>
      </c>
      <c r="BM149" s="35">
        <f t="shared" si="50"/>
        <v>0.94628869824692274</v>
      </c>
      <c r="BN149" s="20">
        <v>2681</v>
      </c>
      <c r="BO149" s="27">
        <f t="shared" si="51"/>
        <v>144</v>
      </c>
      <c r="BP149" s="20">
        <v>2537</v>
      </c>
      <c r="BQ149" s="20">
        <v>2241</v>
      </c>
      <c r="BR149" s="20">
        <f t="shared" si="52"/>
        <v>296</v>
      </c>
      <c r="BS149" s="20"/>
      <c r="BT149" s="20"/>
      <c r="BU149" s="46">
        <v>2004</v>
      </c>
      <c r="BV149" s="47" t="s">
        <v>49</v>
      </c>
      <c r="BW149" s="35">
        <f t="shared" si="53"/>
        <v>0.84299339691856201</v>
      </c>
      <c r="BX149" s="35">
        <f t="shared" si="54"/>
        <v>0.89277389277389274</v>
      </c>
      <c r="BY149" s="35">
        <f t="shared" si="55"/>
        <v>0.94424064563462951</v>
      </c>
      <c r="BZ149" s="20">
        <v>2726</v>
      </c>
      <c r="CA149" s="27">
        <f t="shared" si="56"/>
        <v>152</v>
      </c>
      <c r="CB149" s="20">
        <v>2574</v>
      </c>
      <c r="CC149" s="20">
        <v>2298</v>
      </c>
      <c r="CD149" s="20">
        <f t="shared" si="57"/>
        <v>276</v>
      </c>
      <c r="CE149" s="20"/>
      <c r="CF149" s="20"/>
      <c r="CG149" s="46">
        <v>2004</v>
      </c>
      <c r="CH149" s="47" t="s">
        <v>49</v>
      </c>
      <c r="CI149" s="35">
        <f t="shared" si="58"/>
        <v>0.95491251682368772</v>
      </c>
      <c r="CJ149" s="35">
        <f t="shared" si="59"/>
        <v>0.98816155988857934</v>
      </c>
      <c r="CK149" s="35">
        <f t="shared" si="60"/>
        <v>0.96635262449528936</v>
      </c>
      <c r="CL149" s="20">
        <v>1486</v>
      </c>
      <c r="CM149" s="20">
        <f t="shared" si="61"/>
        <v>50</v>
      </c>
      <c r="CN149" s="20">
        <v>1436</v>
      </c>
      <c r="CO149" s="20">
        <v>1419</v>
      </c>
      <c r="CP149" s="20">
        <f t="shared" si="62"/>
        <v>17</v>
      </c>
      <c r="CQ149" s="20"/>
      <c r="CR149" s="20"/>
      <c r="CS149" s="46">
        <v>2004</v>
      </c>
      <c r="CT149" s="47" t="s">
        <v>49</v>
      </c>
      <c r="CU149" s="35">
        <f t="shared" si="63"/>
        <v>0.56730769230769229</v>
      </c>
      <c r="CV149" s="35">
        <f t="shared" si="64"/>
        <v>0.65555555555555556</v>
      </c>
      <c r="CW149" s="35">
        <f t="shared" si="65"/>
        <v>0.86538461538461542</v>
      </c>
      <c r="CX149" s="20">
        <v>1040</v>
      </c>
      <c r="CY149" s="27">
        <f t="shared" si="66"/>
        <v>140</v>
      </c>
      <c r="CZ149" s="20">
        <v>900</v>
      </c>
      <c r="DA149" s="20">
        <v>590</v>
      </c>
      <c r="DB149" s="20">
        <f t="shared" si="67"/>
        <v>310</v>
      </c>
      <c r="DC149" s="20"/>
      <c r="DD149" s="20"/>
      <c r="DE149" s="46">
        <v>2004</v>
      </c>
      <c r="DF149" s="47" t="s">
        <v>49</v>
      </c>
      <c r="DG149" s="35">
        <f t="shared" si="68"/>
        <v>0.93729641693811072</v>
      </c>
      <c r="DH149" s="35">
        <f t="shared" si="69"/>
        <v>0.95996663886572142</v>
      </c>
      <c r="DI149" s="35">
        <f t="shared" si="70"/>
        <v>0.9763843648208469</v>
      </c>
      <c r="DJ149" s="20">
        <v>1228</v>
      </c>
      <c r="DK149" s="27">
        <f t="shared" si="71"/>
        <v>29</v>
      </c>
      <c r="DL149" s="20">
        <v>1199</v>
      </c>
      <c r="DM149" s="20">
        <v>1151</v>
      </c>
      <c r="DN149" s="20">
        <f t="shared" si="72"/>
        <v>48</v>
      </c>
      <c r="DO149" s="20"/>
      <c r="DP149" s="20"/>
      <c r="DQ149" s="46"/>
      <c r="DR149" s="47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</row>
    <row r="150" spans="1:132" s="29" customFormat="1" ht="12.75">
      <c r="A150" s="45">
        <v>2005</v>
      </c>
      <c r="B150" s="48" t="s">
        <v>38</v>
      </c>
      <c r="C150" s="35">
        <f t="shared" si="73"/>
        <v>0.90468804723069995</v>
      </c>
      <c r="D150" s="35">
        <f t="shared" si="74"/>
        <v>0.94290034937685774</v>
      </c>
      <c r="E150" s="35">
        <f t="shared" si="75"/>
        <v>0.9594736578776204</v>
      </c>
      <c r="F15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19987</v>
      </c>
      <c r="G150" s="20">
        <f t="shared" si="76"/>
        <v>810</v>
      </c>
      <c r="H15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19177</v>
      </c>
      <c r="I15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18082</v>
      </c>
      <c r="J150" s="20">
        <f t="shared" si="77"/>
        <v>1095</v>
      </c>
      <c r="K150" s="27"/>
      <c r="L150" s="27"/>
      <c r="M150" s="130">
        <v>2005</v>
      </c>
      <c r="N150" s="131" t="s">
        <v>38</v>
      </c>
      <c r="O150" s="132">
        <f t="shared" ref="O150:O197" si="78">U150/R150</f>
        <v>0.92167527875985855</v>
      </c>
      <c r="P150" s="132">
        <f t="shared" ref="P150:P197" si="79">U150/T150</f>
        <v>0.95330520393811535</v>
      </c>
      <c r="Q150" s="132">
        <f t="shared" ref="Q150:Q197" si="80">T150/R150</f>
        <v>0.96682077780799569</v>
      </c>
      <c r="R150" s="129">
        <v>3677</v>
      </c>
      <c r="S150" s="133">
        <f t="shared" si="31"/>
        <v>122</v>
      </c>
      <c r="T150" s="129">
        <v>3555</v>
      </c>
      <c r="U150" s="129">
        <v>3389</v>
      </c>
      <c r="V150" s="129">
        <f t="shared" ref="V150:V161" si="81">T150-U150</f>
        <v>166</v>
      </c>
      <c r="W150" s="20"/>
      <c r="X150" s="20"/>
      <c r="Y150" s="45">
        <v>2005</v>
      </c>
      <c r="Z150" s="48" t="s">
        <v>38</v>
      </c>
      <c r="AA150" s="35">
        <f t="shared" ref="AA150:AA171" si="82">AG150/AD150</f>
        <v>0.91039895356442124</v>
      </c>
      <c r="AB150" s="35">
        <f t="shared" ref="AB150:AB171" si="83">AG150/AF150</f>
        <v>0.93235097119892829</v>
      </c>
      <c r="AC150" s="35">
        <f t="shared" ref="AC150:AC171" si="84">AF150/AD150</f>
        <v>0.97645519947678217</v>
      </c>
      <c r="AD150" s="20">
        <v>1529</v>
      </c>
      <c r="AE150" s="27">
        <f t="shared" si="36"/>
        <v>36</v>
      </c>
      <c r="AF150" s="20">
        <v>1493</v>
      </c>
      <c r="AG150" s="20">
        <v>1392</v>
      </c>
      <c r="AH150" s="20">
        <f t="shared" ref="AH150:AH171" si="85">AF150-AG150</f>
        <v>101</v>
      </c>
      <c r="AI150" s="20"/>
      <c r="AJ150" s="20"/>
      <c r="AK150" s="45">
        <v>2005</v>
      </c>
      <c r="AL150" s="48" t="s">
        <v>38</v>
      </c>
      <c r="AM150" s="35">
        <f t="shared" ref="AM150:AM197" si="86">AS150/AP150</f>
        <v>0.93286991062562064</v>
      </c>
      <c r="AN150" s="35">
        <f t="shared" ref="AN150:AN197" si="87">AS150/AR150</f>
        <v>0.97529069767441856</v>
      </c>
      <c r="AO150" s="35">
        <f t="shared" ref="AO150:AO197" si="88">AR150/AP150</f>
        <v>0.95650446871896722</v>
      </c>
      <c r="AP150" s="20">
        <v>5035</v>
      </c>
      <c r="AQ150" s="27">
        <f t="shared" ref="AQ150:AQ161" si="89">AP150-AR150</f>
        <v>219</v>
      </c>
      <c r="AR150" s="20">
        <v>4816</v>
      </c>
      <c r="AS150" s="20">
        <v>4697</v>
      </c>
      <c r="AT150" s="20">
        <f t="shared" ref="AT150:AT161" si="90">AR150-AS150</f>
        <v>119</v>
      </c>
      <c r="AU150" s="20"/>
      <c r="AV150" s="20"/>
      <c r="AW150" s="45">
        <v>2005</v>
      </c>
      <c r="AX150" s="48" t="s">
        <v>38</v>
      </c>
      <c r="AY150" s="35">
        <f t="shared" ref="AY150:AY197" si="91">BE150/BB150</f>
        <v>0.92346938775510201</v>
      </c>
      <c r="AZ150" s="35">
        <f t="shared" ref="AZ150:AZ197" si="92">BE150/BD150</f>
        <v>0.94764397905759157</v>
      </c>
      <c r="BA150" s="35">
        <f t="shared" ref="BA150:BA197" si="93">BD150/BB150</f>
        <v>0.97448979591836737</v>
      </c>
      <c r="BB150" s="20">
        <v>588</v>
      </c>
      <c r="BC150" s="27">
        <f t="shared" ref="BC150:BC161" si="94">BB150-BD150</f>
        <v>15</v>
      </c>
      <c r="BD150" s="20">
        <v>573</v>
      </c>
      <c r="BE150" s="20">
        <v>543</v>
      </c>
      <c r="BF150" s="20">
        <f t="shared" ref="BF150:BF161" si="95">BD150-BE150</f>
        <v>30</v>
      </c>
      <c r="BG150" s="20"/>
      <c r="BH150" s="20"/>
      <c r="BI150" s="45">
        <v>2005</v>
      </c>
      <c r="BJ150" s="48" t="s">
        <v>38</v>
      </c>
      <c r="BK150" s="35">
        <f t="shared" ref="BK150:BK197" si="96">BQ150/BN150</f>
        <v>0.8524408284023669</v>
      </c>
      <c r="BL150" s="35">
        <f t="shared" ref="BL150:BL197" si="97">BQ150/BP150</f>
        <v>0.89688715953307396</v>
      </c>
      <c r="BM150" s="35">
        <f t="shared" ref="BM150:BM197" si="98">BP150/BN150</f>
        <v>0.95044378698224852</v>
      </c>
      <c r="BN150" s="20">
        <v>2704</v>
      </c>
      <c r="BO150" s="27">
        <f t="shared" ref="BO150:BO161" si="99">BN150-BP150</f>
        <v>134</v>
      </c>
      <c r="BP150" s="20">
        <v>2570</v>
      </c>
      <c r="BQ150" s="20">
        <v>2305</v>
      </c>
      <c r="BR150" s="20">
        <f t="shared" ref="BR150:BR161" si="100">BP150-BQ150</f>
        <v>265</v>
      </c>
      <c r="BS150" s="20"/>
      <c r="BT150" s="20"/>
      <c r="BU150" s="45">
        <v>2005</v>
      </c>
      <c r="BV150" s="48" t="s">
        <v>38</v>
      </c>
      <c r="BW150" s="35">
        <f t="shared" ref="BW150:BW197" si="101">CC150/BZ150</f>
        <v>0.85506190823015293</v>
      </c>
      <c r="BX150" s="35">
        <f t="shared" ref="BX150:BX197" si="102">CC150/CB150</f>
        <v>0.90761499806725943</v>
      </c>
      <c r="BY150" s="35">
        <f t="shared" ref="BY150:BY197" si="103">CB150/BZ150</f>
        <v>0.94209759650400582</v>
      </c>
      <c r="BZ150" s="20">
        <v>2746</v>
      </c>
      <c r="CA150" s="27">
        <f t="shared" ref="CA150:CA161" si="104">BZ150-CB150</f>
        <v>159</v>
      </c>
      <c r="CB150" s="20">
        <v>2587</v>
      </c>
      <c r="CC150" s="20">
        <v>2348</v>
      </c>
      <c r="CD150" s="20">
        <f t="shared" ref="CD150:CD161" si="105">CB150-CC150</f>
        <v>239</v>
      </c>
      <c r="CE150" s="20"/>
      <c r="CF150" s="20"/>
      <c r="CG150" s="45">
        <v>2005</v>
      </c>
      <c r="CH150" s="48" t="s">
        <v>38</v>
      </c>
      <c r="CI150" s="35">
        <f t="shared" si="58"/>
        <v>0.95466666666666666</v>
      </c>
      <c r="CJ150" s="35">
        <f t="shared" si="59"/>
        <v>0.97414965986394553</v>
      </c>
      <c r="CK150" s="35">
        <f t="shared" si="60"/>
        <v>0.98</v>
      </c>
      <c r="CL150" s="20">
        <v>1500</v>
      </c>
      <c r="CM150" s="20">
        <f t="shared" si="61"/>
        <v>30</v>
      </c>
      <c r="CN150" s="20">
        <v>1470</v>
      </c>
      <c r="CO150" s="20">
        <v>1432</v>
      </c>
      <c r="CP150" s="20">
        <f t="shared" si="62"/>
        <v>38</v>
      </c>
      <c r="CQ150" s="20"/>
      <c r="CR150" s="20"/>
      <c r="CS150" s="45">
        <v>2005</v>
      </c>
      <c r="CT150" s="48" t="s">
        <v>38</v>
      </c>
      <c r="CU150" s="35">
        <f t="shared" ref="CU150:CU197" si="106">DA150/CX150</f>
        <v>0.88367346938775515</v>
      </c>
      <c r="CV150" s="35">
        <f t="shared" ref="CV150:CV197" si="107">DA150/CZ150</f>
        <v>0.9135021097046413</v>
      </c>
      <c r="CW150" s="35">
        <f t="shared" ref="CW150:CW197" si="108">CZ150/CX150</f>
        <v>0.96734693877551026</v>
      </c>
      <c r="CX150" s="20">
        <v>980</v>
      </c>
      <c r="CY150" s="27">
        <f t="shared" ref="CY150:CY161" si="109">CX150-CZ150</f>
        <v>32</v>
      </c>
      <c r="CZ150" s="20">
        <v>948</v>
      </c>
      <c r="DA150" s="20">
        <v>866</v>
      </c>
      <c r="DB150" s="20">
        <f t="shared" ref="DB150:DB161" si="110">CZ150-DA150</f>
        <v>82</v>
      </c>
      <c r="DC150" s="20"/>
      <c r="DD150" s="20"/>
      <c r="DE150" s="45">
        <v>2005</v>
      </c>
      <c r="DF150" s="48" t="s">
        <v>38</v>
      </c>
      <c r="DG150" s="35">
        <f t="shared" ref="DG150:DG197" si="111">DM150/DJ150</f>
        <v>0.90390879478827357</v>
      </c>
      <c r="DH150" s="35">
        <f t="shared" ref="DH150:DH197" si="112">DM150/DL150</f>
        <v>0.9527896995708155</v>
      </c>
      <c r="DI150" s="35">
        <f t="shared" ref="DI150:DI197" si="113">DL150/DJ150</f>
        <v>0.94869706840390877</v>
      </c>
      <c r="DJ150" s="20">
        <v>1228</v>
      </c>
      <c r="DK150" s="27">
        <f t="shared" ref="DK150:DK161" si="114">DJ150-DL150</f>
        <v>63</v>
      </c>
      <c r="DL150" s="20">
        <v>1165</v>
      </c>
      <c r="DM150" s="20">
        <v>1110</v>
      </c>
      <c r="DN150" s="20">
        <f t="shared" ref="DN150:DN161" si="115">DL150-DM150</f>
        <v>55</v>
      </c>
      <c r="DO150" s="20"/>
      <c r="DP150" s="20"/>
      <c r="DQ150" s="45"/>
      <c r="DR150" s="48"/>
      <c r="DS150" s="35"/>
      <c r="DT150" s="35"/>
      <c r="DU150" s="35"/>
      <c r="DV150" s="20"/>
      <c r="DW150" s="20"/>
      <c r="DX150" s="20"/>
      <c r="DY150" s="20"/>
      <c r="DZ150" s="20"/>
      <c r="EA150" s="20"/>
      <c r="EB150" s="20"/>
    </row>
    <row r="151" spans="1:132" s="29" customFormat="1" ht="12.75">
      <c r="A151" s="46">
        <v>2005</v>
      </c>
      <c r="B151" s="47" t="s">
        <v>39</v>
      </c>
      <c r="C151" s="35">
        <f t="shared" si="73"/>
        <v>0.87641242937853103</v>
      </c>
      <c r="D151" s="35">
        <f t="shared" si="74"/>
        <v>0.92236007089360239</v>
      </c>
      <c r="E151" s="35">
        <f t="shared" si="75"/>
        <v>0.9501847023033464</v>
      </c>
      <c r="F15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18408</v>
      </c>
      <c r="G151" s="20">
        <f t="shared" si="76"/>
        <v>917</v>
      </c>
      <c r="H15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17491</v>
      </c>
      <c r="I15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16133</v>
      </c>
      <c r="J151" s="20">
        <f t="shared" si="77"/>
        <v>1358</v>
      </c>
      <c r="K151" s="27"/>
      <c r="L151" s="27"/>
      <c r="M151" s="134">
        <v>2005</v>
      </c>
      <c r="N151" s="135" t="s">
        <v>39</v>
      </c>
      <c r="O151" s="132">
        <f t="shared" si="78"/>
        <v>0.86885245901639341</v>
      </c>
      <c r="P151" s="132">
        <f t="shared" si="79"/>
        <v>0.92749999999999999</v>
      </c>
      <c r="Q151" s="132">
        <f t="shared" si="80"/>
        <v>0.93676814988290402</v>
      </c>
      <c r="R151" s="129">
        <v>3416</v>
      </c>
      <c r="S151" s="133">
        <f t="shared" si="31"/>
        <v>216</v>
      </c>
      <c r="T151" s="129">
        <v>3200</v>
      </c>
      <c r="U151" s="129">
        <v>2968</v>
      </c>
      <c r="V151" s="129">
        <f t="shared" si="81"/>
        <v>232</v>
      </c>
      <c r="W151" s="20"/>
      <c r="X151" s="20"/>
      <c r="Y151" s="46">
        <v>2005</v>
      </c>
      <c r="Z151" s="47" t="s">
        <v>39</v>
      </c>
      <c r="AA151" s="35">
        <f t="shared" si="82"/>
        <v>0.86723163841807904</v>
      </c>
      <c r="AB151" s="35">
        <f t="shared" si="83"/>
        <v>0.90694239290989664</v>
      </c>
      <c r="AC151" s="35">
        <f t="shared" si="84"/>
        <v>0.95621468926553677</v>
      </c>
      <c r="AD151" s="20">
        <v>1416</v>
      </c>
      <c r="AE151" s="27">
        <f t="shared" si="36"/>
        <v>62</v>
      </c>
      <c r="AF151" s="20">
        <v>1354</v>
      </c>
      <c r="AG151" s="20">
        <v>1228</v>
      </c>
      <c r="AH151" s="20">
        <f t="shared" si="85"/>
        <v>126</v>
      </c>
      <c r="AI151" s="20"/>
      <c r="AJ151" s="20"/>
      <c r="AK151" s="46">
        <v>2005</v>
      </c>
      <c r="AL151" s="47" t="s">
        <v>39</v>
      </c>
      <c r="AM151" s="35">
        <f t="shared" si="86"/>
        <v>0.88261802575107295</v>
      </c>
      <c r="AN151" s="35">
        <f t="shared" si="87"/>
        <v>0.94226804123711339</v>
      </c>
      <c r="AO151" s="35">
        <f t="shared" si="88"/>
        <v>0.93669527896995708</v>
      </c>
      <c r="AP151" s="20">
        <v>4660</v>
      </c>
      <c r="AQ151" s="27">
        <f t="shared" si="89"/>
        <v>295</v>
      </c>
      <c r="AR151" s="20">
        <v>4365</v>
      </c>
      <c r="AS151" s="20">
        <v>4113</v>
      </c>
      <c r="AT151" s="20">
        <f t="shared" si="90"/>
        <v>252</v>
      </c>
      <c r="AU151" s="20"/>
      <c r="AV151" s="20"/>
      <c r="AW151" s="46">
        <v>2005</v>
      </c>
      <c r="AX151" s="47" t="s">
        <v>39</v>
      </c>
      <c r="AY151" s="35">
        <f t="shared" si="91"/>
        <v>0.8928571428571429</v>
      </c>
      <c r="AZ151" s="35">
        <f t="shared" si="92"/>
        <v>0.91911764705882348</v>
      </c>
      <c r="BA151" s="35">
        <f t="shared" si="93"/>
        <v>0.97142857142857142</v>
      </c>
      <c r="BB151" s="20">
        <v>560</v>
      </c>
      <c r="BC151" s="27">
        <f t="shared" si="94"/>
        <v>16</v>
      </c>
      <c r="BD151" s="20">
        <v>544</v>
      </c>
      <c r="BE151" s="20">
        <v>500</v>
      </c>
      <c r="BF151" s="20">
        <f t="shared" si="95"/>
        <v>44</v>
      </c>
      <c r="BG151" s="20"/>
      <c r="BH151" s="20"/>
      <c r="BI151" s="46">
        <v>2005</v>
      </c>
      <c r="BJ151" s="47" t="s">
        <v>39</v>
      </c>
      <c r="BK151" s="35">
        <f t="shared" si="96"/>
        <v>0.84975767366720512</v>
      </c>
      <c r="BL151" s="35">
        <f t="shared" si="97"/>
        <v>0.87593671940049955</v>
      </c>
      <c r="BM151" s="35">
        <f t="shared" si="98"/>
        <v>0.97011308562197096</v>
      </c>
      <c r="BN151" s="20">
        <v>2476</v>
      </c>
      <c r="BO151" s="27">
        <f t="shared" si="99"/>
        <v>74</v>
      </c>
      <c r="BP151" s="20">
        <v>2402</v>
      </c>
      <c r="BQ151" s="20">
        <v>2104</v>
      </c>
      <c r="BR151" s="20">
        <f t="shared" si="100"/>
        <v>298</v>
      </c>
      <c r="BS151" s="20"/>
      <c r="BT151" s="20"/>
      <c r="BU151" s="46">
        <v>2005</v>
      </c>
      <c r="BV151" s="47" t="s">
        <v>39</v>
      </c>
      <c r="BW151" s="35">
        <f t="shared" si="101"/>
        <v>0.84768740031897927</v>
      </c>
      <c r="BX151" s="35">
        <f t="shared" si="102"/>
        <v>0.89177852348993292</v>
      </c>
      <c r="BY151" s="35">
        <f t="shared" si="103"/>
        <v>0.95055821371610849</v>
      </c>
      <c r="BZ151" s="20">
        <v>2508</v>
      </c>
      <c r="CA151" s="27">
        <f t="shared" si="104"/>
        <v>124</v>
      </c>
      <c r="CB151" s="20">
        <v>2384</v>
      </c>
      <c r="CC151" s="20">
        <v>2126</v>
      </c>
      <c r="CD151" s="20">
        <f t="shared" si="105"/>
        <v>258</v>
      </c>
      <c r="CE151" s="20"/>
      <c r="CF151" s="20"/>
      <c r="CG151" s="46">
        <v>2005</v>
      </c>
      <c r="CH151" s="47" t="s">
        <v>39</v>
      </c>
      <c r="CI151" s="35">
        <f t="shared" si="58"/>
        <v>0.9139941690962099</v>
      </c>
      <c r="CJ151" s="35">
        <f t="shared" si="59"/>
        <v>0.9850746268656716</v>
      </c>
      <c r="CK151" s="35">
        <f t="shared" si="60"/>
        <v>0.92784256559766765</v>
      </c>
      <c r="CL151" s="20">
        <v>1372</v>
      </c>
      <c r="CM151" s="20">
        <f t="shared" si="61"/>
        <v>99</v>
      </c>
      <c r="CN151" s="20">
        <v>1273</v>
      </c>
      <c r="CO151" s="20">
        <v>1254</v>
      </c>
      <c r="CP151" s="20">
        <f t="shared" si="62"/>
        <v>19</v>
      </c>
      <c r="CQ151" s="20"/>
      <c r="CR151" s="20"/>
      <c r="CS151" s="46">
        <v>2005</v>
      </c>
      <c r="CT151" s="47" t="s">
        <v>39</v>
      </c>
      <c r="CU151" s="35">
        <f t="shared" si="106"/>
        <v>0.91328828828828834</v>
      </c>
      <c r="CV151" s="35">
        <f t="shared" si="107"/>
        <v>0.91328828828828834</v>
      </c>
      <c r="CW151" s="35">
        <f t="shared" si="108"/>
        <v>1</v>
      </c>
      <c r="CX151" s="20">
        <v>888</v>
      </c>
      <c r="CY151" s="27">
        <f t="shared" si="109"/>
        <v>0</v>
      </c>
      <c r="CZ151" s="20">
        <v>888</v>
      </c>
      <c r="DA151" s="20">
        <v>811</v>
      </c>
      <c r="DB151" s="20">
        <f t="shared" si="110"/>
        <v>77</v>
      </c>
      <c r="DC151" s="20"/>
      <c r="DD151" s="20"/>
      <c r="DE151" s="46">
        <v>2005</v>
      </c>
      <c r="DF151" s="47" t="s">
        <v>39</v>
      </c>
      <c r="DG151" s="35">
        <f t="shared" si="111"/>
        <v>0.92535971223021585</v>
      </c>
      <c r="DH151" s="35">
        <f t="shared" si="112"/>
        <v>0.95189639222941724</v>
      </c>
      <c r="DI151" s="35">
        <f t="shared" si="113"/>
        <v>0.97212230215827333</v>
      </c>
      <c r="DJ151" s="20">
        <v>1112</v>
      </c>
      <c r="DK151" s="27">
        <f t="shared" si="114"/>
        <v>31</v>
      </c>
      <c r="DL151" s="20">
        <v>1081</v>
      </c>
      <c r="DM151" s="20">
        <v>1029</v>
      </c>
      <c r="DN151" s="20">
        <f t="shared" si="115"/>
        <v>52</v>
      </c>
      <c r="DO151" s="20"/>
      <c r="DP151" s="20"/>
      <c r="DQ151" s="46"/>
      <c r="DR151" s="47"/>
      <c r="DS151" s="35"/>
      <c r="DT151" s="35"/>
      <c r="DU151" s="35"/>
      <c r="DV151" s="20"/>
      <c r="DW151" s="20"/>
      <c r="DX151" s="20"/>
      <c r="DY151" s="20"/>
      <c r="DZ151" s="20"/>
      <c r="EA151" s="20"/>
      <c r="EB151" s="20"/>
    </row>
    <row r="152" spans="1:132" s="29" customFormat="1" ht="12.75">
      <c r="A152" s="45">
        <v>2005</v>
      </c>
      <c r="B152" s="48" t="s">
        <v>40</v>
      </c>
      <c r="C152" s="35">
        <f t="shared" si="73"/>
        <v>0.83769659320613321</v>
      </c>
      <c r="D152" s="35">
        <f t="shared" si="74"/>
        <v>0.88264935064935068</v>
      </c>
      <c r="E152" s="35">
        <f t="shared" si="75"/>
        <v>0.94907065029827931</v>
      </c>
      <c r="F15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52" s="20">
        <f t="shared" si="76"/>
        <v>1033</v>
      </c>
      <c r="H15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19250</v>
      </c>
      <c r="I15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16991</v>
      </c>
      <c r="J152" s="20">
        <f t="shared" si="77"/>
        <v>2259</v>
      </c>
      <c r="K152" s="27"/>
      <c r="L152" s="27"/>
      <c r="M152" s="130">
        <v>2005</v>
      </c>
      <c r="N152" s="131" t="s">
        <v>40</v>
      </c>
      <c r="O152" s="132">
        <f t="shared" si="78"/>
        <v>0.83217900905700581</v>
      </c>
      <c r="P152" s="132">
        <f t="shared" si="79"/>
        <v>0.86946841079877535</v>
      </c>
      <c r="Q152" s="132">
        <f t="shared" si="80"/>
        <v>0.95711241342567932</v>
      </c>
      <c r="R152" s="129">
        <v>3754</v>
      </c>
      <c r="S152" s="133">
        <f t="shared" si="31"/>
        <v>161</v>
      </c>
      <c r="T152" s="129">
        <v>3593</v>
      </c>
      <c r="U152" s="129">
        <v>3124</v>
      </c>
      <c r="V152" s="129">
        <f t="shared" si="81"/>
        <v>469</v>
      </c>
      <c r="W152" s="20"/>
      <c r="X152" s="20"/>
      <c r="Y152" s="45">
        <v>2005</v>
      </c>
      <c r="Z152" s="48" t="s">
        <v>40</v>
      </c>
      <c r="AA152" s="35">
        <f t="shared" si="82"/>
        <v>0.8535645472061657</v>
      </c>
      <c r="AB152" s="35">
        <f t="shared" si="83"/>
        <v>0.86919555264879</v>
      </c>
      <c r="AC152" s="35">
        <f t="shared" si="84"/>
        <v>0.98201669877970454</v>
      </c>
      <c r="AD152" s="20">
        <v>1557</v>
      </c>
      <c r="AE152" s="27">
        <f t="shared" si="36"/>
        <v>28</v>
      </c>
      <c r="AF152" s="20">
        <v>1529</v>
      </c>
      <c r="AG152" s="20">
        <v>1329</v>
      </c>
      <c r="AH152" s="20">
        <f t="shared" si="85"/>
        <v>200</v>
      </c>
      <c r="AI152" s="20"/>
      <c r="AJ152" s="20"/>
      <c r="AK152" s="45">
        <v>2005</v>
      </c>
      <c r="AL152" s="48" t="s">
        <v>40</v>
      </c>
      <c r="AM152" s="35">
        <f t="shared" si="86"/>
        <v>0.85558157689305225</v>
      </c>
      <c r="AN152" s="35">
        <f t="shared" si="87"/>
        <v>0.90878938640132667</v>
      </c>
      <c r="AO152" s="35">
        <f t="shared" si="88"/>
        <v>0.94145199063231855</v>
      </c>
      <c r="AP152" s="20">
        <v>5124</v>
      </c>
      <c r="AQ152" s="27">
        <f t="shared" si="89"/>
        <v>300</v>
      </c>
      <c r="AR152" s="20">
        <v>4824</v>
      </c>
      <c r="AS152" s="20">
        <v>4384</v>
      </c>
      <c r="AT152" s="20">
        <f t="shared" si="90"/>
        <v>440</v>
      </c>
      <c r="AU152" s="20"/>
      <c r="AV152" s="20"/>
      <c r="AW152" s="45">
        <v>2005</v>
      </c>
      <c r="AX152" s="48" t="s">
        <v>40</v>
      </c>
      <c r="AY152" s="35">
        <f t="shared" si="91"/>
        <v>0.73538961038961037</v>
      </c>
      <c r="AZ152" s="35">
        <f t="shared" si="92"/>
        <v>0.79195804195804198</v>
      </c>
      <c r="BA152" s="35">
        <f t="shared" si="93"/>
        <v>0.9285714285714286</v>
      </c>
      <c r="BB152" s="20">
        <v>616</v>
      </c>
      <c r="BC152" s="27">
        <f t="shared" si="94"/>
        <v>44</v>
      </c>
      <c r="BD152" s="20">
        <v>572</v>
      </c>
      <c r="BE152" s="20">
        <v>453</v>
      </c>
      <c r="BF152" s="20">
        <f t="shared" si="95"/>
        <v>119</v>
      </c>
      <c r="BG152" s="20"/>
      <c r="BH152" s="20"/>
      <c r="BI152" s="45">
        <v>2005</v>
      </c>
      <c r="BJ152" s="48" t="s">
        <v>40</v>
      </c>
      <c r="BK152" s="35">
        <f t="shared" si="96"/>
        <v>0.77871250914411116</v>
      </c>
      <c r="BL152" s="35">
        <f t="shared" si="97"/>
        <v>0.82137345679012341</v>
      </c>
      <c r="BM152" s="35">
        <f t="shared" si="98"/>
        <v>0.94806144842721285</v>
      </c>
      <c r="BN152" s="20">
        <v>2734</v>
      </c>
      <c r="BO152" s="27">
        <f t="shared" si="99"/>
        <v>142</v>
      </c>
      <c r="BP152" s="20">
        <v>2592</v>
      </c>
      <c r="BQ152" s="20">
        <v>2129</v>
      </c>
      <c r="BR152" s="20">
        <f t="shared" si="100"/>
        <v>463</v>
      </c>
      <c r="BS152" s="20"/>
      <c r="BT152" s="20"/>
      <c r="BU152" s="45">
        <v>2005</v>
      </c>
      <c r="BV152" s="48" t="s">
        <v>40</v>
      </c>
      <c r="BW152" s="35">
        <f t="shared" si="101"/>
        <v>0.78599783471670881</v>
      </c>
      <c r="BX152" s="35">
        <f t="shared" si="102"/>
        <v>0.85044904334244431</v>
      </c>
      <c r="BY152" s="35">
        <f t="shared" si="103"/>
        <v>0.92421508480692893</v>
      </c>
      <c r="BZ152" s="20">
        <v>2771</v>
      </c>
      <c r="CA152" s="27">
        <f t="shared" si="104"/>
        <v>210</v>
      </c>
      <c r="CB152" s="20">
        <v>2561</v>
      </c>
      <c r="CC152" s="20">
        <v>2178</v>
      </c>
      <c r="CD152" s="20">
        <f t="shared" si="105"/>
        <v>383</v>
      </c>
      <c r="CE152" s="20"/>
      <c r="CF152" s="20"/>
      <c r="CG152" s="45">
        <v>2005</v>
      </c>
      <c r="CH152" s="48" t="s">
        <v>40</v>
      </c>
      <c r="CI152" s="35">
        <f t="shared" si="58"/>
        <v>0.92409240924092406</v>
      </c>
      <c r="CJ152" s="35">
        <f t="shared" si="59"/>
        <v>0.96286107290233836</v>
      </c>
      <c r="CK152" s="35">
        <f t="shared" si="60"/>
        <v>0.95973597359735974</v>
      </c>
      <c r="CL152" s="20">
        <v>1515</v>
      </c>
      <c r="CM152" s="20">
        <f t="shared" si="61"/>
        <v>61</v>
      </c>
      <c r="CN152" s="20">
        <v>1454</v>
      </c>
      <c r="CO152" s="20">
        <v>1400</v>
      </c>
      <c r="CP152" s="20">
        <f t="shared" si="62"/>
        <v>54</v>
      </c>
      <c r="CQ152" s="20"/>
      <c r="CR152" s="20"/>
      <c r="CS152" s="45">
        <v>2005</v>
      </c>
      <c r="CT152" s="48" t="s">
        <v>40</v>
      </c>
      <c r="CU152" s="35">
        <f t="shared" si="106"/>
        <v>0.86150712830957232</v>
      </c>
      <c r="CV152" s="35">
        <f t="shared" si="107"/>
        <v>0.91065662002152847</v>
      </c>
      <c r="CW152" s="35">
        <f t="shared" si="108"/>
        <v>0.94602851323828918</v>
      </c>
      <c r="CX152" s="20">
        <v>982</v>
      </c>
      <c r="CY152" s="27">
        <f t="shared" si="109"/>
        <v>53</v>
      </c>
      <c r="CZ152" s="20">
        <v>929</v>
      </c>
      <c r="DA152" s="20">
        <v>846</v>
      </c>
      <c r="DB152" s="20">
        <f t="shared" si="110"/>
        <v>83</v>
      </c>
      <c r="DC152" s="20"/>
      <c r="DD152" s="20"/>
      <c r="DE152" s="45">
        <v>2005</v>
      </c>
      <c r="DF152" s="48" t="s">
        <v>40</v>
      </c>
      <c r="DG152" s="35">
        <f t="shared" si="111"/>
        <v>0.93333333333333335</v>
      </c>
      <c r="DH152" s="35">
        <f t="shared" si="112"/>
        <v>0.95986622073578598</v>
      </c>
      <c r="DI152" s="35">
        <f t="shared" si="113"/>
        <v>0.97235772357723582</v>
      </c>
      <c r="DJ152" s="20">
        <v>1230</v>
      </c>
      <c r="DK152" s="27">
        <f t="shared" si="114"/>
        <v>34</v>
      </c>
      <c r="DL152" s="20">
        <v>1196</v>
      </c>
      <c r="DM152" s="20">
        <v>1148</v>
      </c>
      <c r="DN152" s="20">
        <f t="shared" si="115"/>
        <v>48</v>
      </c>
      <c r="DO152" s="20"/>
      <c r="DP152" s="20"/>
      <c r="DQ152" s="45"/>
      <c r="DR152" s="48"/>
      <c r="DS152" s="35"/>
      <c r="DT152" s="35"/>
      <c r="DU152" s="35"/>
      <c r="DV152" s="20"/>
      <c r="DW152" s="20"/>
      <c r="DX152" s="20"/>
      <c r="DY152" s="20"/>
      <c r="DZ152" s="20"/>
      <c r="EA152" s="20"/>
      <c r="EB152" s="20"/>
    </row>
    <row r="153" spans="1:132" s="29" customFormat="1" ht="12.75">
      <c r="A153" s="46">
        <v>2005</v>
      </c>
      <c r="B153" s="47" t="s">
        <v>41</v>
      </c>
      <c r="C153" s="35">
        <f t="shared" si="73"/>
        <v>0.78973467614130155</v>
      </c>
      <c r="D153" s="35">
        <f t="shared" si="74"/>
        <v>0.84632663123870044</v>
      </c>
      <c r="E153" s="35">
        <f t="shared" si="75"/>
        <v>0.93313225295230307</v>
      </c>
      <c r="F15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19561</v>
      </c>
      <c r="G153" s="20">
        <f t="shared" si="76"/>
        <v>1308</v>
      </c>
      <c r="H15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18253</v>
      </c>
      <c r="I15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15448</v>
      </c>
      <c r="J153" s="20">
        <f t="shared" si="77"/>
        <v>2805</v>
      </c>
      <c r="K153" s="27"/>
      <c r="L153" s="27"/>
      <c r="M153" s="134">
        <v>2005</v>
      </c>
      <c r="N153" s="135" t="s">
        <v>41</v>
      </c>
      <c r="O153" s="132">
        <f t="shared" si="78"/>
        <v>0.86109573879358048</v>
      </c>
      <c r="P153" s="132">
        <f t="shared" si="79"/>
        <v>0.88560045532157083</v>
      </c>
      <c r="Q153" s="132">
        <f t="shared" si="80"/>
        <v>0.97232982844493632</v>
      </c>
      <c r="R153" s="129">
        <v>3614</v>
      </c>
      <c r="S153" s="133">
        <f t="shared" si="31"/>
        <v>100</v>
      </c>
      <c r="T153" s="129">
        <v>3514</v>
      </c>
      <c r="U153" s="129">
        <v>3112</v>
      </c>
      <c r="V153" s="129">
        <f t="shared" si="81"/>
        <v>402</v>
      </c>
      <c r="W153" s="20"/>
      <c r="X153" s="20"/>
      <c r="Y153" s="46">
        <v>2005</v>
      </c>
      <c r="Z153" s="47" t="s">
        <v>41</v>
      </c>
      <c r="AA153" s="35">
        <f t="shared" si="82"/>
        <v>0.83843085106382975</v>
      </c>
      <c r="AB153" s="35">
        <f t="shared" si="83"/>
        <v>0.8537576167907921</v>
      </c>
      <c r="AC153" s="35">
        <f t="shared" si="84"/>
        <v>0.98204787234042556</v>
      </c>
      <c r="AD153" s="20">
        <v>1504</v>
      </c>
      <c r="AE153" s="27">
        <f t="shared" si="36"/>
        <v>27</v>
      </c>
      <c r="AF153" s="20">
        <v>1477</v>
      </c>
      <c r="AG153" s="20">
        <v>1261</v>
      </c>
      <c r="AH153" s="20">
        <f t="shared" si="85"/>
        <v>216</v>
      </c>
      <c r="AI153" s="20"/>
      <c r="AJ153" s="20"/>
      <c r="AK153" s="46">
        <v>2005</v>
      </c>
      <c r="AL153" s="47" t="s">
        <v>41</v>
      </c>
      <c r="AM153" s="35">
        <f t="shared" si="86"/>
        <v>0.85060728744939273</v>
      </c>
      <c r="AN153" s="35">
        <f t="shared" si="87"/>
        <v>0.89747970952584366</v>
      </c>
      <c r="AO153" s="35">
        <f t="shared" si="88"/>
        <v>0.94777327935222677</v>
      </c>
      <c r="AP153" s="20">
        <v>4940</v>
      </c>
      <c r="AQ153" s="27">
        <f t="shared" si="89"/>
        <v>258</v>
      </c>
      <c r="AR153" s="20">
        <v>4682</v>
      </c>
      <c r="AS153" s="20">
        <v>4202</v>
      </c>
      <c r="AT153" s="20">
        <f t="shared" si="90"/>
        <v>480</v>
      </c>
      <c r="AU153" s="20"/>
      <c r="AV153" s="20"/>
      <c r="AW153" s="46">
        <v>2005</v>
      </c>
      <c r="AX153" s="47" t="s">
        <v>41</v>
      </c>
      <c r="AY153" s="35">
        <f t="shared" si="91"/>
        <v>0.72959183673469385</v>
      </c>
      <c r="AZ153" s="35">
        <f t="shared" si="92"/>
        <v>0.8125</v>
      </c>
      <c r="BA153" s="35">
        <f t="shared" si="93"/>
        <v>0.89795918367346939</v>
      </c>
      <c r="BB153" s="20">
        <v>588</v>
      </c>
      <c r="BC153" s="27">
        <f t="shared" si="94"/>
        <v>60</v>
      </c>
      <c r="BD153" s="20">
        <v>528</v>
      </c>
      <c r="BE153" s="20">
        <v>429</v>
      </c>
      <c r="BF153" s="20">
        <f t="shared" si="95"/>
        <v>99</v>
      </c>
      <c r="BG153" s="20"/>
      <c r="BH153" s="20"/>
      <c r="BI153" s="46">
        <v>2005</v>
      </c>
      <c r="BJ153" s="47" t="s">
        <v>41</v>
      </c>
      <c r="BK153" s="35">
        <f t="shared" si="96"/>
        <v>0.46929492039423804</v>
      </c>
      <c r="BL153" s="35">
        <f t="shared" si="97"/>
        <v>0.59519230769230769</v>
      </c>
      <c r="BM153" s="35">
        <f t="shared" si="98"/>
        <v>0.78847611827141773</v>
      </c>
      <c r="BN153" s="20">
        <v>2638</v>
      </c>
      <c r="BO153" s="27">
        <f t="shared" si="99"/>
        <v>558</v>
      </c>
      <c r="BP153" s="20">
        <v>2080</v>
      </c>
      <c r="BQ153" s="20">
        <v>1238</v>
      </c>
      <c r="BR153" s="20">
        <f t="shared" si="100"/>
        <v>842</v>
      </c>
      <c r="BS153" s="20"/>
      <c r="BT153" s="20"/>
      <c r="BU153" s="46">
        <v>2005</v>
      </c>
      <c r="BV153" s="47" t="s">
        <v>41</v>
      </c>
      <c r="BW153" s="35">
        <f t="shared" si="101"/>
        <v>0.72934579439252334</v>
      </c>
      <c r="BX153" s="35">
        <f t="shared" si="102"/>
        <v>0.77451369591107577</v>
      </c>
      <c r="BY153" s="35">
        <f t="shared" si="103"/>
        <v>0.94168224299065417</v>
      </c>
      <c r="BZ153" s="20">
        <v>2675</v>
      </c>
      <c r="CA153" s="27">
        <f t="shared" si="104"/>
        <v>156</v>
      </c>
      <c r="CB153" s="20">
        <v>2519</v>
      </c>
      <c r="CC153" s="20">
        <v>1951</v>
      </c>
      <c r="CD153" s="20">
        <f t="shared" si="105"/>
        <v>568</v>
      </c>
      <c r="CE153" s="20"/>
      <c r="CF153" s="20"/>
      <c r="CG153" s="46">
        <v>2005</v>
      </c>
      <c r="CH153" s="47" t="s">
        <v>41</v>
      </c>
      <c r="CI153" s="35">
        <f t="shared" si="58"/>
        <v>0.9028727770177839</v>
      </c>
      <c r="CJ153" s="35">
        <f t="shared" si="59"/>
        <v>0.96139839766933721</v>
      </c>
      <c r="CK153" s="35">
        <f t="shared" si="60"/>
        <v>0.939124487004104</v>
      </c>
      <c r="CL153" s="20">
        <v>1462</v>
      </c>
      <c r="CM153" s="20">
        <f t="shared" si="61"/>
        <v>89</v>
      </c>
      <c r="CN153" s="20">
        <v>1373</v>
      </c>
      <c r="CO153" s="20">
        <v>1320</v>
      </c>
      <c r="CP153" s="20">
        <f t="shared" si="62"/>
        <v>53</v>
      </c>
      <c r="CQ153" s="20"/>
      <c r="CR153" s="20"/>
      <c r="CS153" s="46">
        <v>2005</v>
      </c>
      <c r="CT153" s="47" t="s">
        <v>41</v>
      </c>
      <c r="CU153" s="35">
        <f t="shared" si="106"/>
        <v>0.89684210526315788</v>
      </c>
      <c r="CV153" s="35">
        <f t="shared" si="107"/>
        <v>0.91612903225806452</v>
      </c>
      <c r="CW153" s="35">
        <f t="shared" si="108"/>
        <v>0.97894736842105268</v>
      </c>
      <c r="CX153" s="20">
        <v>950</v>
      </c>
      <c r="CY153" s="27">
        <f t="shared" si="109"/>
        <v>20</v>
      </c>
      <c r="CZ153" s="20">
        <v>930</v>
      </c>
      <c r="DA153" s="20">
        <v>852</v>
      </c>
      <c r="DB153" s="20">
        <f t="shared" si="110"/>
        <v>78</v>
      </c>
      <c r="DC153" s="20"/>
      <c r="DD153" s="20"/>
      <c r="DE153" s="46">
        <v>2005</v>
      </c>
      <c r="DF153" s="47" t="s">
        <v>41</v>
      </c>
      <c r="DG153" s="35">
        <f t="shared" si="111"/>
        <v>0.91008403361344536</v>
      </c>
      <c r="DH153" s="35">
        <f t="shared" si="112"/>
        <v>0.94173913043478263</v>
      </c>
      <c r="DI153" s="35">
        <f t="shared" si="113"/>
        <v>0.96638655462184875</v>
      </c>
      <c r="DJ153" s="20">
        <v>1190</v>
      </c>
      <c r="DK153" s="27">
        <f t="shared" si="114"/>
        <v>40</v>
      </c>
      <c r="DL153" s="20">
        <v>1150</v>
      </c>
      <c r="DM153" s="20">
        <v>1083</v>
      </c>
      <c r="DN153" s="20">
        <f t="shared" si="115"/>
        <v>67</v>
      </c>
      <c r="DO153" s="20"/>
      <c r="DP153" s="20"/>
      <c r="DQ153" s="46"/>
      <c r="DR153" s="47"/>
      <c r="DS153" s="35"/>
      <c r="DT153" s="35"/>
      <c r="DU153" s="35"/>
      <c r="DV153" s="20"/>
      <c r="DW153" s="20"/>
      <c r="DX153" s="20"/>
      <c r="DY153" s="20"/>
      <c r="DZ153" s="20"/>
      <c r="EA153" s="20"/>
      <c r="EB153" s="20"/>
    </row>
    <row r="154" spans="1:132" s="29" customFormat="1" ht="12.75">
      <c r="A154" s="45">
        <v>2005</v>
      </c>
      <c r="B154" s="48" t="s">
        <v>42</v>
      </c>
      <c r="C154" s="35">
        <f t="shared" si="73"/>
        <v>0.79006602641056423</v>
      </c>
      <c r="D154" s="35">
        <f t="shared" si="74"/>
        <v>0.83624523506988568</v>
      </c>
      <c r="E154" s="35">
        <f t="shared" si="75"/>
        <v>0.94477791116446574</v>
      </c>
      <c r="F15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G154" s="20">
        <f t="shared" si="76"/>
        <v>1104</v>
      </c>
      <c r="H15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18888</v>
      </c>
      <c r="I15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15795</v>
      </c>
      <c r="J154" s="20">
        <f t="shared" si="77"/>
        <v>3093</v>
      </c>
      <c r="K154" s="27"/>
      <c r="L154" s="27"/>
      <c r="M154" s="130">
        <v>2005</v>
      </c>
      <c r="N154" s="131" t="s">
        <v>42</v>
      </c>
      <c r="O154" s="132">
        <f t="shared" si="78"/>
        <v>0.82516339869281041</v>
      </c>
      <c r="P154" s="132">
        <f t="shared" si="79"/>
        <v>0.84945332211942814</v>
      </c>
      <c r="Q154" s="132">
        <f t="shared" si="80"/>
        <v>0.97140522875816993</v>
      </c>
      <c r="R154" s="129">
        <v>3672</v>
      </c>
      <c r="S154" s="133">
        <f t="shared" si="31"/>
        <v>105</v>
      </c>
      <c r="T154" s="129">
        <v>3567</v>
      </c>
      <c r="U154" s="129">
        <v>3030</v>
      </c>
      <c r="V154" s="129">
        <f t="shared" si="81"/>
        <v>537</v>
      </c>
      <c r="W154" s="20"/>
      <c r="X154" s="20"/>
      <c r="Y154" s="45">
        <v>2005</v>
      </c>
      <c r="Z154" s="48" t="s">
        <v>42</v>
      </c>
      <c r="AA154" s="35">
        <f t="shared" si="82"/>
        <v>0.87979207277452887</v>
      </c>
      <c r="AB154" s="35">
        <f t="shared" si="83"/>
        <v>0.89255108767303892</v>
      </c>
      <c r="AC154" s="35">
        <f t="shared" si="84"/>
        <v>0.9857050032488629</v>
      </c>
      <c r="AD154" s="20">
        <v>1539</v>
      </c>
      <c r="AE154" s="27">
        <f t="shared" si="36"/>
        <v>22</v>
      </c>
      <c r="AF154" s="20">
        <v>1517</v>
      </c>
      <c r="AG154" s="20">
        <v>1354</v>
      </c>
      <c r="AH154" s="20">
        <f t="shared" si="85"/>
        <v>163</v>
      </c>
      <c r="AI154" s="20"/>
      <c r="AJ154" s="20"/>
      <c r="AK154" s="45">
        <v>2005</v>
      </c>
      <c r="AL154" s="48" t="s">
        <v>42</v>
      </c>
      <c r="AM154" s="35">
        <f t="shared" si="86"/>
        <v>0.84925521350546174</v>
      </c>
      <c r="AN154" s="35">
        <f t="shared" si="87"/>
        <v>0.88566694283347147</v>
      </c>
      <c r="AO154" s="35">
        <f t="shared" si="88"/>
        <v>0.95888778550148956</v>
      </c>
      <c r="AP154" s="20">
        <v>5035</v>
      </c>
      <c r="AQ154" s="27">
        <f t="shared" si="89"/>
        <v>207</v>
      </c>
      <c r="AR154" s="20">
        <v>4828</v>
      </c>
      <c r="AS154" s="20">
        <v>4276</v>
      </c>
      <c r="AT154" s="20">
        <f t="shared" si="90"/>
        <v>552</v>
      </c>
      <c r="AU154" s="20"/>
      <c r="AV154" s="20"/>
      <c r="AW154" s="45">
        <v>2005</v>
      </c>
      <c r="AX154" s="48" t="s">
        <v>42</v>
      </c>
      <c r="AY154" s="35">
        <f t="shared" si="91"/>
        <v>0.64965986394557829</v>
      </c>
      <c r="AZ154" s="35">
        <f t="shared" si="92"/>
        <v>0.73040152963671123</v>
      </c>
      <c r="BA154" s="35">
        <f t="shared" si="93"/>
        <v>0.88945578231292521</v>
      </c>
      <c r="BB154" s="20">
        <v>588</v>
      </c>
      <c r="BC154" s="27">
        <f t="shared" si="94"/>
        <v>65</v>
      </c>
      <c r="BD154" s="20">
        <v>523</v>
      </c>
      <c r="BE154" s="20">
        <v>382</v>
      </c>
      <c r="BF154" s="20">
        <f t="shared" si="95"/>
        <v>141</v>
      </c>
      <c r="BG154" s="20"/>
      <c r="BH154" s="20"/>
      <c r="BI154" s="45">
        <v>2005</v>
      </c>
      <c r="BJ154" s="48" t="s">
        <v>42</v>
      </c>
      <c r="BK154" s="35">
        <f t="shared" si="96"/>
        <v>0.54955621301775148</v>
      </c>
      <c r="BL154" s="35">
        <f t="shared" si="97"/>
        <v>0.64024127531236541</v>
      </c>
      <c r="BM154" s="35">
        <f t="shared" si="98"/>
        <v>0.85835798816568043</v>
      </c>
      <c r="BN154" s="20">
        <v>2704</v>
      </c>
      <c r="BO154" s="27">
        <f t="shared" si="99"/>
        <v>383</v>
      </c>
      <c r="BP154" s="20">
        <v>2321</v>
      </c>
      <c r="BQ154" s="20">
        <v>1486</v>
      </c>
      <c r="BR154" s="20">
        <f t="shared" si="100"/>
        <v>835</v>
      </c>
      <c r="BS154" s="20"/>
      <c r="BT154" s="20"/>
      <c r="BU154" s="45">
        <v>2005</v>
      </c>
      <c r="BV154" s="48" t="s">
        <v>42</v>
      </c>
      <c r="BW154" s="35">
        <f t="shared" si="101"/>
        <v>0.73343044428259285</v>
      </c>
      <c r="BX154" s="35">
        <f t="shared" si="102"/>
        <v>0.77431757016532099</v>
      </c>
      <c r="BY154" s="35">
        <f t="shared" si="103"/>
        <v>0.94719592134013109</v>
      </c>
      <c r="BZ154" s="20">
        <v>2746</v>
      </c>
      <c r="CA154" s="27">
        <f t="shared" si="104"/>
        <v>145</v>
      </c>
      <c r="CB154" s="20">
        <v>2601</v>
      </c>
      <c r="CC154" s="20">
        <v>2014</v>
      </c>
      <c r="CD154" s="20">
        <f t="shared" si="105"/>
        <v>587</v>
      </c>
      <c r="CE154" s="20"/>
      <c r="CF154" s="20"/>
      <c r="CG154" s="45">
        <v>2005</v>
      </c>
      <c r="CH154" s="48" t="s">
        <v>42</v>
      </c>
      <c r="CI154" s="35">
        <f t="shared" si="58"/>
        <v>0.91400000000000003</v>
      </c>
      <c r="CJ154" s="35">
        <f t="shared" si="59"/>
        <v>0.97441364605543712</v>
      </c>
      <c r="CK154" s="35">
        <f t="shared" si="60"/>
        <v>0.93799999999999994</v>
      </c>
      <c r="CL154" s="20">
        <v>1500</v>
      </c>
      <c r="CM154" s="20">
        <f t="shared" si="61"/>
        <v>93</v>
      </c>
      <c r="CN154" s="20">
        <v>1407</v>
      </c>
      <c r="CO154" s="20">
        <v>1371</v>
      </c>
      <c r="CP154" s="20">
        <f t="shared" si="62"/>
        <v>36</v>
      </c>
      <c r="CQ154" s="20"/>
      <c r="CR154" s="20"/>
      <c r="CS154" s="45">
        <v>2005</v>
      </c>
      <c r="CT154" s="48" t="s">
        <v>42</v>
      </c>
      <c r="CU154" s="35">
        <f t="shared" si="106"/>
        <v>0.8989795918367347</v>
      </c>
      <c r="CV154" s="35">
        <f t="shared" si="107"/>
        <v>0.91580041580041582</v>
      </c>
      <c r="CW154" s="35">
        <f t="shared" si="108"/>
        <v>0.98163265306122449</v>
      </c>
      <c r="CX154" s="20">
        <v>980</v>
      </c>
      <c r="CY154" s="27">
        <f t="shared" si="109"/>
        <v>18</v>
      </c>
      <c r="CZ154" s="20">
        <v>962</v>
      </c>
      <c r="DA154" s="20">
        <v>881</v>
      </c>
      <c r="DB154" s="20">
        <f t="shared" si="110"/>
        <v>81</v>
      </c>
      <c r="DC154" s="20"/>
      <c r="DD154" s="20"/>
      <c r="DE154" s="45">
        <v>2005</v>
      </c>
      <c r="DF154" s="48" t="s">
        <v>42</v>
      </c>
      <c r="DG154" s="35">
        <f t="shared" si="111"/>
        <v>0.81514657980456029</v>
      </c>
      <c r="DH154" s="35">
        <f t="shared" si="112"/>
        <v>0.86144578313253017</v>
      </c>
      <c r="DI154" s="35">
        <f t="shared" si="113"/>
        <v>0.94625407166123776</v>
      </c>
      <c r="DJ154" s="20">
        <v>1228</v>
      </c>
      <c r="DK154" s="27">
        <f t="shared" si="114"/>
        <v>66</v>
      </c>
      <c r="DL154" s="20">
        <v>1162</v>
      </c>
      <c r="DM154" s="20">
        <v>1001</v>
      </c>
      <c r="DN154" s="20">
        <f t="shared" si="115"/>
        <v>161</v>
      </c>
      <c r="DO154" s="20"/>
      <c r="DP154" s="20"/>
      <c r="DQ154" s="45"/>
      <c r="DR154" s="48"/>
      <c r="DS154" s="35"/>
      <c r="DT154" s="35"/>
      <c r="DU154" s="35"/>
      <c r="DV154" s="20"/>
      <c r="DW154" s="20"/>
      <c r="DX154" s="20"/>
      <c r="DY154" s="20"/>
      <c r="DZ154" s="20"/>
      <c r="EA154" s="20"/>
      <c r="EB154" s="20"/>
    </row>
    <row r="155" spans="1:132" s="29" customFormat="1" ht="12.75">
      <c r="A155" s="46">
        <v>2005</v>
      </c>
      <c r="B155" s="47" t="s">
        <v>43</v>
      </c>
      <c r="C155" s="35">
        <f t="shared" si="73"/>
        <v>0.80622484845397591</v>
      </c>
      <c r="D155" s="35">
        <f t="shared" si="74"/>
        <v>0.84954374664519594</v>
      </c>
      <c r="E155" s="35">
        <f t="shared" si="75"/>
        <v>0.94900922011104882</v>
      </c>
      <c r="F15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19631</v>
      </c>
      <c r="G155" s="20">
        <f t="shared" si="76"/>
        <v>1001</v>
      </c>
      <c r="H15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18630</v>
      </c>
      <c r="I15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15827</v>
      </c>
      <c r="J155" s="20">
        <f t="shared" si="77"/>
        <v>2803</v>
      </c>
      <c r="K155" s="27"/>
      <c r="L155" s="27"/>
      <c r="M155" s="134">
        <v>2005</v>
      </c>
      <c r="N155" s="135" t="s">
        <v>43</v>
      </c>
      <c r="O155" s="132">
        <f t="shared" si="78"/>
        <v>0.84419109663409342</v>
      </c>
      <c r="P155" s="132">
        <f t="shared" si="79"/>
        <v>0.88027172374752338</v>
      </c>
      <c r="Q155" s="132">
        <f t="shared" si="80"/>
        <v>0.95901194353963082</v>
      </c>
      <c r="R155" s="129">
        <v>3684</v>
      </c>
      <c r="S155" s="133">
        <f t="shared" si="31"/>
        <v>151</v>
      </c>
      <c r="T155" s="129">
        <v>3533</v>
      </c>
      <c r="U155" s="129">
        <v>3110</v>
      </c>
      <c r="V155" s="129">
        <f t="shared" si="81"/>
        <v>423</v>
      </c>
      <c r="W155" s="20"/>
      <c r="X155" s="20"/>
      <c r="Y155" s="46">
        <v>2005</v>
      </c>
      <c r="Z155" s="47" t="s">
        <v>43</v>
      </c>
      <c r="AA155" s="35">
        <f t="shared" si="82"/>
        <v>0.86569148936170215</v>
      </c>
      <c r="AB155" s="35">
        <f t="shared" si="83"/>
        <v>0.87617765814266491</v>
      </c>
      <c r="AC155" s="35">
        <f t="shared" si="84"/>
        <v>0.98803191489361697</v>
      </c>
      <c r="AD155" s="20">
        <v>1504</v>
      </c>
      <c r="AE155" s="27">
        <f t="shared" si="36"/>
        <v>18</v>
      </c>
      <c r="AF155" s="20">
        <v>1486</v>
      </c>
      <c r="AG155" s="20">
        <v>1302</v>
      </c>
      <c r="AH155" s="20">
        <f t="shared" si="85"/>
        <v>184</v>
      </c>
      <c r="AI155" s="20"/>
      <c r="AJ155" s="20"/>
      <c r="AK155" s="46">
        <v>2005</v>
      </c>
      <c r="AL155" s="47" t="s">
        <v>43</v>
      </c>
      <c r="AM155" s="35">
        <f t="shared" si="86"/>
        <v>0.87310261080752882</v>
      </c>
      <c r="AN155" s="35">
        <f t="shared" si="87"/>
        <v>0.90440251572327046</v>
      </c>
      <c r="AO155" s="35">
        <f t="shared" si="88"/>
        <v>0.96539162112932608</v>
      </c>
      <c r="AP155" s="20">
        <v>4941</v>
      </c>
      <c r="AQ155" s="27">
        <f t="shared" si="89"/>
        <v>171</v>
      </c>
      <c r="AR155" s="20">
        <v>4770</v>
      </c>
      <c r="AS155" s="20">
        <v>4314</v>
      </c>
      <c r="AT155" s="20">
        <f t="shared" si="90"/>
        <v>456</v>
      </c>
      <c r="AU155" s="20"/>
      <c r="AV155" s="20"/>
      <c r="AW155" s="46">
        <v>2005</v>
      </c>
      <c r="AX155" s="47" t="s">
        <v>43</v>
      </c>
      <c r="AY155" s="35">
        <f t="shared" si="91"/>
        <v>0.68027210884353739</v>
      </c>
      <c r="AZ155" s="35">
        <f t="shared" si="92"/>
        <v>0.79207920792079212</v>
      </c>
      <c r="BA155" s="35">
        <f t="shared" si="93"/>
        <v>0.858843537414966</v>
      </c>
      <c r="BB155" s="20">
        <v>588</v>
      </c>
      <c r="BC155" s="27">
        <f t="shared" si="94"/>
        <v>83</v>
      </c>
      <c r="BD155" s="20">
        <v>505</v>
      </c>
      <c r="BE155" s="20">
        <v>400</v>
      </c>
      <c r="BF155" s="20">
        <f t="shared" si="95"/>
        <v>105</v>
      </c>
      <c r="BG155" s="20"/>
      <c r="BH155" s="20"/>
      <c r="BI155" s="46">
        <v>2005</v>
      </c>
      <c r="BJ155" s="47" t="s">
        <v>43</v>
      </c>
      <c r="BK155" s="35">
        <f t="shared" si="96"/>
        <v>0.54965883244882485</v>
      </c>
      <c r="BL155" s="35">
        <f t="shared" si="97"/>
        <v>0.63208369659982566</v>
      </c>
      <c r="BM155" s="35">
        <f t="shared" si="98"/>
        <v>0.86959818043972703</v>
      </c>
      <c r="BN155" s="20">
        <v>2638</v>
      </c>
      <c r="BO155" s="27">
        <f t="shared" si="99"/>
        <v>344</v>
      </c>
      <c r="BP155" s="20">
        <v>2294</v>
      </c>
      <c r="BQ155" s="20">
        <v>1450</v>
      </c>
      <c r="BR155" s="20">
        <f t="shared" si="100"/>
        <v>844</v>
      </c>
      <c r="BS155" s="20"/>
      <c r="BT155" s="20"/>
      <c r="BU155" s="46">
        <v>2005</v>
      </c>
      <c r="BV155" s="47" t="s">
        <v>43</v>
      </c>
      <c r="BW155" s="35">
        <f t="shared" si="101"/>
        <v>0.73794392523364483</v>
      </c>
      <c r="BX155" s="35">
        <f t="shared" si="102"/>
        <v>0.76869158878504673</v>
      </c>
      <c r="BY155" s="35">
        <f t="shared" si="103"/>
        <v>0.96</v>
      </c>
      <c r="BZ155" s="20">
        <v>2675</v>
      </c>
      <c r="CA155" s="27">
        <f t="shared" si="104"/>
        <v>107</v>
      </c>
      <c r="CB155" s="20">
        <v>2568</v>
      </c>
      <c r="CC155" s="20">
        <v>1974</v>
      </c>
      <c r="CD155" s="20">
        <f t="shared" si="105"/>
        <v>594</v>
      </c>
      <c r="CE155" s="20"/>
      <c r="CF155" s="20"/>
      <c r="CG155" s="46">
        <v>2005</v>
      </c>
      <c r="CH155" s="47" t="s">
        <v>43</v>
      </c>
      <c r="CI155" s="35">
        <f t="shared" si="58"/>
        <v>0.91581108829568791</v>
      </c>
      <c r="CJ155" s="35">
        <f t="shared" si="59"/>
        <v>0.97592997811816196</v>
      </c>
      <c r="CK155" s="35">
        <f t="shared" si="60"/>
        <v>0.9383983572895277</v>
      </c>
      <c r="CL155" s="20">
        <v>1461</v>
      </c>
      <c r="CM155" s="20">
        <f t="shared" si="61"/>
        <v>90</v>
      </c>
      <c r="CN155" s="20">
        <v>1371</v>
      </c>
      <c r="CO155" s="20">
        <v>1338</v>
      </c>
      <c r="CP155" s="20">
        <f t="shared" si="62"/>
        <v>33</v>
      </c>
      <c r="CQ155" s="20"/>
      <c r="CR155" s="20"/>
      <c r="CS155" s="46">
        <v>2005</v>
      </c>
      <c r="CT155" s="47" t="s">
        <v>43</v>
      </c>
      <c r="CU155" s="35">
        <f t="shared" si="106"/>
        <v>0.91157894736842104</v>
      </c>
      <c r="CV155" s="35">
        <f t="shared" si="107"/>
        <v>0.92521367521367526</v>
      </c>
      <c r="CW155" s="35">
        <f t="shared" si="108"/>
        <v>0.98526315789473684</v>
      </c>
      <c r="CX155" s="20">
        <v>950</v>
      </c>
      <c r="CY155" s="27">
        <f t="shared" si="109"/>
        <v>14</v>
      </c>
      <c r="CZ155" s="20">
        <v>936</v>
      </c>
      <c r="DA155" s="20">
        <v>866</v>
      </c>
      <c r="DB155" s="20">
        <f t="shared" si="110"/>
        <v>70</v>
      </c>
      <c r="DC155" s="20"/>
      <c r="DD155" s="20"/>
      <c r="DE155" s="46">
        <v>2005</v>
      </c>
      <c r="DF155" s="47" t="s">
        <v>43</v>
      </c>
      <c r="DG155" s="35">
        <f t="shared" si="111"/>
        <v>0.90168067226890758</v>
      </c>
      <c r="DH155" s="35">
        <f t="shared" si="112"/>
        <v>0.91945158526135395</v>
      </c>
      <c r="DI155" s="35">
        <f t="shared" si="113"/>
        <v>0.98067226890756298</v>
      </c>
      <c r="DJ155" s="20">
        <v>1190</v>
      </c>
      <c r="DK155" s="27">
        <f t="shared" si="114"/>
        <v>23</v>
      </c>
      <c r="DL155" s="20">
        <v>1167</v>
      </c>
      <c r="DM155" s="20">
        <v>1073</v>
      </c>
      <c r="DN155" s="20">
        <f t="shared" si="115"/>
        <v>94</v>
      </c>
      <c r="DO155" s="20"/>
      <c r="DP155" s="20"/>
      <c r="DQ155" s="46"/>
      <c r="DR155" s="47"/>
      <c r="DS155" s="35"/>
      <c r="DT155" s="35"/>
      <c r="DU155" s="35"/>
      <c r="DV155" s="20"/>
      <c r="DW155" s="20"/>
      <c r="DX155" s="20"/>
      <c r="DY155" s="20"/>
      <c r="DZ155" s="20"/>
      <c r="EA155" s="20"/>
      <c r="EB155" s="20"/>
    </row>
    <row r="156" spans="1:132" s="29" customFormat="1" ht="12.75">
      <c r="A156" s="45">
        <v>2005</v>
      </c>
      <c r="B156" s="48" t="s">
        <v>44</v>
      </c>
      <c r="C156" s="35">
        <f t="shared" si="73"/>
        <v>0.77886154461784718</v>
      </c>
      <c r="D156" s="35">
        <f t="shared" si="74"/>
        <v>0.84053981106612685</v>
      </c>
      <c r="E156" s="35">
        <f t="shared" si="75"/>
        <v>0.92662064825930368</v>
      </c>
      <c r="F15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G156" s="20">
        <f t="shared" si="76"/>
        <v>1467</v>
      </c>
      <c r="H15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18525</v>
      </c>
      <c r="I15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15571</v>
      </c>
      <c r="J156" s="20">
        <f t="shared" si="77"/>
        <v>2954</v>
      </c>
      <c r="K156" s="27"/>
      <c r="L156" s="27"/>
      <c r="M156" s="130">
        <v>2005</v>
      </c>
      <c r="N156" s="131" t="s">
        <v>44</v>
      </c>
      <c r="O156" s="132">
        <f t="shared" si="78"/>
        <v>0.80909586056644878</v>
      </c>
      <c r="P156" s="132">
        <f t="shared" si="79"/>
        <v>0.86140910408814153</v>
      </c>
      <c r="Q156" s="132">
        <f t="shared" si="80"/>
        <v>0.93927015250544665</v>
      </c>
      <c r="R156" s="129">
        <v>3672</v>
      </c>
      <c r="S156" s="133">
        <f t="shared" si="31"/>
        <v>223</v>
      </c>
      <c r="T156" s="129">
        <v>3449</v>
      </c>
      <c r="U156" s="129">
        <v>2971</v>
      </c>
      <c r="V156" s="129">
        <f t="shared" si="81"/>
        <v>478</v>
      </c>
      <c r="W156" s="20"/>
      <c r="X156" s="20"/>
      <c r="Y156" s="45">
        <v>2005</v>
      </c>
      <c r="Z156" s="48" t="s">
        <v>44</v>
      </c>
      <c r="AA156" s="35">
        <f t="shared" si="82"/>
        <v>0.81221572449642621</v>
      </c>
      <c r="AB156" s="35">
        <f t="shared" si="83"/>
        <v>0.84860828241683639</v>
      </c>
      <c r="AC156" s="35">
        <f t="shared" si="84"/>
        <v>0.9571150097465887</v>
      </c>
      <c r="AD156" s="20">
        <v>1539</v>
      </c>
      <c r="AE156" s="27">
        <f t="shared" si="36"/>
        <v>66</v>
      </c>
      <c r="AF156" s="20">
        <v>1473</v>
      </c>
      <c r="AG156" s="20">
        <v>1250</v>
      </c>
      <c r="AH156" s="20">
        <f t="shared" si="85"/>
        <v>223</v>
      </c>
      <c r="AI156" s="20"/>
      <c r="AJ156" s="20"/>
      <c r="AK156" s="45">
        <v>2005</v>
      </c>
      <c r="AL156" s="48" t="s">
        <v>44</v>
      </c>
      <c r="AM156" s="35">
        <f t="shared" si="86"/>
        <v>0.81989674344718033</v>
      </c>
      <c r="AN156" s="35">
        <f t="shared" si="87"/>
        <v>0.87515896566341667</v>
      </c>
      <c r="AO156" s="35">
        <f t="shared" si="88"/>
        <v>0.93685464654487693</v>
      </c>
      <c r="AP156" s="20">
        <v>5036</v>
      </c>
      <c r="AQ156" s="27">
        <f t="shared" si="89"/>
        <v>318</v>
      </c>
      <c r="AR156" s="20">
        <v>4718</v>
      </c>
      <c r="AS156" s="20">
        <v>4129</v>
      </c>
      <c r="AT156" s="20">
        <f t="shared" si="90"/>
        <v>589</v>
      </c>
      <c r="AU156" s="20"/>
      <c r="AV156" s="20"/>
      <c r="AW156" s="45">
        <v>2005</v>
      </c>
      <c r="AX156" s="48" t="s">
        <v>44</v>
      </c>
      <c r="AY156" s="35">
        <f t="shared" si="91"/>
        <v>0.55782312925170063</v>
      </c>
      <c r="AZ156" s="35">
        <f t="shared" si="92"/>
        <v>0.77358490566037741</v>
      </c>
      <c r="BA156" s="35">
        <f t="shared" si="93"/>
        <v>0.72108843537414968</v>
      </c>
      <c r="BB156" s="20">
        <v>588</v>
      </c>
      <c r="BC156" s="27">
        <f t="shared" si="94"/>
        <v>164</v>
      </c>
      <c r="BD156" s="20">
        <v>424</v>
      </c>
      <c r="BE156" s="20">
        <v>328</v>
      </c>
      <c r="BF156" s="20">
        <f t="shared" si="95"/>
        <v>96</v>
      </c>
      <c r="BG156" s="20"/>
      <c r="BH156" s="20"/>
      <c r="BI156" s="45">
        <v>2005</v>
      </c>
      <c r="BJ156" s="48" t="s">
        <v>44</v>
      </c>
      <c r="BK156" s="35">
        <f t="shared" si="96"/>
        <v>0.57063609467455623</v>
      </c>
      <c r="BL156" s="35">
        <f t="shared" si="97"/>
        <v>0.66508620689655173</v>
      </c>
      <c r="BM156" s="35">
        <f t="shared" si="98"/>
        <v>0.85798816568047342</v>
      </c>
      <c r="BN156" s="20">
        <v>2704</v>
      </c>
      <c r="BO156" s="27">
        <f t="shared" si="99"/>
        <v>384</v>
      </c>
      <c r="BP156" s="20">
        <v>2320</v>
      </c>
      <c r="BQ156" s="20">
        <v>1543</v>
      </c>
      <c r="BR156" s="20">
        <f t="shared" si="100"/>
        <v>777</v>
      </c>
      <c r="BS156" s="20"/>
      <c r="BT156" s="20"/>
      <c r="BU156" s="45">
        <v>2005</v>
      </c>
      <c r="BV156" s="48" t="s">
        <v>44</v>
      </c>
      <c r="BW156" s="35">
        <f t="shared" si="101"/>
        <v>0.73743627093954844</v>
      </c>
      <c r="BX156" s="35">
        <f t="shared" si="102"/>
        <v>0.77586206896551724</v>
      </c>
      <c r="BY156" s="35">
        <f t="shared" si="103"/>
        <v>0.95047341587764023</v>
      </c>
      <c r="BZ156" s="20">
        <v>2746</v>
      </c>
      <c r="CA156" s="27">
        <f t="shared" si="104"/>
        <v>136</v>
      </c>
      <c r="CB156" s="20">
        <v>2610</v>
      </c>
      <c r="CC156" s="20">
        <v>2025</v>
      </c>
      <c r="CD156" s="20">
        <f t="shared" si="105"/>
        <v>585</v>
      </c>
      <c r="CE156" s="20"/>
      <c r="CF156" s="20"/>
      <c r="CG156" s="45">
        <v>2005</v>
      </c>
      <c r="CH156" s="48" t="s">
        <v>44</v>
      </c>
      <c r="CI156" s="35">
        <f t="shared" si="58"/>
        <v>0.92661774516344231</v>
      </c>
      <c r="CJ156" s="35">
        <f t="shared" si="59"/>
        <v>0.98510638297872344</v>
      </c>
      <c r="CK156" s="35">
        <f t="shared" si="60"/>
        <v>0.94062708472314882</v>
      </c>
      <c r="CL156" s="20">
        <v>1499</v>
      </c>
      <c r="CM156" s="20">
        <f t="shared" si="61"/>
        <v>89</v>
      </c>
      <c r="CN156" s="20">
        <v>1410</v>
      </c>
      <c r="CO156" s="20">
        <v>1389</v>
      </c>
      <c r="CP156" s="20">
        <f t="shared" si="62"/>
        <v>21</v>
      </c>
      <c r="CQ156" s="20"/>
      <c r="CR156" s="20"/>
      <c r="CS156" s="45">
        <v>2005</v>
      </c>
      <c r="CT156" s="48" t="s">
        <v>44</v>
      </c>
      <c r="CU156" s="35">
        <f t="shared" si="106"/>
        <v>0.9285714285714286</v>
      </c>
      <c r="CV156" s="35">
        <f t="shared" si="107"/>
        <v>0.93621399176954734</v>
      </c>
      <c r="CW156" s="35">
        <f t="shared" si="108"/>
        <v>0.99183673469387756</v>
      </c>
      <c r="CX156" s="20">
        <v>980</v>
      </c>
      <c r="CY156" s="27">
        <f t="shared" si="109"/>
        <v>8</v>
      </c>
      <c r="CZ156" s="20">
        <v>972</v>
      </c>
      <c r="DA156" s="20">
        <v>910</v>
      </c>
      <c r="DB156" s="20">
        <f t="shared" si="110"/>
        <v>62</v>
      </c>
      <c r="DC156" s="20"/>
      <c r="DD156" s="20"/>
      <c r="DE156" s="45">
        <v>2005</v>
      </c>
      <c r="DF156" s="48" t="s">
        <v>44</v>
      </c>
      <c r="DG156" s="35">
        <f t="shared" si="111"/>
        <v>0.83550488599348538</v>
      </c>
      <c r="DH156" s="35">
        <f t="shared" si="112"/>
        <v>0.89295039164490864</v>
      </c>
      <c r="DI156" s="35">
        <f t="shared" si="113"/>
        <v>0.93566775244299671</v>
      </c>
      <c r="DJ156" s="20">
        <v>1228</v>
      </c>
      <c r="DK156" s="27">
        <f t="shared" si="114"/>
        <v>79</v>
      </c>
      <c r="DL156" s="20">
        <v>1149</v>
      </c>
      <c r="DM156" s="20">
        <v>1026</v>
      </c>
      <c r="DN156" s="20">
        <f t="shared" si="115"/>
        <v>123</v>
      </c>
      <c r="DO156" s="20"/>
      <c r="DP156" s="20"/>
      <c r="DQ156" s="45"/>
      <c r="DR156" s="48"/>
      <c r="DS156" s="35"/>
      <c r="DT156" s="35"/>
      <c r="DU156" s="35"/>
      <c r="DV156" s="20"/>
      <c r="DW156" s="20"/>
      <c r="DX156" s="20"/>
      <c r="DY156" s="20"/>
      <c r="DZ156" s="20"/>
      <c r="EA156" s="20"/>
      <c r="EB156" s="20"/>
    </row>
    <row r="157" spans="1:132" s="29" customFormat="1" ht="12.75">
      <c r="A157" s="46">
        <v>2005</v>
      </c>
      <c r="B157" s="47" t="s">
        <v>45</v>
      </c>
      <c r="C157" s="35">
        <f t="shared" si="73"/>
        <v>0.80860819405413398</v>
      </c>
      <c r="D157" s="35">
        <f t="shared" si="74"/>
        <v>0.87295081967213117</v>
      </c>
      <c r="E157" s="35">
        <f t="shared" si="75"/>
        <v>0.92629295469112061</v>
      </c>
      <c r="F15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G157" s="20">
        <f t="shared" si="76"/>
        <v>1495</v>
      </c>
      <c r="H15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18788</v>
      </c>
      <c r="I15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16401</v>
      </c>
      <c r="J157" s="20">
        <f t="shared" si="77"/>
        <v>2387</v>
      </c>
      <c r="K157" s="27"/>
      <c r="L157" s="27"/>
      <c r="M157" s="134">
        <v>2005</v>
      </c>
      <c r="N157" s="135" t="s">
        <v>45</v>
      </c>
      <c r="O157" s="132">
        <f t="shared" si="78"/>
        <v>0.8654768247202983</v>
      </c>
      <c r="P157" s="132">
        <f t="shared" si="79"/>
        <v>0.91161616161616166</v>
      </c>
      <c r="Q157" s="132">
        <f t="shared" si="80"/>
        <v>0.94938732019179539</v>
      </c>
      <c r="R157" s="129">
        <v>3754</v>
      </c>
      <c r="S157" s="133">
        <f t="shared" si="31"/>
        <v>190</v>
      </c>
      <c r="T157" s="129">
        <v>3564</v>
      </c>
      <c r="U157" s="129">
        <v>3249</v>
      </c>
      <c r="V157" s="129">
        <f t="shared" si="81"/>
        <v>315</v>
      </c>
      <c r="W157" s="20"/>
      <c r="X157" s="20"/>
      <c r="Y157" s="46">
        <v>2005</v>
      </c>
      <c r="Z157" s="47" t="s">
        <v>45</v>
      </c>
      <c r="AA157" s="35">
        <f t="shared" si="82"/>
        <v>0.85484906872190114</v>
      </c>
      <c r="AB157" s="35">
        <f t="shared" si="83"/>
        <v>0.88911155644622575</v>
      </c>
      <c r="AC157" s="35">
        <f t="shared" si="84"/>
        <v>0.96146435452793833</v>
      </c>
      <c r="AD157" s="20">
        <v>1557</v>
      </c>
      <c r="AE157" s="27">
        <f t="shared" si="36"/>
        <v>60</v>
      </c>
      <c r="AF157" s="20">
        <v>1497</v>
      </c>
      <c r="AG157" s="20">
        <v>1331</v>
      </c>
      <c r="AH157" s="20">
        <f t="shared" si="85"/>
        <v>166</v>
      </c>
      <c r="AI157" s="20"/>
      <c r="AJ157" s="20"/>
      <c r="AK157" s="46">
        <v>2005</v>
      </c>
      <c r="AL157" s="47" t="s">
        <v>45</v>
      </c>
      <c r="AM157" s="35">
        <f t="shared" si="86"/>
        <v>0.84699453551912574</v>
      </c>
      <c r="AN157" s="35">
        <f t="shared" si="87"/>
        <v>0.8937397034596376</v>
      </c>
      <c r="AO157" s="35">
        <f t="shared" si="88"/>
        <v>0.94769711163153791</v>
      </c>
      <c r="AP157" s="20">
        <v>5124</v>
      </c>
      <c r="AQ157" s="27">
        <f t="shared" si="89"/>
        <v>268</v>
      </c>
      <c r="AR157" s="20">
        <v>4856</v>
      </c>
      <c r="AS157" s="20">
        <v>4340</v>
      </c>
      <c r="AT157" s="20">
        <f t="shared" si="90"/>
        <v>516</v>
      </c>
      <c r="AU157" s="20"/>
      <c r="AV157" s="20"/>
      <c r="AW157" s="46">
        <v>2005</v>
      </c>
      <c r="AX157" s="47" t="s">
        <v>45</v>
      </c>
      <c r="AY157" s="35">
        <f t="shared" si="91"/>
        <v>0.63474025974025972</v>
      </c>
      <c r="AZ157" s="35">
        <f t="shared" si="92"/>
        <v>0.81628392484342382</v>
      </c>
      <c r="BA157" s="35">
        <f t="shared" si="93"/>
        <v>0.77759740259740262</v>
      </c>
      <c r="BB157" s="20">
        <v>616</v>
      </c>
      <c r="BC157" s="27">
        <f t="shared" si="94"/>
        <v>137</v>
      </c>
      <c r="BD157" s="20">
        <v>479</v>
      </c>
      <c r="BE157" s="20">
        <v>391</v>
      </c>
      <c r="BF157" s="20">
        <f t="shared" si="95"/>
        <v>88</v>
      </c>
      <c r="BG157" s="20"/>
      <c r="BH157" s="20"/>
      <c r="BI157" s="46">
        <v>2005</v>
      </c>
      <c r="BJ157" s="47" t="s">
        <v>45</v>
      </c>
      <c r="BK157" s="35">
        <f t="shared" si="96"/>
        <v>0.58961228968544255</v>
      </c>
      <c r="BL157" s="35">
        <f t="shared" si="97"/>
        <v>0.70239651416122006</v>
      </c>
      <c r="BM157" s="35">
        <f t="shared" si="98"/>
        <v>0.83942940746159478</v>
      </c>
      <c r="BN157" s="20">
        <v>2734</v>
      </c>
      <c r="BO157" s="27">
        <f t="shared" si="99"/>
        <v>439</v>
      </c>
      <c r="BP157" s="20">
        <v>2295</v>
      </c>
      <c r="BQ157" s="20">
        <v>1612</v>
      </c>
      <c r="BR157" s="20">
        <f t="shared" si="100"/>
        <v>683</v>
      </c>
      <c r="BS157" s="20"/>
      <c r="BT157" s="20"/>
      <c r="BU157" s="46">
        <v>2005</v>
      </c>
      <c r="BV157" s="47" t="s">
        <v>45</v>
      </c>
      <c r="BW157" s="35">
        <f t="shared" si="101"/>
        <v>0.77553229880909424</v>
      </c>
      <c r="BX157" s="35">
        <f t="shared" si="102"/>
        <v>0.82305630026809651</v>
      </c>
      <c r="BY157" s="35">
        <f t="shared" si="103"/>
        <v>0.94225911223385062</v>
      </c>
      <c r="BZ157" s="20">
        <v>2771</v>
      </c>
      <c r="CA157" s="27">
        <f t="shared" si="104"/>
        <v>160</v>
      </c>
      <c r="CB157" s="20">
        <v>2611</v>
      </c>
      <c r="CC157" s="20">
        <v>2149</v>
      </c>
      <c r="CD157" s="20">
        <f t="shared" si="105"/>
        <v>462</v>
      </c>
      <c r="CE157" s="20"/>
      <c r="CF157" s="20"/>
      <c r="CG157" s="46">
        <v>2005</v>
      </c>
      <c r="CH157" s="47" t="s">
        <v>45</v>
      </c>
      <c r="CI157" s="35">
        <f t="shared" si="58"/>
        <v>0.88976897689768975</v>
      </c>
      <c r="CJ157" s="35">
        <f t="shared" si="59"/>
        <v>0.97258297258297255</v>
      </c>
      <c r="CK157" s="35">
        <f t="shared" si="60"/>
        <v>0.91485148514851489</v>
      </c>
      <c r="CL157" s="20">
        <v>1515</v>
      </c>
      <c r="CM157" s="20">
        <f t="shared" si="61"/>
        <v>129</v>
      </c>
      <c r="CN157" s="20">
        <v>1386</v>
      </c>
      <c r="CO157" s="20">
        <v>1348</v>
      </c>
      <c r="CP157" s="20">
        <f t="shared" si="62"/>
        <v>38</v>
      </c>
      <c r="CQ157" s="20"/>
      <c r="CR157" s="20"/>
      <c r="CS157" s="46">
        <v>2005</v>
      </c>
      <c r="CT157" s="47" t="s">
        <v>45</v>
      </c>
      <c r="CU157" s="35">
        <f t="shared" si="106"/>
        <v>0.88696537678207743</v>
      </c>
      <c r="CV157" s="35">
        <f t="shared" si="107"/>
        <v>0.9315508021390374</v>
      </c>
      <c r="CW157" s="35">
        <f t="shared" si="108"/>
        <v>0.95213849287169039</v>
      </c>
      <c r="CX157" s="20">
        <v>982</v>
      </c>
      <c r="CY157" s="27">
        <f t="shared" si="109"/>
        <v>47</v>
      </c>
      <c r="CZ157" s="20">
        <v>935</v>
      </c>
      <c r="DA157" s="20">
        <v>871</v>
      </c>
      <c r="DB157" s="20">
        <f t="shared" si="110"/>
        <v>64</v>
      </c>
      <c r="DC157" s="20"/>
      <c r="DD157" s="20"/>
      <c r="DE157" s="46">
        <v>2005</v>
      </c>
      <c r="DF157" s="47" t="s">
        <v>45</v>
      </c>
      <c r="DG157" s="35">
        <f t="shared" si="111"/>
        <v>0.90243902439024393</v>
      </c>
      <c r="DH157" s="35">
        <f t="shared" si="112"/>
        <v>0.9527896995708155</v>
      </c>
      <c r="DI157" s="35">
        <f t="shared" si="113"/>
        <v>0.94715447154471544</v>
      </c>
      <c r="DJ157" s="20">
        <v>1230</v>
      </c>
      <c r="DK157" s="27">
        <f t="shared" si="114"/>
        <v>65</v>
      </c>
      <c r="DL157" s="20">
        <v>1165</v>
      </c>
      <c r="DM157" s="20">
        <v>1110</v>
      </c>
      <c r="DN157" s="20">
        <f t="shared" si="115"/>
        <v>55</v>
      </c>
      <c r="DO157" s="20"/>
      <c r="DP157" s="20"/>
      <c r="DQ157" s="46"/>
      <c r="DR157" s="47"/>
      <c r="DS157" s="35"/>
      <c r="DT157" s="35"/>
      <c r="DU157" s="35"/>
      <c r="DV157" s="20"/>
      <c r="DW157" s="20"/>
      <c r="DX157" s="20"/>
      <c r="DY157" s="20"/>
      <c r="DZ157" s="20"/>
      <c r="EA157" s="20"/>
      <c r="EB157" s="20"/>
    </row>
    <row r="158" spans="1:132" s="29" customFormat="1" ht="12.75">
      <c r="A158" s="45">
        <v>2005</v>
      </c>
      <c r="B158" s="48" t="s">
        <v>46</v>
      </c>
      <c r="C158" s="35">
        <f t="shared" si="73"/>
        <v>0.84807576062865198</v>
      </c>
      <c r="D158" s="35">
        <f t="shared" si="74"/>
        <v>0.88165060745705903</v>
      </c>
      <c r="E158" s="35">
        <f t="shared" si="75"/>
        <v>0.96191819464033845</v>
      </c>
      <c r="F15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19852</v>
      </c>
      <c r="G158" s="20">
        <f t="shared" si="76"/>
        <v>756</v>
      </c>
      <c r="H15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19096</v>
      </c>
      <c r="I15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16836</v>
      </c>
      <c r="J158" s="20">
        <f t="shared" si="77"/>
        <v>2260</v>
      </c>
      <c r="K158" s="27"/>
      <c r="L158" s="27"/>
      <c r="M158" s="130">
        <v>2005</v>
      </c>
      <c r="N158" s="131" t="s">
        <v>46</v>
      </c>
      <c r="O158" s="132">
        <f t="shared" si="78"/>
        <v>0.87256493506493504</v>
      </c>
      <c r="P158" s="132">
        <f t="shared" si="79"/>
        <v>0.90361445783132532</v>
      </c>
      <c r="Q158" s="132">
        <f t="shared" si="80"/>
        <v>0.96563852813852813</v>
      </c>
      <c r="R158" s="129">
        <v>3696</v>
      </c>
      <c r="S158" s="133">
        <f t="shared" si="31"/>
        <v>127</v>
      </c>
      <c r="T158" s="129">
        <v>3569</v>
      </c>
      <c r="U158" s="129">
        <v>3225</v>
      </c>
      <c r="V158" s="129">
        <f t="shared" si="81"/>
        <v>344</v>
      </c>
      <c r="W158" s="20"/>
      <c r="X158" s="20"/>
      <c r="Y158" s="45">
        <v>2005</v>
      </c>
      <c r="Z158" s="48" t="s">
        <v>46</v>
      </c>
      <c r="AA158" s="35">
        <f t="shared" si="82"/>
        <v>0.86596583442838371</v>
      </c>
      <c r="AB158" s="35">
        <f t="shared" si="83"/>
        <v>0.88397048960429248</v>
      </c>
      <c r="AC158" s="35">
        <f t="shared" si="84"/>
        <v>0.97963206307490147</v>
      </c>
      <c r="AD158" s="20">
        <v>1522</v>
      </c>
      <c r="AE158" s="27">
        <f t="shared" si="36"/>
        <v>31</v>
      </c>
      <c r="AF158" s="20">
        <v>1491</v>
      </c>
      <c r="AG158" s="20">
        <v>1318</v>
      </c>
      <c r="AH158" s="20">
        <f t="shared" si="85"/>
        <v>173</v>
      </c>
      <c r="AI158" s="20"/>
      <c r="AJ158" s="20"/>
      <c r="AK158" s="45">
        <v>2005</v>
      </c>
      <c r="AL158" s="48" t="s">
        <v>46</v>
      </c>
      <c r="AM158" s="35">
        <f t="shared" si="86"/>
        <v>0.86097852028639621</v>
      </c>
      <c r="AN158" s="35">
        <f t="shared" si="87"/>
        <v>0.8960877665079694</v>
      </c>
      <c r="AO158" s="35">
        <f t="shared" si="88"/>
        <v>0.96081941129673831</v>
      </c>
      <c r="AP158" s="20">
        <v>5028</v>
      </c>
      <c r="AQ158" s="27">
        <f t="shared" si="89"/>
        <v>197</v>
      </c>
      <c r="AR158" s="20">
        <v>4831</v>
      </c>
      <c r="AS158" s="20">
        <v>4329</v>
      </c>
      <c r="AT158" s="20">
        <f t="shared" si="90"/>
        <v>502</v>
      </c>
      <c r="AU158" s="20"/>
      <c r="AV158" s="20"/>
      <c r="AW158" s="45">
        <v>2005</v>
      </c>
      <c r="AX158" s="48" t="s">
        <v>46</v>
      </c>
      <c r="AY158" s="35">
        <f t="shared" si="91"/>
        <v>0.67370129870129869</v>
      </c>
      <c r="AZ158" s="35">
        <f t="shared" si="92"/>
        <v>0.83669354838709675</v>
      </c>
      <c r="BA158" s="35">
        <f t="shared" si="93"/>
        <v>0.80519480519480524</v>
      </c>
      <c r="BB158" s="20">
        <v>616</v>
      </c>
      <c r="BC158" s="27">
        <f t="shared" si="94"/>
        <v>120</v>
      </c>
      <c r="BD158" s="20">
        <v>496</v>
      </c>
      <c r="BE158" s="20">
        <v>415</v>
      </c>
      <c r="BF158" s="20">
        <f t="shared" si="95"/>
        <v>81</v>
      </c>
      <c r="BG158" s="20"/>
      <c r="BH158" s="20"/>
      <c r="BI158" s="45">
        <v>2005</v>
      </c>
      <c r="BJ158" s="48" t="s">
        <v>46</v>
      </c>
      <c r="BK158" s="35">
        <f t="shared" si="96"/>
        <v>0.75899550224887558</v>
      </c>
      <c r="BL158" s="35">
        <f t="shared" si="97"/>
        <v>0.78947368421052633</v>
      </c>
      <c r="BM158" s="35">
        <f t="shared" si="98"/>
        <v>0.96139430284857574</v>
      </c>
      <c r="BN158" s="20">
        <v>2668</v>
      </c>
      <c r="BO158" s="27">
        <f t="shared" si="99"/>
        <v>103</v>
      </c>
      <c r="BP158" s="20">
        <v>2565</v>
      </c>
      <c r="BQ158" s="20">
        <v>2025</v>
      </c>
      <c r="BR158" s="20">
        <f t="shared" si="100"/>
        <v>540</v>
      </c>
      <c r="BS158" s="20"/>
      <c r="BT158" s="20"/>
      <c r="BU158" s="45">
        <v>2005</v>
      </c>
      <c r="BV158" s="48" t="s">
        <v>46</v>
      </c>
      <c r="BW158" s="35">
        <f t="shared" si="101"/>
        <v>0.78222222222222226</v>
      </c>
      <c r="BX158" s="35">
        <f t="shared" si="102"/>
        <v>0.81293302540415702</v>
      </c>
      <c r="BY158" s="35">
        <f t="shared" si="103"/>
        <v>0.9622222222222222</v>
      </c>
      <c r="BZ158" s="20">
        <v>2700</v>
      </c>
      <c r="CA158" s="27">
        <f t="shared" si="104"/>
        <v>102</v>
      </c>
      <c r="CB158" s="20">
        <v>2598</v>
      </c>
      <c r="CC158" s="20">
        <v>2112</v>
      </c>
      <c r="CD158" s="20">
        <f t="shared" si="105"/>
        <v>486</v>
      </c>
      <c r="CE158" s="20"/>
      <c r="CF158" s="20"/>
      <c r="CG158" s="45">
        <v>2005</v>
      </c>
      <c r="CH158" s="48" t="s">
        <v>46</v>
      </c>
      <c r="CI158" s="35">
        <f t="shared" si="58"/>
        <v>0.95737483085250341</v>
      </c>
      <c r="CJ158" s="35">
        <f t="shared" si="59"/>
        <v>0.97586206896551719</v>
      </c>
      <c r="CK158" s="35">
        <f t="shared" si="60"/>
        <v>0.98105548037889034</v>
      </c>
      <c r="CL158" s="20">
        <v>1478</v>
      </c>
      <c r="CM158" s="20">
        <f t="shared" si="61"/>
        <v>28</v>
      </c>
      <c r="CN158" s="20">
        <v>1450</v>
      </c>
      <c r="CO158" s="20">
        <v>1415</v>
      </c>
      <c r="CP158" s="20">
        <f t="shared" si="62"/>
        <v>35</v>
      </c>
      <c r="CQ158" s="20"/>
      <c r="CR158" s="20"/>
      <c r="CS158" s="45">
        <v>2005</v>
      </c>
      <c r="CT158" s="48" t="s">
        <v>46</v>
      </c>
      <c r="CU158" s="35">
        <f t="shared" si="106"/>
        <v>0.92752100840336138</v>
      </c>
      <c r="CV158" s="35">
        <f t="shared" si="107"/>
        <v>0.94640943193997862</v>
      </c>
      <c r="CW158" s="35">
        <f t="shared" si="108"/>
        <v>0.98004201680672265</v>
      </c>
      <c r="CX158" s="20">
        <v>952</v>
      </c>
      <c r="CY158" s="27">
        <f t="shared" si="109"/>
        <v>19</v>
      </c>
      <c r="CZ158" s="20">
        <v>933</v>
      </c>
      <c r="DA158" s="20">
        <v>883</v>
      </c>
      <c r="DB158" s="20">
        <f t="shared" si="110"/>
        <v>50</v>
      </c>
      <c r="DC158" s="20"/>
      <c r="DD158" s="20"/>
      <c r="DE158" s="45">
        <v>2005</v>
      </c>
      <c r="DF158" s="48" t="s">
        <v>46</v>
      </c>
      <c r="DG158" s="35">
        <f t="shared" si="111"/>
        <v>0.93456375838926176</v>
      </c>
      <c r="DH158" s="35">
        <f t="shared" si="112"/>
        <v>0.95786758383490966</v>
      </c>
      <c r="DI158" s="35">
        <f t="shared" si="113"/>
        <v>0.97567114093959728</v>
      </c>
      <c r="DJ158" s="20">
        <v>1192</v>
      </c>
      <c r="DK158" s="27">
        <f t="shared" si="114"/>
        <v>29</v>
      </c>
      <c r="DL158" s="20">
        <v>1163</v>
      </c>
      <c r="DM158" s="20">
        <v>1114</v>
      </c>
      <c r="DN158" s="20">
        <f t="shared" si="115"/>
        <v>49</v>
      </c>
      <c r="DO158" s="20"/>
      <c r="DP158" s="20"/>
      <c r="DQ158" s="45"/>
      <c r="DR158" s="48"/>
      <c r="DS158" s="35"/>
      <c r="DT158" s="35"/>
      <c r="DU158" s="35"/>
      <c r="DV158" s="20"/>
      <c r="DW158" s="20"/>
      <c r="DX158" s="20"/>
      <c r="DY158" s="20"/>
      <c r="DZ158" s="20"/>
      <c r="EA158" s="20"/>
      <c r="EB158" s="20"/>
    </row>
    <row r="159" spans="1:132" s="29" customFormat="1" ht="12.75">
      <c r="A159" s="46">
        <v>2005</v>
      </c>
      <c r="B159" s="47" t="s">
        <v>47</v>
      </c>
      <c r="C159" s="35">
        <f t="shared" si="73"/>
        <v>0.84262757543700573</v>
      </c>
      <c r="D159" s="35">
        <f t="shared" si="74"/>
        <v>0.88143542182642143</v>
      </c>
      <c r="E159" s="35">
        <f t="shared" si="75"/>
        <v>0.95597199133544908</v>
      </c>
      <c r="F15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19851</v>
      </c>
      <c r="G159" s="20">
        <f t="shared" si="76"/>
        <v>874</v>
      </c>
      <c r="H15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18977</v>
      </c>
      <c r="I15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16727</v>
      </c>
      <c r="J159" s="20">
        <f t="shared" si="77"/>
        <v>2250</v>
      </c>
      <c r="K159" s="27"/>
      <c r="L159" s="27"/>
      <c r="M159" s="134">
        <v>2005</v>
      </c>
      <c r="N159" s="135" t="s">
        <v>47</v>
      </c>
      <c r="O159" s="132">
        <f t="shared" si="78"/>
        <v>0.84729878721058438</v>
      </c>
      <c r="P159" s="132">
        <f t="shared" si="79"/>
        <v>0.87803484718651814</v>
      </c>
      <c r="Q159" s="132">
        <f t="shared" si="80"/>
        <v>0.96499448732083792</v>
      </c>
      <c r="R159" s="129">
        <v>3628</v>
      </c>
      <c r="S159" s="133">
        <f t="shared" si="31"/>
        <v>127</v>
      </c>
      <c r="T159" s="129">
        <v>3501</v>
      </c>
      <c r="U159" s="129">
        <v>3074</v>
      </c>
      <c r="V159" s="129">
        <f t="shared" si="81"/>
        <v>427</v>
      </c>
      <c r="W159" s="20"/>
      <c r="X159" s="20"/>
      <c r="Y159" s="46">
        <v>2005</v>
      </c>
      <c r="Z159" s="47" t="s">
        <v>47</v>
      </c>
      <c r="AA159" s="35">
        <f t="shared" si="82"/>
        <v>0.84480519480519478</v>
      </c>
      <c r="AB159" s="35">
        <f t="shared" si="83"/>
        <v>0.87491593813046398</v>
      </c>
      <c r="AC159" s="35">
        <f t="shared" si="84"/>
        <v>0.96558441558441555</v>
      </c>
      <c r="AD159" s="20">
        <v>1540</v>
      </c>
      <c r="AE159" s="27">
        <f t="shared" si="36"/>
        <v>53</v>
      </c>
      <c r="AF159" s="20">
        <v>1487</v>
      </c>
      <c r="AG159" s="20">
        <v>1301</v>
      </c>
      <c r="AH159" s="20">
        <f t="shared" si="85"/>
        <v>186</v>
      </c>
      <c r="AI159" s="20"/>
      <c r="AJ159" s="20"/>
      <c r="AK159" s="46">
        <v>2005</v>
      </c>
      <c r="AL159" s="47" t="s">
        <v>47</v>
      </c>
      <c r="AM159" s="35">
        <f t="shared" si="86"/>
        <v>0.85645741703318667</v>
      </c>
      <c r="AN159" s="35">
        <f t="shared" si="87"/>
        <v>0.88769167012018235</v>
      </c>
      <c r="AO159" s="35">
        <f t="shared" si="88"/>
        <v>0.96481407437025191</v>
      </c>
      <c r="AP159" s="20">
        <v>5002</v>
      </c>
      <c r="AQ159" s="27">
        <f t="shared" si="89"/>
        <v>176</v>
      </c>
      <c r="AR159" s="20">
        <v>4826</v>
      </c>
      <c r="AS159" s="20">
        <v>4284</v>
      </c>
      <c r="AT159" s="20">
        <f t="shared" si="90"/>
        <v>542</v>
      </c>
      <c r="AU159" s="20"/>
      <c r="AV159" s="20"/>
      <c r="AW159" s="46">
        <v>2005</v>
      </c>
      <c r="AX159" s="47" t="s">
        <v>47</v>
      </c>
      <c r="AY159" s="35">
        <f t="shared" si="91"/>
        <v>0.55517241379310345</v>
      </c>
      <c r="AZ159" s="35">
        <f t="shared" si="92"/>
        <v>0.76666666666666672</v>
      </c>
      <c r="BA159" s="35">
        <f t="shared" si="93"/>
        <v>0.72413793103448276</v>
      </c>
      <c r="BB159" s="20">
        <v>580</v>
      </c>
      <c r="BC159" s="27">
        <f t="shared" si="94"/>
        <v>160</v>
      </c>
      <c r="BD159" s="20">
        <v>420</v>
      </c>
      <c r="BE159" s="20">
        <v>322</v>
      </c>
      <c r="BF159" s="20">
        <f t="shared" si="95"/>
        <v>98</v>
      </c>
      <c r="BG159" s="20"/>
      <c r="BH159" s="20"/>
      <c r="BI159" s="46">
        <v>2005</v>
      </c>
      <c r="BJ159" s="47" t="s">
        <v>47</v>
      </c>
      <c r="BK159" s="35">
        <f t="shared" si="96"/>
        <v>0.78254382693024993</v>
      </c>
      <c r="BL159" s="35">
        <f t="shared" si="97"/>
        <v>0.81729645500584336</v>
      </c>
      <c r="BM159" s="35">
        <f t="shared" si="98"/>
        <v>0.95747855277881389</v>
      </c>
      <c r="BN159" s="20">
        <v>2681</v>
      </c>
      <c r="BO159" s="27">
        <f t="shared" si="99"/>
        <v>114</v>
      </c>
      <c r="BP159" s="20">
        <v>2567</v>
      </c>
      <c r="BQ159" s="20">
        <v>2098</v>
      </c>
      <c r="BR159" s="20">
        <f t="shared" si="100"/>
        <v>469</v>
      </c>
      <c r="BS159" s="20"/>
      <c r="BT159" s="20"/>
      <c r="BU159" s="46">
        <v>2005</v>
      </c>
      <c r="BV159" s="47" t="s">
        <v>47</v>
      </c>
      <c r="BW159" s="35">
        <f t="shared" si="101"/>
        <v>0.80704328686720472</v>
      </c>
      <c r="BX159" s="35">
        <f t="shared" si="102"/>
        <v>0.84615384615384615</v>
      </c>
      <c r="BY159" s="35">
        <f t="shared" si="103"/>
        <v>0.95377842993396922</v>
      </c>
      <c r="BZ159" s="20">
        <v>2726</v>
      </c>
      <c r="CA159" s="27">
        <f t="shared" si="104"/>
        <v>126</v>
      </c>
      <c r="CB159" s="20">
        <v>2600</v>
      </c>
      <c r="CC159" s="20">
        <v>2200</v>
      </c>
      <c r="CD159" s="20">
        <f t="shared" si="105"/>
        <v>400</v>
      </c>
      <c r="CE159" s="20"/>
      <c r="CF159" s="20"/>
      <c r="CG159" s="46">
        <v>2005</v>
      </c>
      <c r="CH159" s="47" t="s">
        <v>47</v>
      </c>
      <c r="CI159" s="35">
        <f t="shared" si="58"/>
        <v>0.93674293405114406</v>
      </c>
      <c r="CJ159" s="35">
        <f t="shared" si="59"/>
        <v>0.97752808988764039</v>
      </c>
      <c r="CK159" s="35">
        <f t="shared" si="60"/>
        <v>0.95827725437415878</v>
      </c>
      <c r="CL159" s="20">
        <v>1486</v>
      </c>
      <c r="CM159" s="20">
        <f t="shared" si="61"/>
        <v>62</v>
      </c>
      <c r="CN159" s="20">
        <v>1424</v>
      </c>
      <c r="CO159" s="20">
        <v>1392</v>
      </c>
      <c r="CP159" s="20">
        <f t="shared" si="62"/>
        <v>32</v>
      </c>
      <c r="CQ159" s="20"/>
      <c r="CR159" s="20"/>
      <c r="CS159" s="46">
        <v>2005</v>
      </c>
      <c r="CT159" s="47" t="s">
        <v>47</v>
      </c>
      <c r="CU159" s="35">
        <f t="shared" si="106"/>
        <v>0.9408163265306122</v>
      </c>
      <c r="CV159" s="35">
        <f t="shared" si="107"/>
        <v>0.95841995841995842</v>
      </c>
      <c r="CW159" s="35">
        <f t="shared" si="108"/>
        <v>0.98163265306122449</v>
      </c>
      <c r="CX159" s="20">
        <v>980</v>
      </c>
      <c r="CY159" s="27">
        <f t="shared" si="109"/>
        <v>18</v>
      </c>
      <c r="CZ159" s="20">
        <v>962</v>
      </c>
      <c r="DA159" s="20">
        <v>922</v>
      </c>
      <c r="DB159" s="20">
        <f t="shared" si="110"/>
        <v>40</v>
      </c>
      <c r="DC159" s="20"/>
      <c r="DD159" s="20"/>
      <c r="DE159" s="46">
        <v>2005</v>
      </c>
      <c r="DF159" s="47" t="s">
        <v>47</v>
      </c>
      <c r="DG159" s="35">
        <f t="shared" si="111"/>
        <v>0.92345276872964166</v>
      </c>
      <c r="DH159" s="35">
        <f t="shared" si="112"/>
        <v>0.95294117647058818</v>
      </c>
      <c r="DI159" s="35">
        <f t="shared" si="113"/>
        <v>0.96905537459283386</v>
      </c>
      <c r="DJ159" s="20">
        <v>1228</v>
      </c>
      <c r="DK159" s="27">
        <f t="shared" si="114"/>
        <v>38</v>
      </c>
      <c r="DL159" s="20">
        <v>1190</v>
      </c>
      <c r="DM159" s="20">
        <v>1134</v>
      </c>
      <c r="DN159" s="20">
        <f t="shared" si="115"/>
        <v>56</v>
      </c>
      <c r="DO159" s="20"/>
      <c r="DP159" s="20"/>
      <c r="DQ159" s="46"/>
      <c r="DR159" s="47"/>
      <c r="DS159" s="35"/>
      <c r="DT159" s="35"/>
      <c r="DU159" s="35"/>
      <c r="DV159" s="20"/>
      <c r="DW159" s="20"/>
      <c r="DX159" s="20"/>
      <c r="DY159" s="20"/>
      <c r="DZ159" s="20"/>
      <c r="EA159" s="20"/>
      <c r="EB159" s="20"/>
    </row>
    <row r="160" spans="1:132" s="29" customFormat="1" ht="12.75">
      <c r="A160" s="45">
        <v>2005</v>
      </c>
      <c r="B160" s="48" t="s">
        <v>48</v>
      </c>
      <c r="C160" s="35">
        <f t="shared" si="73"/>
        <v>0.84301096910536377</v>
      </c>
      <c r="D160" s="35">
        <f t="shared" si="74"/>
        <v>0.88533079687169736</v>
      </c>
      <c r="E160" s="35">
        <f t="shared" si="75"/>
        <v>0.95219885277246652</v>
      </c>
      <c r="F16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G160" s="20">
        <f t="shared" si="76"/>
        <v>950</v>
      </c>
      <c r="H16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I16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16754</v>
      </c>
      <c r="J160" s="20">
        <f t="shared" si="77"/>
        <v>2170</v>
      </c>
      <c r="K160" s="27"/>
      <c r="L160" s="27"/>
      <c r="M160" s="130">
        <v>2005</v>
      </c>
      <c r="N160" s="131" t="s">
        <v>48</v>
      </c>
      <c r="O160" s="132">
        <f t="shared" si="78"/>
        <v>0.87743506493506496</v>
      </c>
      <c r="P160" s="132">
        <f t="shared" si="79"/>
        <v>0.90942232192933259</v>
      </c>
      <c r="Q160" s="132">
        <f t="shared" si="80"/>
        <v>0.96482683982683981</v>
      </c>
      <c r="R160" s="129">
        <v>3696</v>
      </c>
      <c r="S160" s="133">
        <f t="shared" si="31"/>
        <v>130</v>
      </c>
      <c r="T160" s="129">
        <v>3566</v>
      </c>
      <c r="U160" s="129">
        <v>3243</v>
      </c>
      <c r="V160" s="129">
        <f t="shared" si="81"/>
        <v>323</v>
      </c>
      <c r="W160" s="20"/>
      <c r="X160" s="20"/>
      <c r="Y160" s="45">
        <v>2005</v>
      </c>
      <c r="Z160" s="48" t="s">
        <v>48</v>
      </c>
      <c r="AA160" s="35">
        <f t="shared" si="82"/>
        <v>0.84165571616294355</v>
      </c>
      <c r="AB160" s="35">
        <f t="shared" si="83"/>
        <v>0.86554054054054053</v>
      </c>
      <c r="AC160" s="35">
        <f t="shared" si="84"/>
        <v>0.97240473061760846</v>
      </c>
      <c r="AD160" s="20">
        <v>1522</v>
      </c>
      <c r="AE160" s="27">
        <f t="shared" si="36"/>
        <v>42</v>
      </c>
      <c r="AF160" s="20">
        <v>1480</v>
      </c>
      <c r="AG160" s="20">
        <v>1281</v>
      </c>
      <c r="AH160" s="20">
        <f t="shared" si="85"/>
        <v>199</v>
      </c>
      <c r="AI160" s="20"/>
      <c r="AJ160" s="20"/>
      <c r="AK160" s="45">
        <v>2005</v>
      </c>
      <c r="AL160" s="48" t="s">
        <v>48</v>
      </c>
      <c r="AM160" s="35">
        <f t="shared" si="86"/>
        <v>0.86575178997613367</v>
      </c>
      <c r="AN160" s="35">
        <f t="shared" si="87"/>
        <v>0.91468795965538974</v>
      </c>
      <c r="AO160" s="35">
        <f t="shared" si="88"/>
        <v>0.94649960222752583</v>
      </c>
      <c r="AP160" s="20">
        <v>5028</v>
      </c>
      <c r="AQ160" s="27">
        <f t="shared" si="89"/>
        <v>269</v>
      </c>
      <c r="AR160" s="20">
        <v>4759</v>
      </c>
      <c r="AS160" s="20">
        <v>4353</v>
      </c>
      <c r="AT160" s="20">
        <f t="shared" si="90"/>
        <v>406</v>
      </c>
      <c r="AU160" s="20"/>
      <c r="AV160" s="20"/>
      <c r="AW160" s="45">
        <v>2005</v>
      </c>
      <c r="AX160" s="48" t="s">
        <v>48</v>
      </c>
      <c r="AY160" s="35">
        <f t="shared" si="91"/>
        <v>0.55956112852664575</v>
      </c>
      <c r="AZ160" s="35">
        <f t="shared" si="92"/>
        <v>0.7846153846153846</v>
      </c>
      <c r="BA160" s="35">
        <f t="shared" si="93"/>
        <v>0.71316614420062696</v>
      </c>
      <c r="BB160" s="20">
        <v>638</v>
      </c>
      <c r="BC160" s="27">
        <f t="shared" si="94"/>
        <v>183</v>
      </c>
      <c r="BD160" s="20">
        <v>455</v>
      </c>
      <c r="BE160" s="20">
        <v>357</v>
      </c>
      <c r="BF160" s="20">
        <f t="shared" si="95"/>
        <v>98</v>
      </c>
      <c r="BG160" s="20"/>
      <c r="BH160" s="20"/>
      <c r="BI160" s="45">
        <v>2005</v>
      </c>
      <c r="BJ160" s="48" t="s">
        <v>48</v>
      </c>
      <c r="BK160" s="35">
        <f t="shared" si="96"/>
        <v>0.74587706146926536</v>
      </c>
      <c r="BL160" s="35">
        <f t="shared" si="97"/>
        <v>0.77341624562767197</v>
      </c>
      <c r="BM160" s="35">
        <f t="shared" si="98"/>
        <v>0.9643928035982009</v>
      </c>
      <c r="BN160" s="20">
        <v>2668</v>
      </c>
      <c r="BO160" s="27">
        <f t="shared" si="99"/>
        <v>95</v>
      </c>
      <c r="BP160" s="20">
        <v>2573</v>
      </c>
      <c r="BQ160" s="20">
        <v>1990</v>
      </c>
      <c r="BR160" s="20">
        <f t="shared" si="100"/>
        <v>583</v>
      </c>
      <c r="BS160" s="20"/>
      <c r="BT160" s="20"/>
      <c r="BU160" s="45">
        <v>2005</v>
      </c>
      <c r="BV160" s="48" t="s">
        <v>48</v>
      </c>
      <c r="BW160" s="35">
        <f t="shared" si="101"/>
        <v>0.80666666666666664</v>
      </c>
      <c r="BX160" s="35">
        <f t="shared" si="102"/>
        <v>0.83384379785604901</v>
      </c>
      <c r="BY160" s="35">
        <f t="shared" si="103"/>
        <v>0.96740740740740738</v>
      </c>
      <c r="BZ160" s="20">
        <v>2700</v>
      </c>
      <c r="CA160" s="27">
        <f t="shared" si="104"/>
        <v>88</v>
      </c>
      <c r="CB160" s="20">
        <v>2612</v>
      </c>
      <c r="CC160" s="20">
        <v>2178</v>
      </c>
      <c r="CD160" s="20">
        <f t="shared" si="105"/>
        <v>434</v>
      </c>
      <c r="CE160" s="20"/>
      <c r="CF160" s="20"/>
      <c r="CG160" s="45">
        <v>2005</v>
      </c>
      <c r="CH160" s="48" t="s">
        <v>48</v>
      </c>
      <c r="CI160" s="35">
        <f t="shared" si="58"/>
        <v>0.95128552097428953</v>
      </c>
      <c r="CJ160" s="35">
        <f t="shared" si="59"/>
        <v>0.98390482855143457</v>
      </c>
      <c r="CK160" s="35">
        <f t="shared" si="60"/>
        <v>0.96684709066305818</v>
      </c>
      <c r="CL160" s="20">
        <v>1478</v>
      </c>
      <c r="CM160" s="20">
        <f t="shared" si="61"/>
        <v>49</v>
      </c>
      <c r="CN160" s="20">
        <v>1429</v>
      </c>
      <c r="CO160" s="20">
        <v>1406</v>
      </c>
      <c r="CP160" s="20">
        <f t="shared" si="62"/>
        <v>23</v>
      </c>
      <c r="CQ160" s="20"/>
      <c r="CR160" s="20"/>
      <c r="CS160" s="45">
        <v>2005</v>
      </c>
      <c r="CT160" s="48" t="s">
        <v>48</v>
      </c>
      <c r="CU160" s="35">
        <f t="shared" si="106"/>
        <v>0.93802521008403361</v>
      </c>
      <c r="CV160" s="35">
        <f t="shared" si="107"/>
        <v>0.97276688453159044</v>
      </c>
      <c r="CW160" s="35">
        <f t="shared" si="108"/>
        <v>0.9642857142857143</v>
      </c>
      <c r="CX160" s="20">
        <v>952</v>
      </c>
      <c r="CY160" s="27">
        <f t="shared" si="109"/>
        <v>34</v>
      </c>
      <c r="CZ160" s="20">
        <v>918</v>
      </c>
      <c r="DA160" s="20">
        <v>893</v>
      </c>
      <c r="DB160" s="20">
        <f t="shared" si="110"/>
        <v>25</v>
      </c>
      <c r="DC160" s="20"/>
      <c r="DD160" s="20"/>
      <c r="DE160" s="45">
        <v>2005</v>
      </c>
      <c r="DF160" s="48" t="s">
        <v>48</v>
      </c>
      <c r="DG160" s="35">
        <f t="shared" si="111"/>
        <v>0.88338926174496646</v>
      </c>
      <c r="DH160" s="35">
        <f t="shared" si="112"/>
        <v>0.93021201413427557</v>
      </c>
      <c r="DI160" s="35">
        <f t="shared" si="113"/>
        <v>0.94966442953020136</v>
      </c>
      <c r="DJ160" s="20">
        <v>1192</v>
      </c>
      <c r="DK160" s="27">
        <f t="shared" si="114"/>
        <v>60</v>
      </c>
      <c r="DL160" s="20">
        <v>1132</v>
      </c>
      <c r="DM160" s="20">
        <v>1053</v>
      </c>
      <c r="DN160" s="20">
        <f t="shared" si="115"/>
        <v>79</v>
      </c>
      <c r="DO160" s="20"/>
      <c r="DP160" s="20"/>
      <c r="DQ160" s="45"/>
      <c r="DR160" s="48"/>
      <c r="DS160" s="35"/>
      <c r="DT160" s="35"/>
      <c r="DU160" s="35"/>
      <c r="DV160" s="20"/>
      <c r="DW160" s="20"/>
      <c r="DX160" s="20"/>
      <c r="DY160" s="20"/>
      <c r="DZ160" s="20"/>
      <c r="EA160" s="20"/>
      <c r="EB160" s="20"/>
    </row>
    <row r="161" spans="1:132" s="29" customFormat="1" ht="12.75">
      <c r="A161" s="46">
        <v>2005</v>
      </c>
      <c r="B161" s="47" t="s">
        <v>49</v>
      </c>
      <c r="C161" s="35">
        <f t="shared" si="73"/>
        <v>0.78920716874348407</v>
      </c>
      <c r="D161" s="35">
        <f t="shared" si="74"/>
        <v>0.83884755421877477</v>
      </c>
      <c r="E161" s="35">
        <f t="shared" si="75"/>
        <v>0.94082311472968272</v>
      </c>
      <c r="F16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G161" s="20">
        <f t="shared" si="76"/>
        <v>1192</v>
      </c>
      <c r="H16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18951</v>
      </c>
      <c r="I16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15897</v>
      </c>
      <c r="J161" s="20">
        <f t="shared" si="77"/>
        <v>3054</v>
      </c>
      <c r="K161" s="27"/>
      <c r="L161" s="27"/>
      <c r="M161" s="134">
        <v>2005</v>
      </c>
      <c r="N161" s="135" t="s">
        <v>49</v>
      </c>
      <c r="O161" s="132">
        <f t="shared" si="78"/>
        <v>0.84636118598382748</v>
      </c>
      <c r="P161" s="132">
        <f t="shared" si="79"/>
        <v>0.88301462317210344</v>
      </c>
      <c r="Q161" s="132">
        <f t="shared" si="80"/>
        <v>0.95849056603773586</v>
      </c>
      <c r="R161" s="129">
        <v>3710</v>
      </c>
      <c r="S161" s="133">
        <f t="shared" si="31"/>
        <v>154</v>
      </c>
      <c r="T161" s="129">
        <v>3556</v>
      </c>
      <c r="U161" s="129">
        <v>3140</v>
      </c>
      <c r="V161" s="129">
        <f t="shared" si="81"/>
        <v>416</v>
      </c>
      <c r="W161" s="20"/>
      <c r="X161" s="20"/>
      <c r="Y161" s="46">
        <v>2005</v>
      </c>
      <c r="Z161" s="47" t="s">
        <v>49</v>
      </c>
      <c r="AA161" s="35">
        <f t="shared" si="82"/>
        <v>0.80680359435173299</v>
      </c>
      <c r="AB161" s="35">
        <f t="shared" si="83"/>
        <v>0.84080267558528432</v>
      </c>
      <c r="AC161" s="35">
        <f t="shared" si="84"/>
        <v>0.95956354300385105</v>
      </c>
      <c r="AD161" s="20">
        <v>1558</v>
      </c>
      <c r="AE161" s="27">
        <f t="shared" si="36"/>
        <v>63</v>
      </c>
      <c r="AF161" s="20">
        <v>1495</v>
      </c>
      <c r="AG161" s="20">
        <v>1257</v>
      </c>
      <c r="AH161" s="20">
        <f t="shared" si="85"/>
        <v>238</v>
      </c>
      <c r="AI161" s="20"/>
      <c r="AJ161" s="20"/>
      <c r="AK161" s="46">
        <v>2005</v>
      </c>
      <c r="AL161" s="47" t="s">
        <v>49</v>
      </c>
      <c r="AM161" s="35">
        <f t="shared" si="86"/>
        <v>0.86011787819253438</v>
      </c>
      <c r="AN161" s="35">
        <f t="shared" si="87"/>
        <v>0.90286657042689211</v>
      </c>
      <c r="AO161" s="35">
        <f t="shared" si="88"/>
        <v>0.95265225933202358</v>
      </c>
      <c r="AP161" s="20">
        <v>5090</v>
      </c>
      <c r="AQ161" s="27">
        <f t="shared" si="89"/>
        <v>241</v>
      </c>
      <c r="AR161" s="20">
        <v>4849</v>
      </c>
      <c r="AS161" s="20">
        <v>4378</v>
      </c>
      <c r="AT161" s="20">
        <f t="shared" si="90"/>
        <v>471</v>
      </c>
      <c r="AU161" s="20"/>
      <c r="AV161" s="20"/>
      <c r="AW161" s="46">
        <v>2005</v>
      </c>
      <c r="AX161" s="47" t="s">
        <v>49</v>
      </c>
      <c r="AY161" s="35">
        <f t="shared" si="91"/>
        <v>0.58128078817733986</v>
      </c>
      <c r="AZ161" s="35">
        <f t="shared" si="92"/>
        <v>0.78666666666666663</v>
      </c>
      <c r="BA161" s="35">
        <f t="shared" si="93"/>
        <v>0.73891625615763545</v>
      </c>
      <c r="BB161" s="20">
        <v>609</v>
      </c>
      <c r="BC161" s="27">
        <f t="shared" si="94"/>
        <v>159</v>
      </c>
      <c r="BD161" s="20">
        <v>450</v>
      </c>
      <c r="BE161" s="20">
        <v>354</v>
      </c>
      <c r="BF161" s="20">
        <f t="shared" si="95"/>
        <v>96</v>
      </c>
      <c r="BG161" s="20"/>
      <c r="BH161" s="20"/>
      <c r="BI161" s="46">
        <v>2005</v>
      </c>
      <c r="BJ161" s="47" t="s">
        <v>49</v>
      </c>
      <c r="BK161" s="35">
        <f t="shared" si="96"/>
        <v>0.59904094430099597</v>
      </c>
      <c r="BL161" s="35">
        <f t="shared" si="97"/>
        <v>0.63586530931871577</v>
      </c>
      <c r="BM161" s="35">
        <f t="shared" si="98"/>
        <v>0.94208779048321656</v>
      </c>
      <c r="BN161" s="20">
        <v>2711</v>
      </c>
      <c r="BO161" s="27">
        <f t="shared" si="99"/>
        <v>157</v>
      </c>
      <c r="BP161" s="20">
        <v>2554</v>
      </c>
      <c r="BQ161" s="20">
        <v>1624</v>
      </c>
      <c r="BR161" s="20">
        <f t="shared" si="100"/>
        <v>930</v>
      </c>
      <c r="BS161" s="20"/>
      <c r="BT161" s="20"/>
      <c r="BU161" s="46">
        <v>2005</v>
      </c>
      <c r="BV161" s="47" t="s">
        <v>49</v>
      </c>
      <c r="BW161" s="35">
        <f t="shared" si="101"/>
        <v>0.67902580879680119</v>
      </c>
      <c r="BX161" s="35">
        <f t="shared" si="102"/>
        <v>0.72769770159719516</v>
      </c>
      <c r="BY161" s="35">
        <f t="shared" si="103"/>
        <v>0.93311523082515446</v>
      </c>
      <c r="BZ161" s="20">
        <v>2751</v>
      </c>
      <c r="CA161" s="27">
        <f t="shared" si="104"/>
        <v>184</v>
      </c>
      <c r="CB161" s="20">
        <v>2567</v>
      </c>
      <c r="CC161" s="20">
        <v>1868</v>
      </c>
      <c r="CD161" s="20">
        <f t="shared" si="105"/>
        <v>699</v>
      </c>
      <c r="CE161" s="20"/>
      <c r="CF161" s="20"/>
      <c r="CG161" s="46">
        <v>2005</v>
      </c>
      <c r="CH161" s="47" t="s">
        <v>49</v>
      </c>
      <c r="CI161" s="35">
        <f t="shared" si="58"/>
        <v>0.93142476697736354</v>
      </c>
      <c r="CJ161" s="35">
        <f t="shared" si="59"/>
        <v>0.96682791983413963</v>
      </c>
      <c r="CK161" s="35">
        <f t="shared" si="60"/>
        <v>0.9633821571238349</v>
      </c>
      <c r="CL161" s="20">
        <v>1502</v>
      </c>
      <c r="CM161" s="20">
        <f t="shared" si="61"/>
        <v>55</v>
      </c>
      <c r="CN161" s="20">
        <v>1447</v>
      </c>
      <c r="CO161" s="20">
        <v>1399</v>
      </c>
      <c r="CP161" s="20">
        <f t="shared" si="62"/>
        <v>48</v>
      </c>
      <c r="CQ161" s="20"/>
      <c r="CR161" s="20"/>
      <c r="CS161" s="46">
        <v>2005</v>
      </c>
      <c r="CT161" s="47" t="s">
        <v>49</v>
      </c>
      <c r="CU161" s="35">
        <f t="shared" si="106"/>
        <v>0.91853360488798375</v>
      </c>
      <c r="CV161" s="35">
        <f t="shared" si="107"/>
        <v>0.94648478488982157</v>
      </c>
      <c r="CW161" s="35">
        <f t="shared" si="108"/>
        <v>0.97046843177189412</v>
      </c>
      <c r="CX161" s="20">
        <v>982</v>
      </c>
      <c r="CY161" s="27">
        <f t="shared" si="109"/>
        <v>29</v>
      </c>
      <c r="CZ161" s="20">
        <v>953</v>
      </c>
      <c r="DA161" s="20">
        <v>902</v>
      </c>
      <c r="DB161" s="20">
        <f t="shared" si="110"/>
        <v>51</v>
      </c>
      <c r="DC161" s="20"/>
      <c r="DD161" s="20"/>
      <c r="DE161" s="46">
        <v>2005</v>
      </c>
      <c r="DF161" s="47" t="s">
        <v>49</v>
      </c>
      <c r="DG161" s="35">
        <f t="shared" si="111"/>
        <v>0.79268292682926833</v>
      </c>
      <c r="DH161" s="35">
        <f t="shared" si="112"/>
        <v>0.90277777777777779</v>
      </c>
      <c r="DI161" s="35">
        <f t="shared" si="113"/>
        <v>0.87804878048780488</v>
      </c>
      <c r="DJ161" s="20">
        <v>1230</v>
      </c>
      <c r="DK161" s="27">
        <f t="shared" si="114"/>
        <v>150</v>
      </c>
      <c r="DL161" s="20">
        <v>1080</v>
      </c>
      <c r="DM161" s="20">
        <v>975</v>
      </c>
      <c r="DN161" s="20">
        <f t="shared" si="115"/>
        <v>105</v>
      </c>
      <c r="DO161" s="20"/>
      <c r="DP161" s="20"/>
      <c r="DQ161" s="46"/>
      <c r="DR161" s="47"/>
      <c r="DS161" s="35"/>
      <c r="DT161" s="35"/>
      <c r="DU161" s="35"/>
      <c r="DV161" s="20"/>
      <c r="DW161" s="20"/>
      <c r="DX161" s="20"/>
      <c r="DY161" s="20"/>
      <c r="DZ161" s="20"/>
      <c r="EA161" s="20"/>
      <c r="EB161" s="20"/>
    </row>
    <row r="162" spans="1:132" s="29" customFormat="1" ht="12.75">
      <c r="A162" s="45">
        <v>2006</v>
      </c>
      <c r="B162" s="48" t="s">
        <v>38</v>
      </c>
      <c r="C162" s="35">
        <f t="shared" si="73"/>
        <v>0.83481901009603543</v>
      </c>
      <c r="D162" s="35">
        <f t="shared" si="74"/>
        <v>0.87574912171936348</v>
      </c>
      <c r="E162" s="35">
        <f t="shared" si="75"/>
        <v>0.95326274316670767</v>
      </c>
      <c r="F16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2" s="20">
        <f t="shared" si="76"/>
        <v>949</v>
      </c>
      <c r="H16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19356</v>
      </c>
      <c r="I16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16951</v>
      </c>
      <c r="J162" s="20">
        <f t="shared" si="77"/>
        <v>2405</v>
      </c>
      <c r="K162" s="27"/>
      <c r="L162" s="27"/>
      <c r="M162" s="130">
        <v>2006</v>
      </c>
      <c r="N162" s="131" t="s">
        <v>38</v>
      </c>
      <c r="O162" s="132">
        <f t="shared" si="78"/>
        <v>0.88438998401704849</v>
      </c>
      <c r="P162" s="132">
        <f t="shared" si="79"/>
        <v>0.92196612052207716</v>
      </c>
      <c r="Q162" s="132">
        <f t="shared" si="80"/>
        <v>0.95924347362813001</v>
      </c>
      <c r="R162" s="129">
        <v>3754</v>
      </c>
      <c r="S162" s="133">
        <f t="shared" si="31"/>
        <v>153</v>
      </c>
      <c r="T162" s="129">
        <v>3601</v>
      </c>
      <c r="U162" s="129">
        <v>3320</v>
      </c>
      <c r="V162" s="129">
        <f t="shared" ref="V162:V173" si="116">T162-U162</f>
        <v>281</v>
      </c>
      <c r="W162" s="20"/>
      <c r="X162" s="20"/>
      <c r="Y162" s="45">
        <v>2006</v>
      </c>
      <c r="Z162" s="48" t="s">
        <v>38</v>
      </c>
      <c r="AA162" s="35">
        <f t="shared" si="82"/>
        <v>0.86384071933204876</v>
      </c>
      <c r="AB162" s="35">
        <f t="shared" si="83"/>
        <v>0.89726484322881916</v>
      </c>
      <c r="AC162" s="35">
        <f t="shared" si="84"/>
        <v>0.96274887604367376</v>
      </c>
      <c r="AD162" s="20">
        <v>1557</v>
      </c>
      <c r="AE162" s="27">
        <f t="shared" si="36"/>
        <v>58</v>
      </c>
      <c r="AF162" s="20">
        <v>1499</v>
      </c>
      <c r="AG162" s="20">
        <v>1345</v>
      </c>
      <c r="AH162" s="20">
        <f t="shared" si="85"/>
        <v>154</v>
      </c>
      <c r="AI162" s="20"/>
      <c r="AJ162" s="20"/>
      <c r="AK162" s="45">
        <v>2006</v>
      </c>
      <c r="AL162" s="48" t="s">
        <v>38</v>
      </c>
      <c r="AM162" s="35">
        <f t="shared" si="86"/>
        <v>0.88658988873706812</v>
      </c>
      <c r="AN162" s="35">
        <f t="shared" si="87"/>
        <v>0.93131023169981542</v>
      </c>
      <c r="AO162" s="35">
        <f t="shared" si="88"/>
        <v>0.95198126097989455</v>
      </c>
      <c r="AP162" s="20">
        <v>5123</v>
      </c>
      <c r="AQ162" s="27">
        <f t="shared" ref="AQ162:AQ173" si="117">AP162-AR162</f>
        <v>246</v>
      </c>
      <c r="AR162" s="20">
        <v>4877</v>
      </c>
      <c r="AS162" s="20">
        <v>4542</v>
      </c>
      <c r="AT162" s="20">
        <f t="shared" ref="AT162:AT173" si="118">AR162-AS162</f>
        <v>335</v>
      </c>
      <c r="AU162" s="20"/>
      <c r="AV162" s="20"/>
      <c r="AW162" s="45">
        <v>2006</v>
      </c>
      <c r="AX162" s="48" t="s">
        <v>38</v>
      </c>
      <c r="AY162" s="35">
        <f t="shared" si="91"/>
        <v>0.61285266457680254</v>
      </c>
      <c r="AZ162" s="35">
        <f t="shared" si="92"/>
        <v>0.85371179039301315</v>
      </c>
      <c r="BA162" s="35">
        <f t="shared" si="93"/>
        <v>0.7178683385579937</v>
      </c>
      <c r="BB162" s="20">
        <v>638</v>
      </c>
      <c r="BC162" s="27">
        <f t="shared" ref="BC162:BC173" si="119">BB162-BD162</f>
        <v>180</v>
      </c>
      <c r="BD162" s="20">
        <v>458</v>
      </c>
      <c r="BE162" s="20">
        <v>391</v>
      </c>
      <c r="BF162" s="20">
        <f t="shared" ref="BF162:BF173" si="120">BD162-BE162</f>
        <v>67</v>
      </c>
      <c r="BG162" s="20"/>
      <c r="BH162" s="20"/>
      <c r="BI162" s="45">
        <v>2006</v>
      </c>
      <c r="BJ162" s="48" t="s">
        <v>38</v>
      </c>
      <c r="BK162" s="35">
        <f t="shared" si="96"/>
        <v>0.65581565471836134</v>
      </c>
      <c r="BL162" s="35">
        <f t="shared" si="97"/>
        <v>0.67737060823573858</v>
      </c>
      <c r="BM162" s="35">
        <f t="shared" si="98"/>
        <v>0.96817849305047554</v>
      </c>
      <c r="BN162" s="20">
        <v>2734</v>
      </c>
      <c r="BO162" s="27">
        <f t="shared" ref="BO162:BO173" si="121">BN162-BP162</f>
        <v>87</v>
      </c>
      <c r="BP162" s="20">
        <v>2647</v>
      </c>
      <c r="BQ162" s="20">
        <v>1793</v>
      </c>
      <c r="BR162" s="20">
        <f t="shared" ref="BR162:BR173" si="122">BP162-BQ162</f>
        <v>854</v>
      </c>
      <c r="BS162" s="20"/>
      <c r="BT162" s="20"/>
      <c r="BU162" s="45">
        <v>2006</v>
      </c>
      <c r="BV162" s="48" t="s">
        <v>38</v>
      </c>
      <c r="BW162" s="35">
        <f t="shared" si="101"/>
        <v>0.75893179357632623</v>
      </c>
      <c r="BX162" s="35">
        <f t="shared" si="102"/>
        <v>0.78558087411281285</v>
      </c>
      <c r="BY162" s="35">
        <f t="shared" si="103"/>
        <v>0.96607722843738719</v>
      </c>
      <c r="BZ162" s="20">
        <v>2771</v>
      </c>
      <c r="CA162" s="27">
        <f t="shared" ref="CA162:CA173" si="123">BZ162-CB162</f>
        <v>94</v>
      </c>
      <c r="CB162" s="20">
        <v>2677</v>
      </c>
      <c r="CC162" s="20">
        <v>2103</v>
      </c>
      <c r="CD162" s="20">
        <f t="shared" ref="CD162:CD173" si="124">CB162-CC162</f>
        <v>574</v>
      </c>
      <c r="CE162" s="20"/>
      <c r="CF162" s="20"/>
      <c r="CG162" s="45">
        <v>2006</v>
      </c>
      <c r="CH162" s="48" t="s">
        <v>38</v>
      </c>
      <c r="CI162" s="35">
        <f t="shared" si="58"/>
        <v>0.94788918205804751</v>
      </c>
      <c r="CJ162" s="35">
        <f t="shared" si="59"/>
        <v>0.96898179366149695</v>
      </c>
      <c r="CK162" s="35">
        <f t="shared" si="60"/>
        <v>0.97823218997361483</v>
      </c>
      <c r="CL162" s="20">
        <v>1516</v>
      </c>
      <c r="CM162" s="20">
        <f t="shared" si="61"/>
        <v>33</v>
      </c>
      <c r="CN162" s="20">
        <v>1483</v>
      </c>
      <c r="CO162" s="20">
        <v>1437</v>
      </c>
      <c r="CP162" s="20">
        <f t="shared" si="62"/>
        <v>46</v>
      </c>
      <c r="CQ162" s="20"/>
      <c r="CR162" s="20"/>
      <c r="CS162" s="45">
        <v>2006</v>
      </c>
      <c r="CT162" s="48" t="s">
        <v>38</v>
      </c>
      <c r="CU162" s="35">
        <f t="shared" si="106"/>
        <v>0.93584521384928721</v>
      </c>
      <c r="CV162" s="35">
        <f t="shared" si="107"/>
        <v>0.95729166666666665</v>
      </c>
      <c r="CW162" s="35">
        <f t="shared" si="108"/>
        <v>0.9775967413441955</v>
      </c>
      <c r="CX162" s="20">
        <v>982</v>
      </c>
      <c r="CY162" s="27">
        <f t="shared" ref="CY162:CY173" si="125">CX162-CZ162</f>
        <v>22</v>
      </c>
      <c r="CZ162" s="20">
        <v>960</v>
      </c>
      <c r="DA162" s="20">
        <v>919</v>
      </c>
      <c r="DB162" s="20">
        <f t="shared" ref="DB162:DB173" si="126">CZ162-DA162</f>
        <v>41</v>
      </c>
      <c r="DC162" s="20"/>
      <c r="DD162" s="20"/>
      <c r="DE162" s="45">
        <v>2006</v>
      </c>
      <c r="DF162" s="48" t="s">
        <v>38</v>
      </c>
      <c r="DG162" s="35">
        <f t="shared" si="111"/>
        <v>0.89512195121951221</v>
      </c>
      <c r="DH162" s="35">
        <f t="shared" si="112"/>
        <v>0.95407279029462744</v>
      </c>
      <c r="DI162" s="35">
        <f t="shared" si="113"/>
        <v>0.93821138211382116</v>
      </c>
      <c r="DJ162" s="20">
        <v>1230</v>
      </c>
      <c r="DK162" s="27">
        <f t="shared" ref="DK162:DK173" si="127">DJ162-DL162</f>
        <v>76</v>
      </c>
      <c r="DL162" s="20">
        <v>1154</v>
      </c>
      <c r="DM162" s="20">
        <v>1101</v>
      </c>
      <c r="DN162" s="20">
        <f t="shared" ref="DN162:DN173" si="128">DL162-DM162</f>
        <v>53</v>
      </c>
      <c r="DO162" s="20"/>
      <c r="DP162" s="20"/>
      <c r="DQ162" s="45"/>
      <c r="DR162" s="48"/>
      <c r="DS162" s="35"/>
      <c r="DT162" s="35"/>
      <c r="DU162" s="35"/>
      <c r="DV162" s="20"/>
      <c r="DW162" s="20"/>
      <c r="DX162" s="20"/>
      <c r="DY162" s="20"/>
      <c r="DZ162" s="20"/>
      <c r="EA162" s="20"/>
      <c r="EB162" s="20"/>
    </row>
    <row r="163" spans="1:132" s="29" customFormat="1" ht="12.75">
      <c r="A163" s="46">
        <v>2006</v>
      </c>
      <c r="B163" s="47" t="s">
        <v>39</v>
      </c>
      <c r="C163" s="35">
        <f t="shared" si="73"/>
        <v>0.83166919904493164</v>
      </c>
      <c r="D163" s="35">
        <f t="shared" si="74"/>
        <v>0.87178612059158134</v>
      </c>
      <c r="E163" s="35">
        <f t="shared" si="75"/>
        <v>0.95398306924245713</v>
      </c>
      <c r="F16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G163" s="20">
        <f t="shared" si="76"/>
        <v>848</v>
      </c>
      <c r="H16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17580</v>
      </c>
      <c r="I16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15326</v>
      </c>
      <c r="J163" s="20">
        <f t="shared" si="77"/>
        <v>2254</v>
      </c>
      <c r="K163" s="27"/>
      <c r="L163" s="27"/>
      <c r="M163" s="134">
        <v>2006</v>
      </c>
      <c r="N163" s="135" t="s">
        <v>39</v>
      </c>
      <c r="O163" s="132">
        <f t="shared" si="78"/>
        <v>0.89139344262295084</v>
      </c>
      <c r="P163" s="132">
        <f t="shared" si="79"/>
        <v>0.91855203619909498</v>
      </c>
      <c r="Q163" s="132">
        <f t="shared" si="80"/>
        <v>0.97043325526932089</v>
      </c>
      <c r="R163" s="129">
        <v>3416</v>
      </c>
      <c r="S163" s="133">
        <f t="shared" si="31"/>
        <v>101</v>
      </c>
      <c r="T163" s="129">
        <v>3315</v>
      </c>
      <c r="U163" s="129">
        <v>3045</v>
      </c>
      <c r="V163" s="129">
        <f t="shared" si="116"/>
        <v>270</v>
      </c>
      <c r="W163" s="20"/>
      <c r="X163" s="20"/>
      <c r="Y163" s="46">
        <v>2006</v>
      </c>
      <c r="Z163" s="47" t="s">
        <v>39</v>
      </c>
      <c r="AA163" s="35">
        <f t="shared" si="82"/>
        <v>0.84251412429378536</v>
      </c>
      <c r="AB163" s="35">
        <f t="shared" si="83"/>
        <v>0.86953352769679304</v>
      </c>
      <c r="AC163" s="35">
        <f t="shared" si="84"/>
        <v>0.96892655367231639</v>
      </c>
      <c r="AD163" s="20">
        <v>1416</v>
      </c>
      <c r="AE163" s="27">
        <f t="shared" si="36"/>
        <v>44</v>
      </c>
      <c r="AF163" s="20">
        <v>1372</v>
      </c>
      <c r="AG163" s="20">
        <v>1193</v>
      </c>
      <c r="AH163" s="20">
        <f t="shared" si="85"/>
        <v>179</v>
      </c>
      <c r="AI163" s="20"/>
      <c r="AJ163" s="20"/>
      <c r="AK163" s="46">
        <v>2006</v>
      </c>
      <c r="AL163" s="47" t="s">
        <v>39</v>
      </c>
      <c r="AM163" s="35">
        <f t="shared" si="86"/>
        <v>0.89077253218884123</v>
      </c>
      <c r="AN163" s="35">
        <f t="shared" si="87"/>
        <v>0.92470483403876147</v>
      </c>
      <c r="AO163" s="35">
        <f t="shared" si="88"/>
        <v>0.96330472103004294</v>
      </c>
      <c r="AP163" s="20">
        <v>4660</v>
      </c>
      <c r="AQ163" s="27">
        <f t="shared" si="117"/>
        <v>171</v>
      </c>
      <c r="AR163" s="20">
        <v>4489</v>
      </c>
      <c r="AS163" s="20">
        <v>4151</v>
      </c>
      <c r="AT163" s="20">
        <f t="shared" si="118"/>
        <v>338</v>
      </c>
      <c r="AU163" s="20"/>
      <c r="AV163" s="20"/>
      <c r="AW163" s="46">
        <v>2006</v>
      </c>
      <c r="AX163" s="47" t="s">
        <v>39</v>
      </c>
      <c r="AY163" s="35">
        <f t="shared" si="91"/>
        <v>0.62413793103448278</v>
      </c>
      <c r="AZ163" s="35">
        <f t="shared" si="92"/>
        <v>0.80623608017817372</v>
      </c>
      <c r="BA163" s="35">
        <f t="shared" si="93"/>
        <v>0.77413793103448281</v>
      </c>
      <c r="BB163" s="20">
        <v>580</v>
      </c>
      <c r="BC163" s="27">
        <f t="shared" si="119"/>
        <v>131</v>
      </c>
      <c r="BD163" s="20">
        <v>449</v>
      </c>
      <c r="BE163" s="20">
        <v>362</v>
      </c>
      <c r="BF163" s="20">
        <f t="shared" si="120"/>
        <v>87</v>
      </c>
      <c r="BG163" s="20"/>
      <c r="BH163" s="20"/>
      <c r="BI163" s="46">
        <v>2006</v>
      </c>
      <c r="BJ163" s="47" t="s">
        <v>39</v>
      </c>
      <c r="BK163" s="35">
        <f t="shared" si="96"/>
        <v>0.66235864297253633</v>
      </c>
      <c r="BL163" s="35">
        <f t="shared" si="97"/>
        <v>0.69579974543911749</v>
      </c>
      <c r="BM163" s="35">
        <f t="shared" si="98"/>
        <v>0.95193861066235863</v>
      </c>
      <c r="BN163" s="20">
        <v>2476</v>
      </c>
      <c r="BO163" s="27">
        <f t="shared" si="121"/>
        <v>119</v>
      </c>
      <c r="BP163" s="20">
        <v>2357</v>
      </c>
      <c r="BQ163" s="20">
        <v>1640</v>
      </c>
      <c r="BR163" s="20">
        <f t="shared" si="122"/>
        <v>717</v>
      </c>
      <c r="BS163" s="20"/>
      <c r="BT163" s="20"/>
      <c r="BU163" s="46">
        <v>2006</v>
      </c>
      <c r="BV163" s="47" t="s">
        <v>39</v>
      </c>
      <c r="BW163" s="35">
        <f t="shared" si="101"/>
        <v>0.73086124401913877</v>
      </c>
      <c r="BX163" s="35">
        <f t="shared" si="102"/>
        <v>0.77439797211660333</v>
      </c>
      <c r="BY163" s="35">
        <f t="shared" si="103"/>
        <v>0.94377990430622005</v>
      </c>
      <c r="BZ163" s="20">
        <v>2508</v>
      </c>
      <c r="CA163" s="27">
        <f t="shared" si="123"/>
        <v>141</v>
      </c>
      <c r="CB163" s="20">
        <v>2367</v>
      </c>
      <c r="CC163" s="20">
        <v>1833</v>
      </c>
      <c r="CD163" s="20">
        <f t="shared" si="124"/>
        <v>534</v>
      </c>
      <c r="CE163" s="20"/>
      <c r="CF163" s="20"/>
      <c r="CG163" s="46">
        <v>2006</v>
      </c>
      <c r="CH163" s="47" t="s">
        <v>39</v>
      </c>
      <c r="CI163" s="35">
        <f t="shared" si="58"/>
        <v>0.93294460641399413</v>
      </c>
      <c r="CJ163" s="35">
        <f t="shared" si="59"/>
        <v>0.98310291858678955</v>
      </c>
      <c r="CK163" s="35">
        <f t="shared" si="60"/>
        <v>0.94897959183673475</v>
      </c>
      <c r="CL163" s="20">
        <v>1372</v>
      </c>
      <c r="CM163" s="20">
        <f t="shared" si="61"/>
        <v>70</v>
      </c>
      <c r="CN163" s="20">
        <v>1302</v>
      </c>
      <c r="CO163" s="20">
        <v>1280</v>
      </c>
      <c r="CP163" s="20">
        <f t="shared" si="62"/>
        <v>22</v>
      </c>
      <c r="CQ163" s="20"/>
      <c r="CR163" s="20"/>
      <c r="CS163" s="46">
        <v>2006</v>
      </c>
      <c r="CT163" s="47" t="s">
        <v>39</v>
      </c>
      <c r="CU163" s="35">
        <f t="shared" si="106"/>
        <v>0.93243243243243246</v>
      </c>
      <c r="CV163" s="35">
        <f t="shared" si="107"/>
        <v>0.94954128440366969</v>
      </c>
      <c r="CW163" s="35">
        <f t="shared" si="108"/>
        <v>0.98198198198198194</v>
      </c>
      <c r="CX163" s="20">
        <v>888</v>
      </c>
      <c r="CY163" s="27">
        <f t="shared" si="125"/>
        <v>16</v>
      </c>
      <c r="CZ163" s="20">
        <v>872</v>
      </c>
      <c r="DA163" s="20">
        <v>828</v>
      </c>
      <c r="DB163" s="20">
        <f t="shared" si="126"/>
        <v>44</v>
      </c>
      <c r="DC163" s="20"/>
      <c r="DD163" s="20"/>
      <c r="DE163" s="46">
        <v>2006</v>
      </c>
      <c r="DF163" s="47" t="s">
        <v>39</v>
      </c>
      <c r="DG163" s="35">
        <f t="shared" si="111"/>
        <v>0.89388489208633093</v>
      </c>
      <c r="DH163" s="35">
        <f t="shared" si="112"/>
        <v>0.94039735099337751</v>
      </c>
      <c r="DI163" s="35">
        <f t="shared" si="113"/>
        <v>0.95053956834532372</v>
      </c>
      <c r="DJ163" s="20">
        <v>1112</v>
      </c>
      <c r="DK163" s="27">
        <f t="shared" si="127"/>
        <v>55</v>
      </c>
      <c r="DL163" s="20">
        <v>1057</v>
      </c>
      <c r="DM163" s="20">
        <v>994</v>
      </c>
      <c r="DN163" s="20">
        <f t="shared" si="128"/>
        <v>63</v>
      </c>
      <c r="DO163" s="20"/>
      <c r="DP163" s="20"/>
      <c r="DQ163" s="46"/>
      <c r="DR163" s="47"/>
      <c r="DS163" s="35"/>
      <c r="DT163" s="35"/>
      <c r="DU163" s="35"/>
      <c r="DV163" s="20"/>
      <c r="DW163" s="20"/>
      <c r="DX163" s="20"/>
      <c r="DY163" s="20"/>
      <c r="DZ163" s="20"/>
      <c r="EA163" s="20"/>
      <c r="EB163" s="20"/>
    </row>
    <row r="164" spans="1:132" s="29" customFormat="1" ht="12.75">
      <c r="A164" s="45">
        <v>2006</v>
      </c>
      <c r="B164" s="48" t="s">
        <v>40</v>
      </c>
      <c r="C164" s="35">
        <f t="shared" si="73"/>
        <v>0.81945333661659692</v>
      </c>
      <c r="D164" s="35">
        <f t="shared" si="74"/>
        <v>0.8606972894682392</v>
      </c>
      <c r="E164" s="35">
        <f t="shared" si="75"/>
        <v>0.95208076828367394</v>
      </c>
      <c r="F16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4" s="20">
        <f t="shared" si="76"/>
        <v>973</v>
      </c>
      <c r="H16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19332</v>
      </c>
      <c r="I16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16639</v>
      </c>
      <c r="J164" s="20">
        <f t="shared" si="77"/>
        <v>2693</v>
      </c>
      <c r="K164" s="27"/>
      <c r="L164" s="27"/>
      <c r="M164" s="130">
        <v>2006</v>
      </c>
      <c r="N164" s="131" t="s">
        <v>40</v>
      </c>
      <c r="O164" s="132">
        <f t="shared" si="78"/>
        <v>0.86441129461907296</v>
      </c>
      <c r="P164" s="132">
        <f t="shared" si="79"/>
        <v>0.89172849683979116</v>
      </c>
      <c r="Q164" s="132">
        <f t="shared" si="80"/>
        <v>0.96936600958977093</v>
      </c>
      <c r="R164" s="129">
        <v>3754</v>
      </c>
      <c r="S164" s="133">
        <f t="shared" si="31"/>
        <v>115</v>
      </c>
      <c r="T164" s="129">
        <v>3639</v>
      </c>
      <c r="U164" s="129">
        <v>3245</v>
      </c>
      <c r="V164" s="129">
        <f t="shared" si="116"/>
        <v>394</v>
      </c>
      <c r="W164" s="20"/>
      <c r="X164" s="20"/>
      <c r="Y164" s="45">
        <v>2006</v>
      </c>
      <c r="Z164" s="48" t="s">
        <v>40</v>
      </c>
      <c r="AA164" s="35">
        <f t="shared" si="82"/>
        <v>0.86319845857418109</v>
      </c>
      <c r="AB164" s="35">
        <f t="shared" si="83"/>
        <v>0.8784313725490196</v>
      </c>
      <c r="AC164" s="35">
        <f t="shared" si="84"/>
        <v>0.98265895953757221</v>
      </c>
      <c r="AD164" s="20">
        <v>1557</v>
      </c>
      <c r="AE164" s="27">
        <f t="shared" si="36"/>
        <v>27</v>
      </c>
      <c r="AF164" s="20">
        <v>1530</v>
      </c>
      <c r="AG164" s="20">
        <v>1344</v>
      </c>
      <c r="AH164" s="20">
        <f t="shared" si="85"/>
        <v>186</v>
      </c>
      <c r="AI164" s="20"/>
      <c r="AJ164" s="20"/>
      <c r="AK164" s="45">
        <v>2006</v>
      </c>
      <c r="AL164" s="48" t="s">
        <v>40</v>
      </c>
      <c r="AM164" s="35">
        <f t="shared" si="86"/>
        <v>0.87802498048399691</v>
      </c>
      <c r="AN164" s="35">
        <f t="shared" si="87"/>
        <v>0.91666666666666663</v>
      </c>
      <c r="AO164" s="35">
        <f t="shared" si="88"/>
        <v>0.95784543325526927</v>
      </c>
      <c r="AP164" s="20">
        <v>5124</v>
      </c>
      <c r="AQ164" s="27">
        <f t="shared" si="117"/>
        <v>216</v>
      </c>
      <c r="AR164" s="20">
        <v>4908</v>
      </c>
      <c r="AS164" s="20">
        <v>4499</v>
      </c>
      <c r="AT164" s="20">
        <f t="shared" si="118"/>
        <v>409</v>
      </c>
      <c r="AU164" s="20"/>
      <c r="AV164" s="20"/>
      <c r="AW164" s="45">
        <v>2006</v>
      </c>
      <c r="AX164" s="48" t="s">
        <v>40</v>
      </c>
      <c r="AY164" s="35">
        <f t="shared" si="91"/>
        <v>0.61598746081504707</v>
      </c>
      <c r="AZ164" s="35">
        <f t="shared" si="92"/>
        <v>0.80698151950718688</v>
      </c>
      <c r="BA164" s="35">
        <f t="shared" si="93"/>
        <v>0.76332288401253923</v>
      </c>
      <c r="BB164" s="20">
        <v>638</v>
      </c>
      <c r="BC164" s="27">
        <f t="shared" si="119"/>
        <v>151</v>
      </c>
      <c r="BD164" s="20">
        <v>487</v>
      </c>
      <c r="BE164" s="20">
        <v>393</v>
      </c>
      <c r="BF164" s="20">
        <f t="shared" si="120"/>
        <v>94</v>
      </c>
      <c r="BG164" s="20"/>
      <c r="BH164" s="20"/>
      <c r="BI164" s="45">
        <v>2006</v>
      </c>
      <c r="BJ164" s="48" t="s">
        <v>40</v>
      </c>
      <c r="BK164" s="35">
        <f t="shared" si="96"/>
        <v>0.65179224579370887</v>
      </c>
      <c r="BL164" s="35">
        <f t="shared" si="97"/>
        <v>0.688828759180518</v>
      </c>
      <c r="BM164" s="35">
        <f t="shared" si="98"/>
        <v>0.94623262618873449</v>
      </c>
      <c r="BN164" s="20">
        <v>2734</v>
      </c>
      <c r="BO164" s="27">
        <f t="shared" si="121"/>
        <v>147</v>
      </c>
      <c r="BP164" s="20">
        <v>2587</v>
      </c>
      <c r="BQ164" s="20">
        <v>1782</v>
      </c>
      <c r="BR164" s="20">
        <f t="shared" si="122"/>
        <v>805</v>
      </c>
      <c r="BS164" s="20"/>
      <c r="BT164" s="20"/>
      <c r="BU164" s="45">
        <v>2006</v>
      </c>
      <c r="BV164" s="48" t="s">
        <v>40</v>
      </c>
      <c r="BW164" s="35">
        <f t="shared" si="101"/>
        <v>0.7149043666546373</v>
      </c>
      <c r="BX164" s="35">
        <f t="shared" si="102"/>
        <v>0.75409212028930339</v>
      </c>
      <c r="BY164" s="35">
        <f t="shared" si="103"/>
        <v>0.94803320101046551</v>
      </c>
      <c r="BZ164" s="20">
        <v>2771</v>
      </c>
      <c r="CA164" s="27">
        <f t="shared" si="123"/>
        <v>144</v>
      </c>
      <c r="CB164" s="20">
        <v>2627</v>
      </c>
      <c r="CC164" s="20">
        <v>1981</v>
      </c>
      <c r="CD164" s="20">
        <f t="shared" si="124"/>
        <v>646</v>
      </c>
      <c r="CE164" s="20"/>
      <c r="CF164" s="20"/>
      <c r="CG164" s="45">
        <v>2006</v>
      </c>
      <c r="CH164" s="48" t="s">
        <v>40</v>
      </c>
      <c r="CI164" s="35">
        <f t="shared" si="58"/>
        <v>0.93333333333333335</v>
      </c>
      <c r="CJ164" s="35">
        <f t="shared" si="59"/>
        <v>0.97651933701657456</v>
      </c>
      <c r="CK164" s="35">
        <f t="shared" si="60"/>
        <v>0.95577557755775577</v>
      </c>
      <c r="CL164" s="20">
        <v>1515</v>
      </c>
      <c r="CM164" s="20">
        <f t="shared" si="61"/>
        <v>67</v>
      </c>
      <c r="CN164" s="20">
        <v>1448</v>
      </c>
      <c r="CO164" s="20">
        <v>1414</v>
      </c>
      <c r="CP164" s="20">
        <f t="shared" si="62"/>
        <v>34</v>
      </c>
      <c r="CQ164" s="20"/>
      <c r="CR164" s="20"/>
      <c r="CS164" s="45">
        <v>2006</v>
      </c>
      <c r="CT164" s="48" t="s">
        <v>40</v>
      </c>
      <c r="CU164" s="35">
        <f t="shared" si="106"/>
        <v>0.87983706720977595</v>
      </c>
      <c r="CV164" s="35">
        <f t="shared" si="107"/>
        <v>0.91914893617021276</v>
      </c>
      <c r="CW164" s="35">
        <f t="shared" si="108"/>
        <v>0.95723014256619143</v>
      </c>
      <c r="CX164" s="20">
        <v>982</v>
      </c>
      <c r="CY164" s="27">
        <f t="shared" si="125"/>
        <v>42</v>
      </c>
      <c r="CZ164" s="20">
        <v>940</v>
      </c>
      <c r="DA164" s="20">
        <v>864</v>
      </c>
      <c r="DB164" s="20">
        <f t="shared" si="126"/>
        <v>76</v>
      </c>
      <c r="DC164" s="20"/>
      <c r="DD164" s="20"/>
      <c r="DE164" s="45">
        <v>2006</v>
      </c>
      <c r="DF164" s="48" t="s">
        <v>40</v>
      </c>
      <c r="DG164" s="35">
        <f t="shared" si="111"/>
        <v>0.90813008130081296</v>
      </c>
      <c r="DH164" s="35">
        <f t="shared" si="112"/>
        <v>0.95797598627787306</v>
      </c>
      <c r="DI164" s="35">
        <f t="shared" si="113"/>
        <v>0.94796747967479678</v>
      </c>
      <c r="DJ164" s="20">
        <v>1230</v>
      </c>
      <c r="DK164" s="27">
        <f t="shared" si="127"/>
        <v>64</v>
      </c>
      <c r="DL164" s="20">
        <v>1166</v>
      </c>
      <c r="DM164" s="20">
        <v>1117</v>
      </c>
      <c r="DN164" s="20">
        <f t="shared" si="128"/>
        <v>49</v>
      </c>
      <c r="DO164" s="20"/>
      <c r="DP164" s="20"/>
      <c r="DQ164" s="45"/>
      <c r="DR164" s="48"/>
      <c r="DS164" s="35"/>
      <c r="DT164" s="35"/>
      <c r="DU164" s="35"/>
      <c r="DV164" s="20"/>
      <c r="DW164" s="20"/>
      <c r="DX164" s="20"/>
      <c r="DY164" s="20"/>
      <c r="DZ164" s="20"/>
      <c r="EA164" s="20"/>
      <c r="EB164" s="20"/>
    </row>
    <row r="165" spans="1:132" s="29" customFormat="1" ht="12.75">
      <c r="A165" s="46">
        <v>2006</v>
      </c>
      <c r="B165" s="47" t="s">
        <v>41</v>
      </c>
      <c r="C165" s="35">
        <f t="shared" si="73"/>
        <v>0.76798410706817233</v>
      </c>
      <c r="D165" s="35">
        <f t="shared" si="74"/>
        <v>0.82407719062044205</v>
      </c>
      <c r="E165" s="35">
        <f t="shared" si="75"/>
        <v>0.93193224592220825</v>
      </c>
      <c r="F16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19128</v>
      </c>
      <c r="G165" s="20">
        <f t="shared" si="76"/>
        <v>1302</v>
      </c>
      <c r="H16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17826</v>
      </c>
      <c r="I16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14690</v>
      </c>
      <c r="J165" s="20">
        <f t="shared" si="77"/>
        <v>3136</v>
      </c>
      <c r="K165" s="27"/>
      <c r="L165" s="27"/>
      <c r="M165" s="134">
        <v>2006</v>
      </c>
      <c r="N165" s="135" t="s">
        <v>41</v>
      </c>
      <c r="O165" s="132">
        <f t="shared" si="78"/>
        <v>0.84719036697247707</v>
      </c>
      <c r="P165" s="132">
        <f t="shared" si="79"/>
        <v>0.87789661319073087</v>
      </c>
      <c r="Q165" s="132">
        <f t="shared" si="80"/>
        <v>0.96502293577981646</v>
      </c>
      <c r="R165" s="129">
        <v>3488</v>
      </c>
      <c r="S165" s="133">
        <f t="shared" si="31"/>
        <v>122</v>
      </c>
      <c r="T165" s="129">
        <v>3366</v>
      </c>
      <c r="U165" s="129">
        <v>2955</v>
      </c>
      <c r="V165" s="129">
        <f t="shared" si="116"/>
        <v>411</v>
      </c>
      <c r="W165" s="20"/>
      <c r="X165" s="20"/>
      <c r="Y165" s="46">
        <v>2006</v>
      </c>
      <c r="Z165" s="47" t="s">
        <v>41</v>
      </c>
      <c r="AA165" s="35">
        <f t="shared" si="82"/>
        <v>0.84465366509751172</v>
      </c>
      <c r="AB165" s="35">
        <f t="shared" si="83"/>
        <v>0.86204529855868217</v>
      </c>
      <c r="AC165" s="35">
        <f t="shared" si="84"/>
        <v>0.97982515131136516</v>
      </c>
      <c r="AD165" s="20">
        <v>1487</v>
      </c>
      <c r="AE165" s="27">
        <f t="shared" si="36"/>
        <v>30</v>
      </c>
      <c r="AF165" s="20">
        <v>1457</v>
      </c>
      <c r="AG165" s="20">
        <v>1256</v>
      </c>
      <c r="AH165" s="20">
        <f t="shared" si="85"/>
        <v>201</v>
      </c>
      <c r="AI165" s="20"/>
      <c r="AJ165" s="20"/>
      <c r="AK165" s="46">
        <v>2006</v>
      </c>
      <c r="AL165" s="47" t="s">
        <v>41</v>
      </c>
      <c r="AM165" s="35">
        <f t="shared" si="86"/>
        <v>0.85035284350352847</v>
      </c>
      <c r="AN165" s="35">
        <f t="shared" si="87"/>
        <v>0.88833477883781442</v>
      </c>
      <c r="AO165" s="35">
        <f t="shared" si="88"/>
        <v>0.95724366957243667</v>
      </c>
      <c r="AP165" s="20">
        <v>4818</v>
      </c>
      <c r="AQ165" s="27">
        <f t="shared" si="117"/>
        <v>206</v>
      </c>
      <c r="AR165" s="20">
        <v>4612</v>
      </c>
      <c r="AS165" s="20">
        <v>4097</v>
      </c>
      <c r="AT165" s="20">
        <f t="shared" si="118"/>
        <v>515</v>
      </c>
      <c r="AU165" s="20"/>
      <c r="AV165" s="20"/>
      <c r="AW165" s="46">
        <v>2006</v>
      </c>
      <c r="AX165" s="47" t="s">
        <v>41</v>
      </c>
      <c r="AY165" s="35">
        <f t="shared" si="91"/>
        <v>0.52631578947368418</v>
      </c>
      <c r="AZ165" s="35">
        <f t="shared" si="92"/>
        <v>0.72864321608040206</v>
      </c>
      <c r="BA165" s="35">
        <f t="shared" si="93"/>
        <v>0.72232304900181488</v>
      </c>
      <c r="BB165" s="20">
        <v>551</v>
      </c>
      <c r="BC165" s="27">
        <f t="shared" si="119"/>
        <v>153</v>
      </c>
      <c r="BD165" s="20">
        <v>398</v>
      </c>
      <c r="BE165" s="20">
        <v>290</v>
      </c>
      <c r="BF165" s="20">
        <f t="shared" si="120"/>
        <v>108</v>
      </c>
      <c r="BG165" s="20"/>
      <c r="BH165" s="20"/>
      <c r="BI165" s="46">
        <v>2006</v>
      </c>
      <c r="BJ165" s="47" t="s">
        <v>41</v>
      </c>
      <c r="BK165" s="35">
        <f t="shared" si="96"/>
        <v>0.51450676982591881</v>
      </c>
      <c r="BL165" s="35">
        <f t="shared" si="97"/>
        <v>0.57501080847384345</v>
      </c>
      <c r="BM165" s="35">
        <f t="shared" si="98"/>
        <v>0.8947775628626693</v>
      </c>
      <c r="BN165" s="20">
        <v>2585</v>
      </c>
      <c r="BO165" s="27">
        <f t="shared" si="121"/>
        <v>272</v>
      </c>
      <c r="BP165" s="20">
        <v>2313</v>
      </c>
      <c r="BQ165" s="20">
        <v>1330</v>
      </c>
      <c r="BR165" s="20">
        <f t="shared" si="122"/>
        <v>983</v>
      </c>
      <c r="BS165" s="20"/>
      <c r="BT165" s="20"/>
      <c r="BU165" s="46">
        <v>2006</v>
      </c>
      <c r="BV165" s="47" t="s">
        <v>41</v>
      </c>
      <c r="BW165" s="35">
        <f t="shared" si="101"/>
        <v>0.62205323193916351</v>
      </c>
      <c r="BX165" s="35">
        <f t="shared" si="102"/>
        <v>0.69058674546222032</v>
      </c>
      <c r="BY165" s="35">
        <f t="shared" si="103"/>
        <v>0.90076045627376422</v>
      </c>
      <c r="BZ165" s="20">
        <v>2630</v>
      </c>
      <c r="CA165" s="27">
        <f t="shared" si="123"/>
        <v>261</v>
      </c>
      <c r="CB165" s="20">
        <v>2369</v>
      </c>
      <c r="CC165" s="20">
        <v>1636</v>
      </c>
      <c r="CD165" s="20">
        <f t="shared" si="124"/>
        <v>733</v>
      </c>
      <c r="CE165" s="20"/>
      <c r="CF165" s="20"/>
      <c r="CG165" s="46">
        <v>2006</v>
      </c>
      <c r="CH165" s="47" t="s">
        <v>41</v>
      </c>
      <c r="CI165" s="35">
        <f t="shared" si="58"/>
        <v>0.85833914863921845</v>
      </c>
      <c r="CJ165" s="35">
        <f t="shared" si="59"/>
        <v>0.95943837753510142</v>
      </c>
      <c r="CK165" s="35">
        <f t="shared" si="60"/>
        <v>0.89462665736217728</v>
      </c>
      <c r="CL165" s="20">
        <v>1433</v>
      </c>
      <c r="CM165" s="20">
        <f t="shared" si="61"/>
        <v>151</v>
      </c>
      <c r="CN165" s="20">
        <v>1282</v>
      </c>
      <c r="CO165" s="20">
        <v>1230</v>
      </c>
      <c r="CP165" s="20">
        <f t="shared" si="62"/>
        <v>52</v>
      </c>
      <c r="CQ165" s="20"/>
      <c r="CR165" s="20"/>
      <c r="CS165" s="46">
        <v>2006</v>
      </c>
      <c r="CT165" s="47" t="s">
        <v>41</v>
      </c>
      <c r="CU165" s="35">
        <f t="shared" si="106"/>
        <v>0.91666666666666663</v>
      </c>
      <c r="CV165" s="35">
        <f t="shared" si="107"/>
        <v>0.94456521739130439</v>
      </c>
      <c r="CW165" s="35">
        <f t="shared" si="108"/>
        <v>0.97046413502109707</v>
      </c>
      <c r="CX165" s="20">
        <v>948</v>
      </c>
      <c r="CY165" s="27">
        <f t="shared" si="125"/>
        <v>28</v>
      </c>
      <c r="CZ165" s="20">
        <v>920</v>
      </c>
      <c r="DA165" s="20">
        <v>869</v>
      </c>
      <c r="DB165" s="20">
        <f t="shared" si="126"/>
        <v>51</v>
      </c>
      <c r="DC165" s="20"/>
      <c r="DD165" s="20"/>
      <c r="DE165" s="46">
        <v>2006</v>
      </c>
      <c r="DF165" s="47" t="s">
        <v>41</v>
      </c>
      <c r="DG165" s="35">
        <f t="shared" si="111"/>
        <v>0.86447811447811451</v>
      </c>
      <c r="DH165" s="35">
        <f t="shared" si="112"/>
        <v>0.92605951307484224</v>
      </c>
      <c r="DI165" s="35">
        <f t="shared" si="113"/>
        <v>0.9335016835016835</v>
      </c>
      <c r="DJ165" s="20">
        <v>1188</v>
      </c>
      <c r="DK165" s="27">
        <f t="shared" si="127"/>
        <v>79</v>
      </c>
      <c r="DL165" s="20">
        <v>1109</v>
      </c>
      <c r="DM165" s="20">
        <v>1027</v>
      </c>
      <c r="DN165" s="20">
        <f t="shared" si="128"/>
        <v>82</v>
      </c>
      <c r="DO165" s="20"/>
      <c r="DP165" s="20"/>
      <c r="DQ165" s="46"/>
      <c r="DR165" s="47"/>
      <c r="DS165" s="35"/>
      <c r="DT165" s="35"/>
      <c r="DU165" s="35"/>
      <c r="DV165" s="20"/>
      <c r="DW165" s="20"/>
      <c r="DX165" s="20"/>
      <c r="DY165" s="20"/>
      <c r="DZ165" s="20"/>
      <c r="EA165" s="20"/>
      <c r="EB165" s="20"/>
    </row>
    <row r="166" spans="1:132" s="29" customFormat="1" ht="12.75">
      <c r="A166" s="45">
        <v>2006</v>
      </c>
      <c r="B166" s="48" t="s">
        <v>42</v>
      </c>
      <c r="C166" s="35">
        <f t="shared" si="73"/>
        <v>0.72183080997351723</v>
      </c>
      <c r="D166" s="35">
        <f t="shared" si="74"/>
        <v>0.76946841376371578</v>
      </c>
      <c r="E166" s="35">
        <f t="shared" si="75"/>
        <v>0.93809024134312702</v>
      </c>
      <c r="F16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66" s="20">
        <f t="shared" si="76"/>
        <v>1239</v>
      </c>
      <c r="H16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18774</v>
      </c>
      <c r="I16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14446</v>
      </c>
      <c r="J166" s="20">
        <f t="shared" si="77"/>
        <v>4328</v>
      </c>
      <c r="K166" s="27"/>
      <c r="L166" s="27"/>
      <c r="M166" s="130">
        <v>2006</v>
      </c>
      <c r="N166" s="131" t="s">
        <v>42</v>
      </c>
      <c r="O166" s="132">
        <f t="shared" si="78"/>
        <v>0.76225490196078427</v>
      </c>
      <c r="P166" s="132">
        <f t="shared" si="79"/>
        <v>0.80361757105943155</v>
      </c>
      <c r="Q166" s="132">
        <f t="shared" si="80"/>
        <v>0.94852941176470584</v>
      </c>
      <c r="R166" s="129">
        <v>3672</v>
      </c>
      <c r="S166" s="133">
        <f t="shared" si="31"/>
        <v>189</v>
      </c>
      <c r="T166" s="129">
        <v>3483</v>
      </c>
      <c r="U166" s="129">
        <v>2799</v>
      </c>
      <c r="V166" s="129">
        <f t="shared" si="116"/>
        <v>684</v>
      </c>
      <c r="W166" s="20"/>
      <c r="X166" s="20"/>
      <c r="Y166" s="45">
        <v>2006</v>
      </c>
      <c r="Z166" s="48" t="s">
        <v>42</v>
      </c>
      <c r="AA166" s="35">
        <f t="shared" si="82"/>
        <v>0.67186484730344376</v>
      </c>
      <c r="AB166" s="35">
        <f t="shared" si="83"/>
        <v>0.69959404600811903</v>
      </c>
      <c r="AC166" s="35">
        <f t="shared" si="84"/>
        <v>0.96036387264457435</v>
      </c>
      <c r="AD166" s="20">
        <v>1539</v>
      </c>
      <c r="AE166" s="27">
        <f t="shared" si="36"/>
        <v>61</v>
      </c>
      <c r="AF166" s="20">
        <v>1478</v>
      </c>
      <c r="AG166" s="20">
        <v>1034</v>
      </c>
      <c r="AH166" s="20">
        <f t="shared" si="85"/>
        <v>444</v>
      </c>
      <c r="AI166" s="20"/>
      <c r="AJ166" s="20"/>
      <c r="AK166" s="45">
        <v>2006</v>
      </c>
      <c r="AL166" s="48" t="s">
        <v>42</v>
      </c>
      <c r="AM166" s="35">
        <f t="shared" si="86"/>
        <v>0.81791104050833996</v>
      </c>
      <c r="AN166" s="35">
        <f t="shared" si="87"/>
        <v>0.85830381329443639</v>
      </c>
      <c r="AO166" s="35">
        <f t="shared" si="88"/>
        <v>0.95293884034948373</v>
      </c>
      <c r="AP166" s="20">
        <v>5036</v>
      </c>
      <c r="AQ166" s="27">
        <f t="shared" si="117"/>
        <v>237</v>
      </c>
      <c r="AR166" s="20">
        <v>4799</v>
      </c>
      <c r="AS166" s="20">
        <v>4119</v>
      </c>
      <c r="AT166" s="20">
        <f t="shared" si="118"/>
        <v>680</v>
      </c>
      <c r="AU166" s="20"/>
      <c r="AV166" s="20"/>
      <c r="AW166" s="45">
        <v>2006</v>
      </c>
      <c r="AX166" s="48" t="s">
        <v>42</v>
      </c>
      <c r="AY166" s="35">
        <f t="shared" si="91"/>
        <v>0.36124794745484401</v>
      </c>
      <c r="AZ166" s="35">
        <f t="shared" si="92"/>
        <v>0.59782608695652173</v>
      </c>
      <c r="BA166" s="35">
        <f t="shared" si="93"/>
        <v>0.60426929392446638</v>
      </c>
      <c r="BB166" s="20">
        <v>609</v>
      </c>
      <c r="BC166" s="27">
        <f t="shared" si="119"/>
        <v>241</v>
      </c>
      <c r="BD166" s="20">
        <v>368</v>
      </c>
      <c r="BE166" s="20">
        <v>220</v>
      </c>
      <c r="BF166" s="20">
        <f t="shared" si="120"/>
        <v>148</v>
      </c>
      <c r="BG166" s="20"/>
      <c r="BH166" s="20"/>
      <c r="BI166" s="45">
        <v>2006</v>
      </c>
      <c r="BJ166" s="48" t="s">
        <v>42</v>
      </c>
      <c r="BK166" s="35">
        <f t="shared" si="96"/>
        <v>0.51960059171597628</v>
      </c>
      <c r="BL166" s="35">
        <f t="shared" si="97"/>
        <v>0.55731852439508134</v>
      </c>
      <c r="BM166" s="35">
        <f t="shared" si="98"/>
        <v>0.93232248520710059</v>
      </c>
      <c r="BN166" s="20">
        <v>2704</v>
      </c>
      <c r="BO166" s="27">
        <f t="shared" si="121"/>
        <v>183</v>
      </c>
      <c r="BP166" s="20">
        <v>2521</v>
      </c>
      <c r="BQ166" s="20">
        <v>1405</v>
      </c>
      <c r="BR166" s="20">
        <f t="shared" si="122"/>
        <v>1116</v>
      </c>
      <c r="BS166" s="20"/>
      <c r="BT166" s="20"/>
      <c r="BU166" s="45">
        <v>2006</v>
      </c>
      <c r="BV166" s="48" t="s">
        <v>42</v>
      </c>
      <c r="BW166" s="35">
        <f t="shared" si="101"/>
        <v>0.61107064821558632</v>
      </c>
      <c r="BX166" s="35">
        <f t="shared" si="102"/>
        <v>0.6506397828615742</v>
      </c>
      <c r="BY166" s="35">
        <f t="shared" si="103"/>
        <v>0.9391842680262199</v>
      </c>
      <c r="BZ166" s="20">
        <v>2746</v>
      </c>
      <c r="CA166" s="27">
        <f t="shared" si="123"/>
        <v>167</v>
      </c>
      <c r="CB166" s="20">
        <v>2579</v>
      </c>
      <c r="CC166" s="20">
        <v>1678</v>
      </c>
      <c r="CD166" s="20">
        <f t="shared" si="124"/>
        <v>901</v>
      </c>
      <c r="CE166" s="20"/>
      <c r="CF166" s="20"/>
      <c r="CG166" s="45">
        <v>2006</v>
      </c>
      <c r="CH166" s="48" t="s">
        <v>42</v>
      </c>
      <c r="CI166" s="35">
        <f t="shared" si="58"/>
        <v>0.90727151434289521</v>
      </c>
      <c r="CJ166" s="35">
        <f t="shared" si="59"/>
        <v>0.95977417078334515</v>
      </c>
      <c r="CK166" s="35">
        <f t="shared" si="60"/>
        <v>0.94529686457638429</v>
      </c>
      <c r="CL166" s="20">
        <v>1499</v>
      </c>
      <c r="CM166" s="20">
        <f t="shared" si="61"/>
        <v>82</v>
      </c>
      <c r="CN166" s="20">
        <v>1417</v>
      </c>
      <c r="CO166" s="20">
        <v>1360</v>
      </c>
      <c r="CP166" s="20">
        <f t="shared" si="62"/>
        <v>57</v>
      </c>
      <c r="CQ166" s="20"/>
      <c r="CR166" s="20"/>
      <c r="CS166" s="45">
        <v>2006</v>
      </c>
      <c r="CT166" s="48" t="s">
        <v>42</v>
      </c>
      <c r="CU166" s="35">
        <f t="shared" si="106"/>
        <v>0.87040816326530612</v>
      </c>
      <c r="CV166" s="35">
        <f t="shared" si="107"/>
        <v>0.88485477178423233</v>
      </c>
      <c r="CW166" s="35">
        <f t="shared" si="108"/>
        <v>0.98367346938775513</v>
      </c>
      <c r="CX166" s="20">
        <v>980</v>
      </c>
      <c r="CY166" s="27">
        <f t="shared" si="125"/>
        <v>16</v>
      </c>
      <c r="CZ166" s="20">
        <v>964</v>
      </c>
      <c r="DA166" s="20">
        <v>853</v>
      </c>
      <c r="DB166" s="20">
        <f t="shared" si="126"/>
        <v>111</v>
      </c>
      <c r="DC166" s="20"/>
      <c r="DD166" s="20"/>
      <c r="DE166" s="45">
        <v>2006</v>
      </c>
      <c r="DF166" s="48" t="s">
        <v>42</v>
      </c>
      <c r="DG166" s="35">
        <f t="shared" si="111"/>
        <v>0.79641693811074921</v>
      </c>
      <c r="DH166" s="35">
        <f t="shared" si="112"/>
        <v>0.83948497854077253</v>
      </c>
      <c r="DI166" s="35">
        <f t="shared" si="113"/>
        <v>0.94869706840390877</v>
      </c>
      <c r="DJ166" s="20">
        <v>1228</v>
      </c>
      <c r="DK166" s="27">
        <f t="shared" si="127"/>
        <v>63</v>
      </c>
      <c r="DL166" s="20">
        <v>1165</v>
      </c>
      <c r="DM166" s="20">
        <v>978</v>
      </c>
      <c r="DN166" s="20">
        <f t="shared" si="128"/>
        <v>187</v>
      </c>
      <c r="DO166" s="20"/>
      <c r="DP166" s="20"/>
      <c r="DQ166" s="45"/>
      <c r="DR166" s="48"/>
      <c r="DS166" s="35"/>
      <c r="DT166" s="35"/>
      <c r="DU166" s="35"/>
      <c r="DV166" s="20"/>
      <c r="DW166" s="20"/>
      <c r="DX166" s="20"/>
      <c r="DY166" s="20"/>
      <c r="DZ166" s="20"/>
      <c r="EA166" s="20"/>
      <c r="EB166" s="20"/>
    </row>
    <row r="167" spans="1:132" s="29" customFormat="1" ht="12.75">
      <c r="A167" s="46">
        <v>2006</v>
      </c>
      <c r="B167" s="47" t="s">
        <v>43</v>
      </c>
      <c r="C167" s="35">
        <f t="shared" si="73"/>
        <v>0.7831171484015933</v>
      </c>
      <c r="D167" s="35">
        <f t="shared" si="74"/>
        <v>0.82009733140809671</v>
      </c>
      <c r="E167" s="35">
        <f t="shared" si="75"/>
        <v>0.95490756817485445</v>
      </c>
      <c r="F16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19582</v>
      </c>
      <c r="G167" s="20">
        <f t="shared" si="76"/>
        <v>883</v>
      </c>
      <c r="H16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18699</v>
      </c>
      <c r="I16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15335</v>
      </c>
      <c r="J167" s="20">
        <f t="shared" si="77"/>
        <v>3364</v>
      </c>
      <c r="K167" s="27"/>
      <c r="L167" s="27"/>
      <c r="M167" s="134">
        <v>2006</v>
      </c>
      <c r="N167" s="135" t="s">
        <v>43</v>
      </c>
      <c r="O167" s="132">
        <f t="shared" si="78"/>
        <v>0.81128942999446596</v>
      </c>
      <c r="P167" s="132">
        <f t="shared" si="79"/>
        <v>0.8329545454545455</v>
      </c>
      <c r="Q167" s="132">
        <f t="shared" si="80"/>
        <v>0.97399003873824019</v>
      </c>
      <c r="R167" s="129">
        <v>3614</v>
      </c>
      <c r="S167" s="133">
        <f t="shared" si="31"/>
        <v>94</v>
      </c>
      <c r="T167" s="129">
        <v>3520</v>
      </c>
      <c r="U167" s="129">
        <v>2932</v>
      </c>
      <c r="V167" s="129">
        <f t="shared" si="116"/>
        <v>588</v>
      </c>
      <c r="W167" s="20"/>
      <c r="X167" s="20"/>
      <c r="Y167" s="46">
        <v>2006</v>
      </c>
      <c r="Z167" s="47" t="s">
        <v>43</v>
      </c>
      <c r="AA167" s="35">
        <f t="shared" si="82"/>
        <v>0.8144946808510638</v>
      </c>
      <c r="AB167" s="35">
        <f t="shared" si="83"/>
        <v>0.83163611676849969</v>
      </c>
      <c r="AC167" s="35">
        <f t="shared" si="84"/>
        <v>0.97938829787234039</v>
      </c>
      <c r="AD167" s="20">
        <v>1504</v>
      </c>
      <c r="AE167" s="27">
        <f t="shared" si="36"/>
        <v>31</v>
      </c>
      <c r="AF167" s="20">
        <v>1473</v>
      </c>
      <c r="AG167" s="20">
        <v>1225</v>
      </c>
      <c r="AH167" s="20">
        <f t="shared" si="85"/>
        <v>248</v>
      </c>
      <c r="AI167" s="20"/>
      <c r="AJ167" s="20"/>
      <c r="AK167" s="46">
        <v>2006</v>
      </c>
      <c r="AL167" s="47" t="s">
        <v>43</v>
      </c>
      <c r="AM167" s="35">
        <f t="shared" si="86"/>
        <v>0.84820886460230727</v>
      </c>
      <c r="AN167" s="35">
        <f t="shared" si="87"/>
        <v>0.88943123938879454</v>
      </c>
      <c r="AO167" s="35">
        <f t="shared" si="88"/>
        <v>0.95365310665857117</v>
      </c>
      <c r="AP167" s="20">
        <v>4941</v>
      </c>
      <c r="AQ167" s="27">
        <f t="shared" si="117"/>
        <v>229</v>
      </c>
      <c r="AR167" s="20">
        <v>4712</v>
      </c>
      <c r="AS167" s="20">
        <v>4191</v>
      </c>
      <c r="AT167" s="20">
        <f t="shared" si="118"/>
        <v>521</v>
      </c>
      <c r="AU167" s="20"/>
      <c r="AV167" s="20"/>
      <c r="AW167" s="46">
        <v>2006</v>
      </c>
      <c r="AX167" s="47" t="s">
        <v>43</v>
      </c>
      <c r="AY167" s="35">
        <f t="shared" si="91"/>
        <v>0.56486042692939242</v>
      </c>
      <c r="AZ167" s="35">
        <f t="shared" si="92"/>
        <v>0.70347648261758688</v>
      </c>
      <c r="BA167" s="35">
        <f t="shared" si="93"/>
        <v>0.80295566502463056</v>
      </c>
      <c r="BB167" s="20">
        <v>609</v>
      </c>
      <c r="BC167" s="27">
        <f t="shared" si="119"/>
        <v>120</v>
      </c>
      <c r="BD167" s="20">
        <v>489</v>
      </c>
      <c r="BE167" s="20">
        <v>344</v>
      </c>
      <c r="BF167" s="20">
        <f t="shared" si="120"/>
        <v>145</v>
      </c>
      <c r="BG167" s="20"/>
      <c r="BH167" s="20"/>
      <c r="BI167" s="46">
        <v>2006</v>
      </c>
      <c r="BJ167" s="47" t="s">
        <v>43</v>
      </c>
      <c r="BK167" s="35">
        <f t="shared" si="96"/>
        <v>0.59325246398786957</v>
      </c>
      <c r="BL167" s="35">
        <f t="shared" si="97"/>
        <v>0.63283461382935702</v>
      </c>
      <c r="BM167" s="35">
        <f t="shared" si="98"/>
        <v>0.93745261561789239</v>
      </c>
      <c r="BN167" s="20">
        <v>2638</v>
      </c>
      <c r="BO167" s="27">
        <f t="shared" si="121"/>
        <v>165</v>
      </c>
      <c r="BP167" s="20">
        <v>2473</v>
      </c>
      <c r="BQ167" s="20">
        <v>1565</v>
      </c>
      <c r="BR167" s="20">
        <f t="shared" si="122"/>
        <v>908</v>
      </c>
      <c r="BS167" s="20"/>
      <c r="BT167" s="20"/>
      <c r="BU167" s="46">
        <v>2006</v>
      </c>
      <c r="BV167" s="47" t="s">
        <v>43</v>
      </c>
      <c r="BW167" s="35">
        <f t="shared" si="101"/>
        <v>0.71663551401869163</v>
      </c>
      <c r="BX167" s="35">
        <f t="shared" si="102"/>
        <v>0.73872832369942198</v>
      </c>
      <c r="BY167" s="35">
        <f t="shared" si="103"/>
        <v>0.97009345794392521</v>
      </c>
      <c r="BZ167" s="20">
        <v>2675</v>
      </c>
      <c r="CA167" s="27">
        <f t="shared" si="123"/>
        <v>80</v>
      </c>
      <c r="CB167" s="20">
        <v>2595</v>
      </c>
      <c r="CC167" s="20">
        <v>1917</v>
      </c>
      <c r="CD167" s="20">
        <f t="shared" si="124"/>
        <v>678</v>
      </c>
      <c r="CE167" s="20"/>
      <c r="CF167" s="20"/>
      <c r="CG167" s="46">
        <v>2006</v>
      </c>
      <c r="CH167" s="47" t="s">
        <v>43</v>
      </c>
      <c r="CI167" s="35">
        <f t="shared" si="58"/>
        <v>0.91238877481177272</v>
      </c>
      <c r="CJ167" s="35">
        <f t="shared" si="59"/>
        <v>0.96176046176046182</v>
      </c>
      <c r="CK167" s="35">
        <f t="shared" si="60"/>
        <v>0.94866529774127306</v>
      </c>
      <c r="CL167" s="20">
        <v>1461</v>
      </c>
      <c r="CM167" s="20">
        <f t="shared" si="61"/>
        <v>75</v>
      </c>
      <c r="CN167" s="20">
        <v>1386</v>
      </c>
      <c r="CO167" s="20">
        <v>1333</v>
      </c>
      <c r="CP167" s="20">
        <f t="shared" si="62"/>
        <v>53</v>
      </c>
      <c r="CQ167" s="20"/>
      <c r="CR167" s="20"/>
      <c r="CS167" s="46">
        <v>2006</v>
      </c>
      <c r="CT167" s="47" t="s">
        <v>43</v>
      </c>
      <c r="CU167" s="35">
        <f t="shared" si="106"/>
        <v>0.9263157894736842</v>
      </c>
      <c r="CV167" s="35">
        <f t="shared" si="107"/>
        <v>0.93121693121693117</v>
      </c>
      <c r="CW167" s="35">
        <f t="shared" si="108"/>
        <v>0.99473684210526314</v>
      </c>
      <c r="CX167" s="20">
        <v>950</v>
      </c>
      <c r="CY167" s="27">
        <f t="shared" si="125"/>
        <v>5</v>
      </c>
      <c r="CZ167" s="20">
        <v>945</v>
      </c>
      <c r="DA167" s="20">
        <v>880</v>
      </c>
      <c r="DB167" s="20">
        <f t="shared" si="126"/>
        <v>65</v>
      </c>
      <c r="DC167" s="20"/>
      <c r="DD167" s="20"/>
      <c r="DE167" s="46">
        <v>2006</v>
      </c>
      <c r="DF167" s="47" t="s">
        <v>43</v>
      </c>
      <c r="DG167" s="35">
        <f t="shared" si="111"/>
        <v>0.79663865546218482</v>
      </c>
      <c r="DH167" s="35">
        <f t="shared" si="112"/>
        <v>0.8571428571428571</v>
      </c>
      <c r="DI167" s="35">
        <f t="shared" si="113"/>
        <v>0.92941176470588238</v>
      </c>
      <c r="DJ167" s="20">
        <v>1190</v>
      </c>
      <c r="DK167" s="27">
        <f t="shared" si="127"/>
        <v>84</v>
      </c>
      <c r="DL167" s="20">
        <v>1106</v>
      </c>
      <c r="DM167" s="20">
        <v>948</v>
      </c>
      <c r="DN167" s="20">
        <f t="shared" si="128"/>
        <v>158</v>
      </c>
      <c r="DO167" s="20"/>
      <c r="DP167" s="20"/>
      <c r="DQ167" s="46"/>
      <c r="DR167" s="47"/>
      <c r="DS167" s="35"/>
      <c r="DT167" s="35"/>
      <c r="DU167" s="35"/>
      <c r="DV167" s="20"/>
      <c r="DW167" s="20"/>
      <c r="DX167" s="20"/>
      <c r="DY167" s="20"/>
      <c r="DZ167" s="20"/>
      <c r="EA167" s="20"/>
      <c r="EB167" s="20"/>
    </row>
    <row r="168" spans="1:132" s="29" customFormat="1" ht="12.75">
      <c r="A168" s="45">
        <v>2006</v>
      </c>
      <c r="B168" s="48" t="s">
        <v>44</v>
      </c>
      <c r="C168" s="35">
        <f t="shared" si="73"/>
        <v>0.799036886263218</v>
      </c>
      <c r="D168" s="35">
        <f t="shared" si="74"/>
        <v>0.8440843297671492</v>
      </c>
      <c r="E168" s="35">
        <f t="shared" si="75"/>
        <v>0.94663158417316184</v>
      </c>
      <c r="F16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G168" s="20">
        <f t="shared" si="76"/>
        <v>1075</v>
      </c>
      <c r="H16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19068</v>
      </c>
      <c r="I16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16095</v>
      </c>
      <c r="J168" s="20">
        <f t="shared" si="77"/>
        <v>2973</v>
      </c>
      <c r="K168" s="27"/>
      <c r="L168" s="27"/>
      <c r="M168" s="130">
        <v>2006</v>
      </c>
      <c r="N168" s="131" t="s">
        <v>44</v>
      </c>
      <c r="O168" s="132">
        <f t="shared" si="78"/>
        <v>0.87547169811320757</v>
      </c>
      <c r="P168" s="132">
        <f t="shared" si="79"/>
        <v>0.89575289575289574</v>
      </c>
      <c r="Q168" s="132">
        <f t="shared" si="80"/>
        <v>0.97735849056603774</v>
      </c>
      <c r="R168" s="129">
        <v>3710</v>
      </c>
      <c r="S168" s="133">
        <f t="shared" si="31"/>
        <v>84</v>
      </c>
      <c r="T168" s="129">
        <v>3626</v>
      </c>
      <c r="U168" s="129">
        <v>3248</v>
      </c>
      <c r="V168" s="129">
        <f t="shared" si="116"/>
        <v>378</v>
      </c>
      <c r="W168" s="20"/>
      <c r="X168" s="20"/>
      <c r="Y168" s="45">
        <v>2006</v>
      </c>
      <c r="Z168" s="48" t="s">
        <v>44</v>
      </c>
      <c r="AA168" s="35">
        <f t="shared" si="82"/>
        <v>0.80487804878048785</v>
      </c>
      <c r="AB168" s="35">
        <f t="shared" si="83"/>
        <v>0.83377659574468088</v>
      </c>
      <c r="AC168" s="35">
        <f t="shared" si="84"/>
        <v>0.96534017971758668</v>
      </c>
      <c r="AD168" s="20">
        <v>1558</v>
      </c>
      <c r="AE168" s="27">
        <f t="shared" si="36"/>
        <v>54</v>
      </c>
      <c r="AF168" s="20">
        <v>1504</v>
      </c>
      <c r="AG168" s="20">
        <v>1254</v>
      </c>
      <c r="AH168" s="20">
        <f t="shared" si="85"/>
        <v>250</v>
      </c>
      <c r="AI168" s="20"/>
      <c r="AJ168" s="20"/>
      <c r="AK168" s="45">
        <v>2006</v>
      </c>
      <c r="AL168" s="48" t="s">
        <v>44</v>
      </c>
      <c r="AM168" s="35">
        <f t="shared" si="86"/>
        <v>0.8828846531735115</v>
      </c>
      <c r="AN168" s="35">
        <f t="shared" si="87"/>
        <v>0.91731318905675785</v>
      </c>
      <c r="AO168" s="35">
        <f t="shared" si="88"/>
        <v>0.96246806838278642</v>
      </c>
      <c r="AP168" s="20">
        <v>5089</v>
      </c>
      <c r="AQ168" s="27">
        <f t="shared" si="117"/>
        <v>191</v>
      </c>
      <c r="AR168" s="20">
        <v>4898</v>
      </c>
      <c r="AS168" s="20">
        <v>4493</v>
      </c>
      <c r="AT168" s="20">
        <f t="shared" si="118"/>
        <v>405</v>
      </c>
      <c r="AU168" s="20"/>
      <c r="AV168" s="20"/>
      <c r="AW168" s="45">
        <v>2006</v>
      </c>
      <c r="AX168" s="48" t="s">
        <v>44</v>
      </c>
      <c r="AY168" s="35">
        <f t="shared" si="91"/>
        <v>0.65353037766830868</v>
      </c>
      <c r="AZ168" s="35">
        <f t="shared" si="92"/>
        <v>0.79125248508946322</v>
      </c>
      <c r="BA168" s="35">
        <f t="shared" si="93"/>
        <v>0.82594417077175697</v>
      </c>
      <c r="BB168" s="20">
        <v>609</v>
      </c>
      <c r="BC168" s="27">
        <f t="shared" si="119"/>
        <v>106</v>
      </c>
      <c r="BD168" s="20">
        <v>503</v>
      </c>
      <c r="BE168" s="20">
        <v>398</v>
      </c>
      <c r="BF168" s="20">
        <f t="shared" si="120"/>
        <v>105</v>
      </c>
      <c r="BG168" s="20"/>
      <c r="BH168" s="20"/>
      <c r="BI168" s="45">
        <v>2006</v>
      </c>
      <c r="BJ168" s="48" t="s">
        <v>44</v>
      </c>
      <c r="BK168" s="35">
        <f t="shared" si="96"/>
        <v>0.63777203983769826</v>
      </c>
      <c r="BL168" s="35">
        <f t="shared" si="97"/>
        <v>0.68857029072082832</v>
      </c>
      <c r="BM168" s="35">
        <f t="shared" si="98"/>
        <v>0.92622648469199553</v>
      </c>
      <c r="BN168" s="20">
        <v>2711</v>
      </c>
      <c r="BO168" s="27">
        <f t="shared" si="121"/>
        <v>200</v>
      </c>
      <c r="BP168" s="20">
        <v>2511</v>
      </c>
      <c r="BQ168" s="20">
        <v>1729</v>
      </c>
      <c r="BR168" s="20">
        <f t="shared" si="122"/>
        <v>782</v>
      </c>
      <c r="BS168" s="20"/>
      <c r="BT168" s="20"/>
      <c r="BU168" s="45">
        <v>2006</v>
      </c>
      <c r="BV168" s="48" t="s">
        <v>44</v>
      </c>
      <c r="BW168" s="35">
        <f t="shared" si="101"/>
        <v>0.70338058887677213</v>
      </c>
      <c r="BX168" s="35">
        <f t="shared" si="102"/>
        <v>0.74595219737856588</v>
      </c>
      <c r="BY168" s="35">
        <f t="shared" si="103"/>
        <v>0.94292984369320243</v>
      </c>
      <c r="BZ168" s="20">
        <v>2751</v>
      </c>
      <c r="CA168" s="27">
        <f t="shared" si="123"/>
        <v>157</v>
      </c>
      <c r="CB168" s="20">
        <v>2594</v>
      </c>
      <c r="CC168" s="20">
        <v>1935</v>
      </c>
      <c r="CD168" s="20">
        <f t="shared" si="124"/>
        <v>659</v>
      </c>
      <c r="CE168" s="20"/>
      <c r="CF168" s="20"/>
      <c r="CG168" s="45">
        <v>2006</v>
      </c>
      <c r="CH168" s="48" t="s">
        <v>44</v>
      </c>
      <c r="CI168" s="35">
        <f t="shared" si="58"/>
        <v>0.81304058549567526</v>
      </c>
      <c r="CJ168" s="35">
        <f t="shared" si="59"/>
        <v>0.8685145700071073</v>
      </c>
      <c r="CK168" s="35">
        <f t="shared" si="60"/>
        <v>0.93612774451097802</v>
      </c>
      <c r="CL168" s="20">
        <v>1503</v>
      </c>
      <c r="CM168" s="20">
        <f t="shared" si="61"/>
        <v>96</v>
      </c>
      <c r="CN168" s="20">
        <v>1407</v>
      </c>
      <c r="CO168" s="20">
        <v>1222</v>
      </c>
      <c r="CP168" s="20">
        <f t="shared" si="62"/>
        <v>185</v>
      </c>
      <c r="CQ168" s="20"/>
      <c r="CR168" s="20"/>
      <c r="CS168" s="45">
        <v>2006</v>
      </c>
      <c r="CT168" s="48" t="s">
        <v>44</v>
      </c>
      <c r="CU168" s="35">
        <f t="shared" si="106"/>
        <v>0.85743380855397144</v>
      </c>
      <c r="CV168" s="35">
        <f t="shared" si="107"/>
        <v>0.89289501590668086</v>
      </c>
      <c r="CW168" s="35">
        <f t="shared" si="108"/>
        <v>0.96028513238289204</v>
      </c>
      <c r="CX168" s="20">
        <v>982</v>
      </c>
      <c r="CY168" s="27">
        <f t="shared" si="125"/>
        <v>39</v>
      </c>
      <c r="CZ168" s="20">
        <v>943</v>
      </c>
      <c r="DA168" s="20">
        <v>842</v>
      </c>
      <c r="DB168" s="20">
        <f t="shared" si="126"/>
        <v>101</v>
      </c>
      <c r="DC168" s="20"/>
      <c r="DD168" s="20"/>
      <c r="DE168" s="45">
        <v>2006</v>
      </c>
      <c r="DF168" s="48" t="s">
        <v>44</v>
      </c>
      <c r="DG168" s="35">
        <f t="shared" si="111"/>
        <v>0.79186991869918699</v>
      </c>
      <c r="DH168" s="35">
        <f t="shared" si="112"/>
        <v>0.90018484288354894</v>
      </c>
      <c r="DI168" s="35">
        <f t="shared" si="113"/>
        <v>0.87967479674796745</v>
      </c>
      <c r="DJ168" s="20">
        <v>1230</v>
      </c>
      <c r="DK168" s="27">
        <f t="shared" si="127"/>
        <v>148</v>
      </c>
      <c r="DL168" s="20">
        <v>1082</v>
      </c>
      <c r="DM168" s="20">
        <v>974</v>
      </c>
      <c r="DN168" s="20">
        <f t="shared" si="128"/>
        <v>108</v>
      </c>
      <c r="DO168" s="20"/>
      <c r="DP168" s="20"/>
      <c r="DQ168" s="45"/>
      <c r="DR168" s="48"/>
      <c r="DS168" s="35"/>
      <c r="DT168" s="35"/>
      <c r="DU168" s="35"/>
      <c r="DV168" s="20"/>
      <c r="DW168" s="20"/>
      <c r="DX168" s="20"/>
      <c r="DY168" s="20"/>
      <c r="DZ168" s="20"/>
      <c r="EA168" s="20"/>
      <c r="EB168" s="20"/>
    </row>
    <row r="169" spans="1:132" s="29" customFormat="1" ht="12.75">
      <c r="A169" s="46">
        <v>2006</v>
      </c>
      <c r="B169" s="47" t="s">
        <v>45</v>
      </c>
      <c r="C169" s="35">
        <f t="shared" si="73"/>
        <v>0.81881310022162024</v>
      </c>
      <c r="D169" s="35">
        <f t="shared" si="74"/>
        <v>0.86409230289485994</v>
      </c>
      <c r="E169" s="35">
        <f t="shared" si="75"/>
        <v>0.94759911351883774</v>
      </c>
      <c r="F16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69" s="20">
        <f t="shared" si="76"/>
        <v>1064</v>
      </c>
      <c r="H16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19241</v>
      </c>
      <c r="I16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16626</v>
      </c>
      <c r="J169" s="20">
        <f t="shared" si="77"/>
        <v>2615</v>
      </c>
      <c r="K169" s="27"/>
      <c r="L169" s="27"/>
      <c r="M169" s="134">
        <v>2006</v>
      </c>
      <c r="N169" s="135" t="s">
        <v>45</v>
      </c>
      <c r="O169" s="132">
        <f t="shared" si="78"/>
        <v>0.87932871603622798</v>
      </c>
      <c r="P169" s="132">
        <f t="shared" si="79"/>
        <v>0.89994547437295525</v>
      </c>
      <c r="Q169" s="132">
        <f t="shared" si="80"/>
        <v>0.97709110282365474</v>
      </c>
      <c r="R169" s="129">
        <v>3754</v>
      </c>
      <c r="S169" s="133">
        <f t="shared" si="31"/>
        <v>86</v>
      </c>
      <c r="T169" s="129">
        <v>3668</v>
      </c>
      <c r="U169" s="129">
        <v>3301</v>
      </c>
      <c r="V169" s="129">
        <f t="shared" si="116"/>
        <v>367</v>
      </c>
      <c r="W169" s="20"/>
      <c r="X169" s="20"/>
      <c r="Y169" s="46">
        <v>2006</v>
      </c>
      <c r="Z169" s="47" t="s">
        <v>45</v>
      </c>
      <c r="AA169" s="35">
        <f t="shared" si="82"/>
        <v>0.83815028901734101</v>
      </c>
      <c r="AB169" s="35">
        <f t="shared" si="83"/>
        <v>0.84685269305645683</v>
      </c>
      <c r="AC169" s="35">
        <f t="shared" si="84"/>
        <v>0.98972382787411695</v>
      </c>
      <c r="AD169" s="20">
        <v>1557</v>
      </c>
      <c r="AE169" s="27">
        <f t="shared" si="36"/>
        <v>16</v>
      </c>
      <c r="AF169" s="20">
        <v>1541</v>
      </c>
      <c r="AG169" s="20">
        <v>1305</v>
      </c>
      <c r="AH169" s="20">
        <f t="shared" si="85"/>
        <v>236</v>
      </c>
      <c r="AI169" s="20"/>
      <c r="AJ169" s="20"/>
      <c r="AK169" s="46">
        <v>2006</v>
      </c>
      <c r="AL169" s="47" t="s">
        <v>45</v>
      </c>
      <c r="AM169" s="35">
        <f t="shared" si="86"/>
        <v>0.88448780487804879</v>
      </c>
      <c r="AN169" s="35">
        <f t="shared" si="87"/>
        <v>0.91761133603238865</v>
      </c>
      <c r="AO169" s="35">
        <f t="shared" si="88"/>
        <v>0.96390243902439021</v>
      </c>
      <c r="AP169" s="20">
        <v>5125</v>
      </c>
      <c r="AQ169" s="27">
        <f t="shared" si="117"/>
        <v>185</v>
      </c>
      <c r="AR169" s="20">
        <v>4940</v>
      </c>
      <c r="AS169" s="20">
        <v>4533</v>
      </c>
      <c r="AT169" s="20">
        <f t="shared" si="118"/>
        <v>407</v>
      </c>
      <c r="AU169" s="20"/>
      <c r="AV169" s="20"/>
      <c r="AW169" s="46">
        <v>2006</v>
      </c>
      <c r="AX169" s="47" t="s">
        <v>45</v>
      </c>
      <c r="AY169" s="35">
        <f t="shared" si="91"/>
        <v>0.64263322884012541</v>
      </c>
      <c r="AZ169" s="35">
        <f t="shared" si="92"/>
        <v>0.81510934393638168</v>
      </c>
      <c r="BA169" s="35">
        <f t="shared" si="93"/>
        <v>0.78840125391849525</v>
      </c>
      <c r="BB169" s="20">
        <v>638</v>
      </c>
      <c r="BC169" s="27">
        <f t="shared" si="119"/>
        <v>135</v>
      </c>
      <c r="BD169" s="20">
        <v>503</v>
      </c>
      <c r="BE169" s="20">
        <v>410</v>
      </c>
      <c r="BF169" s="20">
        <f t="shared" si="120"/>
        <v>93</v>
      </c>
      <c r="BG169" s="20"/>
      <c r="BH169" s="20"/>
      <c r="BI169" s="46">
        <v>2006</v>
      </c>
      <c r="BJ169" s="47" t="s">
        <v>45</v>
      </c>
      <c r="BK169" s="35">
        <f t="shared" si="96"/>
        <v>0.62545720555961959</v>
      </c>
      <c r="BL169" s="35">
        <f t="shared" si="97"/>
        <v>0.67482241515390684</v>
      </c>
      <c r="BM169" s="35">
        <f t="shared" si="98"/>
        <v>0.92684711046086321</v>
      </c>
      <c r="BN169" s="20">
        <v>2734</v>
      </c>
      <c r="BO169" s="27">
        <f t="shared" si="121"/>
        <v>200</v>
      </c>
      <c r="BP169" s="20">
        <v>2534</v>
      </c>
      <c r="BQ169" s="20">
        <v>1710</v>
      </c>
      <c r="BR169" s="20">
        <f t="shared" si="122"/>
        <v>824</v>
      </c>
      <c r="BS169" s="20"/>
      <c r="BT169" s="20"/>
      <c r="BU169" s="46">
        <v>2006</v>
      </c>
      <c r="BV169" s="47" t="s">
        <v>45</v>
      </c>
      <c r="BW169" s="35">
        <f t="shared" si="101"/>
        <v>0.78455431252255503</v>
      </c>
      <c r="BX169" s="35">
        <f t="shared" si="102"/>
        <v>0.82130714015867023</v>
      </c>
      <c r="BY169" s="35">
        <f t="shared" si="103"/>
        <v>0.95525081198123418</v>
      </c>
      <c r="BZ169" s="20">
        <v>2771</v>
      </c>
      <c r="CA169" s="27">
        <f t="shared" si="123"/>
        <v>124</v>
      </c>
      <c r="CB169" s="20">
        <v>2647</v>
      </c>
      <c r="CC169" s="20">
        <v>2174</v>
      </c>
      <c r="CD169" s="20">
        <f t="shared" si="124"/>
        <v>473</v>
      </c>
      <c r="CE169" s="20"/>
      <c r="CF169" s="20"/>
      <c r="CG169" s="46">
        <v>2006</v>
      </c>
      <c r="CH169" s="47" t="s">
        <v>45</v>
      </c>
      <c r="CI169" s="35">
        <f t="shared" si="58"/>
        <v>0.91083223249669754</v>
      </c>
      <c r="CJ169" s="35">
        <f t="shared" si="59"/>
        <v>0.96097560975609753</v>
      </c>
      <c r="CK169" s="35">
        <f t="shared" si="60"/>
        <v>0.94782034346103039</v>
      </c>
      <c r="CL169" s="20">
        <v>1514</v>
      </c>
      <c r="CM169" s="20">
        <f t="shared" si="61"/>
        <v>79</v>
      </c>
      <c r="CN169" s="20">
        <v>1435</v>
      </c>
      <c r="CO169" s="20">
        <v>1379</v>
      </c>
      <c r="CP169" s="20">
        <f t="shared" si="62"/>
        <v>56</v>
      </c>
      <c r="CQ169" s="20"/>
      <c r="CR169" s="20"/>
      <c r="CS169" s="46">
        <v>2006</v>
      </c>
      <c r="CT169" s="47" t="s">
        <v>45</v>
      </c>
      <c r="CU169" s="35">
        <f t="shared" si="106"/>
        <v>0.81975560081466392</v>
      </c>
      <c r="CV169" s="35">
        <f t="shared" si="107"/>
        <v>0.89743589743589747</v>
      </c>
      <c r="CW169" s="35">
        <f t="shared" si="108"/>
        <v>0.9134419551934827</v>
      </c>
      <c r="CX169" s="20">
        <v>982</v>
      </c>
      <c r="CY169" s="27">
        <f t="shared" si="125"/>
        <v>85</v>
      </c>
      <c r="CZ169" s="20">
        <v>897</v>
      </c>
      <c r="DA169" s="20">
        <v>805</v>
      </c>
      <c r="DB169" s="20">
        <f t="shared" si="126"/>
        <v>92</v>
      </c>
      <c r="DC169" s="20"/>
      <c r="DD169" s="20"/>
      <c r="DE169" s="46">
        <v>2006</v>
      </c>
      <c r="DF169" s="47" t="s">
        <v>45</v>
      </c>
      <c r="DG169" s="35">
        <f t="shared" si="111"/>
        <v>0.82032520325203251</v>
      </c>
      <c r="DH169" s="35">
        <f t="shared" si="112"/>
        <v>0.93773234200743494</v>
      </c>
      <c r="DI169" s="35">
        <f t="shared" si="113"/>
        <v>0.87479674796747964</v>
      </c>
      <c r="DJ169" s="20">
        <v>1230</v>
      </c>
      <c r="DK169" s="27">
        <f t="shared" si="127"/>
        <v>154</v>
      </c>
      <c r="DL169" s="20">
        <v>1076</v>
      </c>
      <c r="DM169" s="20">
        <v>1009</v>
      </c>
      <c r="DN169" s="20">
        <f t="shared" si="128"/>
        <v>67</v>
      </c>
      <c r="DO169" s="20"/>
      <c r="DP169" s="20"/>
      <c r="DQ169" s="46"/>
      <c r="DR169" s="47"/>
      <c r="DS169" s="35"/>
      <c r="DT169" s="35"/>
      <c r="DU169" s="35"/>
      <c r="DV169" s="20"/>
      <c r="DW169" s="20"/>
      <c r="DX169" s="20"/>
      <c r="DY169" s="20"/>
      <c r="DZ169" s="20"/>
      <c r="EA169" s="20"/>
      <c r="EB169" s="20"/>
    </row>
    <row r="170" spans="1:132" s="29" customFormat="1" ht="12.75">
      <c r="A170" s="45">
        <v>2006</v>
      </c>
      <c r="B170" s="48" t="s">
        <v>46</v>
      </c>
      <c r="C170" s="35">
        <f t="shared" si="73"/>
        <v>0.80768060064935066</v>
      </c>
      <c r="D170" s="35">
        <f t="shared" si="74"/>
        <v>0.8654598825831703</v>
      </c>
      <c r="E170" s="35">
        <f t="shared" si="75"/>
        <v>0.93323863636363635</v>
      </c>
      <c r="F17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19712</v>
      </c>
      <c r="G170" s="20">
        <f t="shared" si="76"/>
        <v>1316</v>
      </c>
      <c r="H17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18396</v>
      </c>
      <c r="I17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15921</v>
      </c>
      <c r="J170" s="20">
        <f t="shared" si="77"/>
        <v>2475</v>
      </c>
      <c r="K170" s="27"/>
      <c r="L170" s="27"/>
      <c r="M170" s="130">
        <v>2006</v>
      </c>
      <c r="N170" s="131" t="s">
        <v>46</v>
      </c>
      <c r="O170" s="132">
        <f t="shared" si="78"/>
        <v>0.84720700985761221</v>
      </c>
      <c r="P170" s="132">
        <f t="shared" si="79"/>
        <v>0.88324293462746217</v>
      </c>
      <c r="Q170" s="132">
        <f t="shared" si="80"/>
        <v>0.95920043811610078</v>
      </c>
      <c r="R170" s="129">
        <v>3652</v>
      </c>
      <c r="S170" s="133">
        <f t="shared" si="31"/>
        <v>149</v>
      </c>
      <c r="T170" s="129">
        <v>3503</v>
      </c>
      <c r="U170" s="129">
        <v>3094</v>
      </c>
      <c r="V170" s="129">
        <f t="shared" si="116"/>
        <v>409</v>
      </c>
      <c r="W170" s="20"/>
      <c r="X170" s="20"/>
      <c r="Y170" s="45">
        <v>2006</v>
      </c>
      <c r="Z170" s="48" t="s">
        <v>46</v>
      </c>
      <c r="AA170" s="35">
        <f t="shared" si="82"/>
        <v>0.84110308601444517</v>
      </c>
      <c r="AB170" s="35">
        <f t="shared" si="83"/>
        <v>0.86554054054054053</v>
      </c>
      <c r="AC170" s="35">
        <f t="shared" si="84"/>
        <v>0.97176625082074852</v>
      </c>
      <c r="AD170" s="20">
        <v>1523</v>
      </c>
      <c r="AE170" s="27">
        <f t="shared" si="36"/>
        <v>43</v>
      </c>
      <c r="AF170" s="20">
        <v>1480</v>
      </c>
      <c r="AG170" s="20">
        <v>1281</v>
      </c>
      <c r="AH170" s="20">
        <f t="shared" si="85"/>
        <v>199</v>
      </c>
      <c r="AI170" s="20"/>
      <c r="AJ170" s="20"/>
      <c r="AK170" s="45">
        <v>2006</v>
      </c>
      <c r="AL170" s="48" t="s">
        <v>46</v>
      </c>
      <c r="AM170" s="35">
        <f t="shared" si="86"/>
        <v>0.84221065278333995</v>
      </c>
      <c r="AN170" s="35">
        <f t="shared" si="87"/>
        <v>0.9060749676863421</v>
      </c>
      <c r="AO170" s="35">
        <f t="shared" si="88"/>
        <v>0.92951541850220265</v>
      </c>
      <c r="AP170" s="20">
        <v>4994</v>
      </c>
      <c r="AQ170" s="27">
        <f t="shared" si="117"/>
        <v>352</v>
      </c>
      <c r="AR170" s="20">
        <v>4642</v>
      </c>
      <c r="AS170" s="20">
        <v>4206</v>
      </c>
      <c r="AT170" s="20">
        <f t="shared" si="118"/>
        <v>436</v>
      </c>
      <c r="AU170" s="20"/>
      <c r="AV170" s="20"/>
      <c r="AW170" s="45">
        <v>2006</v>
      </c>
      <c r="AX170" s="48" t="s">
        <v>46</v>
      </c>
      <c r="AY170" s="35">
        <f t="shared" si="91"/>
        <v>0.58620689655172409</v>
      </c>
      <c r="AZ170" s="35">
        <f t="shared" si="92"/>
        <v>0.76774193548387093</v>
      </c>
      <c r="BA170" s="35">
        <f t="shared" si="93"/>
        <v>0.76354679802955661</v>
      </c>
      <c r="BB170" s="20">
        <v>609</v>
      </c>
      <c r="BC170" s="27">
        <f t="shared" si="119"/>
        <v>144</v>
      </c>
      <c r="BD170" s="20">
        <v>465</v>
      </c>
      <c r="BE170" s="20">
        <v>357</v>
      </c>
      <c r="BF170" s="20">
        <f t="shared" si="120"/>
        <v>108</v>
      </c>
      <c r="BG170" s="20"/>
      <c r="BH170" s="20"/>
      <c r="BI170" s="45">
        <v>2006</v>
      </c>
      <c r="BJ170" s="48" t="s">
        <v>46</v>
      </c>
      <c r="BK170" s="35">
        <f t="shared" si="96"/>
        <v>0.60264650283553878</v>
      </c>
      <c r="BL170" s="35">
        <f t="shared" si="97"/>
        <v>0.6806148590947908</v>
      </c>
      <c r="BM170" s="35">
        <f t="shared" si="98"/>
        <v>0.8854442344045369</v>
      </c>
      <c r="BN170" s="20">
        <v>2645</v>
      </c>
      <c r="BO170" s="27">
        <f t="shared" si="121"/>
        <v>303</v>
      </c>
      <c r="BP170" s="20">
        <v>2342</v>
      </c>
      <c r="BQ170" s="20">
        <v>1594</v>
      </c>
      <c r="BR170" s="20">
        <f t="shared" si="122"/>
        <v>748</v>
      </c>
      <c r="BS170" s="20"/>
      <c r="BT170" s="20"/>
      <c r="BU170" s="45">
        <v>2006</v>
      </c>
      <c r="BV170" s="48" t="s">
        <v>46</v>
      </c>
      <c r="BW170" s="35">
        <f t="shared" si="101"/>
        <v>0.78097014925373132</v>
      </c>
      <c r="BX170" s="35">
        <f t="shared" si="102"/>
        <v>0.8398876404494382</v>
      </c>
      <c r="BY170" s="35">
        <f t="shared" si="103"/>
        <v>0.92985074626865671</v>
      </c>
      <c r="BZ170" s="20">
        <v>2680</v>
      </c>
      <c r="CA170" s="27">
        <f t="shared" si="123"/>
        <v>188</v>
      </c>
      <c r="CB170" s="20">
        <v>2492</v>
      </c>
      <c r="CC170" s="20">
        <v>2093</v>
      </c>
      <c r="CD170" s="20">
        <f t="shared" si="124"/>
        <v>399</v>
      </c>
      <c r="CE170" s="20"/>
      <c r="CF170" s="20"/>
      <c r="CG170" s="45">
        <v>2006</v>
      </c>
      <c r="CH170" s="48" t="s">
        <v>46</v>
      </c>
      <c r="CI170" s="35">
        <f t="shared" si="58"/>
        <v>0.91535836177474406</v>
      </c>
      <c r="CJ170" s="35">
        <f t="shared" si="59"/>
        <v>0.9745639534883721</v>
      </c>
      <c r="CK170" s="35">
        <f t="shared" si="60"/>
        <v>0.93924914675767923</v>
      </c>
      <c r="CL170" s="20">
        <v>1465</v>
      </c>
      <c r="CM170" s="20">
        <f t="shared" si="61"/>
        <v>89</v>
      </c>
      <c r="CN170" s="20">
        <v>1376</v>
      </c>
      <c r="CO170" s="20">
        <v>1341</v>
      </c>
      <c r="CP170" s="20">
        <f t="shared" si="62"/>
        <v>35</v>
      </c>
      <c r="CQ170" s="20"/>
      <c r="CR170" s="20"/>
      <c r="CS170" s="45">
        <v>2006</v>
      </c>
      <c r="CT170" s="48" t="s">
        <v>46</v>
      </c>
      <c r="CU170" s="35">
        <f t="shared" si="106"/>
        <v>0.91491596638655459</v>
      </c>
      <c r="CV170" s="35">
        <f t="shared" si="107"/>
        <v>0.92956243329775878</v>
      </c>
      <c r="CW170" s="35">
        <f t="shared" si="108"/>
        <v>0.98424369747899154</v>
      </c>
      <c r="CX170" s="20">
        <v>952</v>
      </c>
      <c r="CY170" s="27">
        <f t="shared" si="125"/>
        <v>15</v>
      </c>
      <c r="CZ170" s="20">
        <v>937</v>
      </c>
      <c r="DA170" s="20">
        <v>871</v>
      </c>
      <c r="DB170" s="20">
        <f t="shared" si="126"/>
        <v>66</v>
      </c>
      <c r="DC170" s="20"/>
      <c r="DD170" s="20"/>
      <c r="DE170" s="45">
        <v>2006</v>
      </c>
      <c r="DF170" s="48" t="s">
        <v>46</v>
      </c>
      <c r="DG170" s="35">
        <f t="shared" si="111"/>
        <v>0.90939597315436238</v>
      </c>
      <c r="DH170" s="35">
        <f t="shared" si="112"/>
        <v>0.93528904227782572</v>
      </c>
      <c r="DI170" s="35">
        <f t="shared" si="113"/>
        <v>0.97231543624161076</v>
      </c>
      <c r="DJ170" s="20">
        <v>1192</v>
      </c>
      <c r="DK170" s="27">
        <f t="shared" si="127"/>
        <v>33</v>
      </c>
      <c r="DL170" s="20">
        <v>1159</v>
      </c>
      <c r="DM170" s="20">
        <v>1084</v>
      </c>
      <c r="DN170" s="20">
        <f t="shared" si="128"/>
        <v>75</v>
      </c>
      <c r="DO170" s="20"/>
      <c r="DP170" s="20"/>
      <c r="DQ170" s="45"/>
      <c r="DR170" s="48"/>
      <c r="DS170" s="35"/>
      <c r="DT170" s="35"/>
      <c r="DU170" s="35"/>
      <c r="DV170" s="20"/>
      <c r="DW170" s="20"/>
      <c r="DX170" s="20"/>
      <c r="DY170" s="20"/>
      <c r="DZ170" s="20"/>
      <c r="EA170" s="20"/>
      <c r="EB170" s="20"/>
    </row>
    <row r="171" spans="1:132" s="29" customFormat="1" ht="12.75">
      <c r="A171" s="46">
        <v>2006</v>
      </c>
      <c r="B171" s="47" t="s">
        <v>47</v>
      </c>
      <c r="C171" s="35">
        <f t="shared" si="73"/>
        <v>0.77269774646479783</v>
      </c>
      <c r="D171" s="35">
        <f t="shared" si="74"/>
        <v>0.81449489097229533</v>
      </c>
      <c r="E171" s="35">
        <f t="shared" si="75"/>
        <v>0.94868335581871788</v>
      </c>
      <c r="F17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71" s="20">
        <f t="shared" si="76"/>
        <v>1027</v>
      </c>
      <c r="H17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18986</v>
      </c>
      <c r="I17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15464</v>
      </c>
      <c r="J171" s="20">
        <f t="shared" si="77"/>
        <v>3522</v>
      </c>
      <c r="K171" s="27"/>
      <c r="L171" s="27"/>
      <c r="M171" s="134">
        <v>2006</v>
      </c>
      <c r="N171" s="135" t="s">
        <v>47</v>
      </c>
      <c r="O171" s="132">
        <f t="shared" si="78"/>
        <v>0.76770152505446621</v>
      </c>
      <c r="P171" s="132">
        <f t="shared" si="79"/>
        <v>0.78349082823790994</v>
      </c>
      <c r="Q171" s="132">
        <f t="shared" si="80"/>
        <v>0.97984749455337694</v>
      </c>
      <c r="R171" s="129">
        <v>3672</v>
      </c>
      <c r="S171" s="133">
        <f t="shared" si="31"/>
        <v>74</v>
      </c>
      <c r="T171" s="129">
        <v>3598</v>
      </c>
      <c r="U171" s="129">
        <v>2819</v>
      </c>
      <c r="V171" s="129">
        <f t="shared" si="116"/>
        <v>779</v>
      </c>
      <c r="W171" s="20"/>
      <c r="X171" s="20"/>
      <c r="Y171" s="46">
        <v>2006</v>
      </c>
      <c r="Z171" s="47" t="s">
        <v>47</v>
      </c>
      <c r="AA171" s="35">
        <f t="shared" si="82"/>
        <v>0.7335932423651722</v>
      </c>
      <c r="AB171" s="35">
        <f t="shared" si="83"/>
        <v>0.75771812080536916</v>
      </c>
      <c r="AC171" s="35">
        <f t="shared" si="84"/>
        <v>0.96816114359974004</v>
      </c>
      <c r="AD171" s="20">
        <v>1539</v>
      </c>
      <c r="AE171" s="27">
        <f t="shared" si="36"/>
        <v>49</v>
      </c>
      <c r="AF171" s="20">
        <v>1490</v>
      </c>
      <c r="AG171" s="20">
        <v>1129</v>
      </c>
      <c r="AH171" s="20">
        <f t="shared" si="85"/>
        <v>361</v>
      </c>
      <c r="AI171" s="20"/>
      <c r="AJ171" s="20"/>
      <c r="AK171" s="46">
        <v>2006</v>
      </c>
      <c r="AL171" s="47" t="s">
        <v>47</v>
      </c>
      <c r="AM171" s="35">
        <f t="shared" si="86"/>
        <v>0.7682684670373312</v>
      </c>
      <c r="AN171" s="35">
        <f t="shared" si="87"/>
        <v>0.80453316697858179</v>
      </c>
      <c r="AO171" s="35">
        <f t="shared" si="88"/>
        <v>0.9549245432883241</v>
      </c>
      <c r="AP171" s="20">
        <v>5036</v>
      </c>
      <c r="AQ171" s="27">
        <f t="shared" si="117"/>
        <v>227</v>
      </c>
      <c r="AR171" s="20">
        <v>4809</v>
      </c>
      <c r="AS171" s="20">
        <v>3869</v>
      </c>
      <c r="AT171" s="20">
        <f t="shared" si="118"/>
        <v>940</v>
      </c>
      <c r="AU171" s="20"/>
      <c r="AV171" s="20"/>
      <c r="AW171" s="46">
        <v>2006</v>
      </c>
      <c r="AX171" s="47" t="s">
        <v>47</v>
      </c>
      <c r="AY171" s="35">
        <f t="shared" si="91"/>
        <v>0.49589490968801314</v>
      </c>
      <c r="AZ171" s="35">
        <f t="shared" si="92"/>
        <v>0.64668094218415417</v>
      </c>
      <c r="BA171" s="35">
        <f t="shared" si="93"/>
        <v>0.76683087027914609</v>
      </c>
      <c r="BB171" s="20">
        <v>609</v>
      </c>
      <c r="BC171" s="27">
        <f t="shared" si="119"/>
        <v>142</v>
      </c>
      <c r="BD171" s="20">
        <v>467</v>
      </c>
      <c r="BE171" s="20">
        <v>302</v>
      </c>
      <c r="BF171" s="20">
        <f t="shared" si="120"/>
        <v>165</v>
      </c>
      <c r="BG171" s="20"/>
      <c r="BH171" s="20"/>
      <c r="BI171" s="46">
        <v>2006</v>
      </c>
      <c r="BJ171" s="47" t="s">
        <v>47</v>
      </c>
      <c r="BK171" s="35">
        <f t="shared" si="96"/>
        <v>0.66642011834319526</v>
      </c>
      <c r="BL171" s="35">
        <f t="shared" si="97"/>
        <v>0.72925940914609466</v>
      </c>
      <c r="BM171" s="35">
        <f t="shared" si="98"/>
        <v>0.91383136094674555</v>
      </c>
      <c r="BN171" s="20">
        <v>2704</v>
      </c>
      <c r="BO171" s="27">
        <f t="shared" si="121"/>
        <v>233</v>
      </c>
      <c r="BP171" s="20">
        <v>2471</v>
      </c>
      <c r="BQ171" s="20">
        <v>1802</v>
      </c>
      <c r="BR171" s="20">
        <f t="shared" si="122"/>
        <v>669</v>
      </c>
      <c r="BS171" s="20"/>
      <c r="BT171" s="20"/>
      <c r="BU171" s="46">
        <v>2006</v>
      </c>
      <c r="BV171" s="47" t="s">
        <v>47</v>
      </c>
      <c r="BW171" s="35">
        <f t="shared" si="101"/>
        <v>0.78769118718135467</v>
      </c>
      <c r="BX171" s="35">
        <f t="shared" si="102"/>
        <v>0.828735632183908</v>
      </c>
      <c r="BY171" s="35">
        <f t="shared" si="103"/>
        <v>0.95047341587764023</v>
      </c>
      <c r="BZ171" s="20">
        <v>2746</v>
      </c>
      <c r="CA171" s="27">
        <f t="shared" si="123"/>
        <v>136</v>
      </c>
      <c r="CB171" s="20">
        <v>2610</v>
      </c>
      <c r="CC171" s="20">
        <v>2163</v>
      </c>
      <c r="CD171" s="20">
        <f t="shared" si="124"/>
        <v>447</v>
      </c>
      <c r="CE171" s="20"/>
      <c r="CF171" s="20"/>
      <c r="CG171" s="46">
        <v>2006</v>
      </c>
      <c r="CH171" s="47" t="s">
        <v>47</v>
      </c>
      <c r="CI171" s="35">
        <f t="shared" si="58"/>
        <v>0.91127418278852568</v>
      </c>
      <c r="CJ171" s="35">
        <f t="shared" si="59"/>
        <v>0.97362794012829645</v>
      </c>
      <c r="CK171" s="35">
        <f t="shared" si="60"/>
        <v>0.93595730486991324</v>
      </c>
      <c r="CL171" s="20">
        <v>1499</v>
      </c>
      <c r="CM171" s="20">
        <f t="shared" si="61"/>
        <v>96</v>
      </c>
      <c r="CN171" s="20">
        <v>1403</v>
      </c>
      <c r="CO171" s="20">
        <v>1366</v>
      </c>
      <c r="CP171" s="20">
        <f t="shared" si="62"/>
        <v>37</v>
      </c>
      <c r="CQ171" s="20"/>
      <c r="CR171" s="20"/>
      <c r="CS171" s="46">
        <v>2006</v>
      </c>
      <c r="CT171" s="47" t="s">
        <v>47</v>
      </c>
      <c r="CU171" s="35">
        <f t="shared" si="106"/>
        <v>0.88877551020408163</v>
      </c>
      <c r="CV171" s="35">
        <f t="shared" si="107"/>
        <v>0.93055555555555558</v>
      </c>
      <c r="CW171" s="35">
        <f t="shared" si="108"/>
        <v>0.95510204081632655</v>
      </c>
      <c r="CX171" s="20">
        <v>980</v>
      </c>
      <c r="CY171" s="27">
        <f t="shared" si="125"/>
        <v>44</v>
      </c>
      <c r="CZ171" s="20">
        <v>936</v>
      </c>
      <c r="DA171" s="20">
        <v>871</v>
      </c>
      <c r="DB171" s="20">
        <f t="shared" si="126"/>
        <v>65</v>
      </c>
      <c r="DC171" s="20"/>
      <c r="DD171" s="20"/>
      <c r="DE171" s="46">
        <v>2006</v>
      </c>
      <c r="DF171" s="47" t="s">
        <v>47</v>
      </c>
      <c r="DG171" s="35">
        <f t="shared" si="111"/>
        <v>0.93078175895765469</v>
      </c>
      <c r="DH171" s="35">
        <f t="shared" si="112"/>
        <v>0.95091514143094846</v>
      </c>
      <c r="DI171" s="35">
        <f t="shared" si="113"/>
        <v>0.97882736156351791</v>
      </c>
      <c r="DJ171" s="20">
        <v>1228</v>
      </c>
      <c r="DK171" s="27">
        <f t="shared" si="127"/>
        <v>26</v>
      </c>
      <c r="DL171" s="20">
        <v>1202</v>
      </c>
      <c r="DM171" s="20">
        <v>1143</v>
      </c>
      <c r="DN171" s="20">
        <f t="shared" si="128"/>
        <v>59</v>
      </c>
      <c r="DO171" s="20"/>
      <c r="DP171" s="20"/>
      <c r="DQ171" s="46"/>
      <c r="DR171" s="47"/>
      <c r="DS171" s="35"/>
      <c r="DT171" s="35"/>
      <c r="DU171" s="35"/>
      <c r="DV171" s="20"/>
      <c r="DW171" s="20"/>
      <c r="DX171" s="20"/>
      <c r="DY171" s="20"/>
      <c r="DZ171" s="20"/>
      <c r="EA171" s="20"/>
      <c r="EB171" s="20"/>
    </row>
    <row r="172" spans="1:132" s="29" customFormat="1" ht="12.75">
      <c r="A172" s="45">
        <v>2006</v>
      </c>
      <c r="B172" s="48" t="s">
        <v>48</v>
      </c>
      <c r="C172" s="35">
        <f t="shared" si="73"/>
        <v>0.76200060380396495</v>
      </c>
      <c r="D172" s="35">
        <f t="shared" si="74"/>
        <v>0.80360838418678693</v>
      </c>
      <c r="E172" s="35">
        <f t="shared" si="75"/>
        <v>0.94822381000301903</v>
      </c>
      <c r="F17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G172" s="20">
        <f t="shared" si="76"/>
        <v>1029</v>
      </c>
      <c r="H17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18845</v>
      </c>
      <c r="I17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15144</v>
      </c>
      <c r="J172" s="20">
        <f t="shared" si="77"/>
        <v>3701</v>
      </c>
      <c r="K172" s="27"/>
      <c r="L172" s="27"/>
      <c r="M172" s="45">
        <v>2006</v>
      </c>
      <c r="N172" s="48" t="s">
        <v>48</v>
      </c>
      <c r="O172" s="35">
        <f t="shared" si="78"/>
        <v>0.73936374089689538</v>
      </c>
      <c r="P172" s="35">
        <f t="shared" si="79"/>
        <v>0.76139727649496747</v>
      </c>
      <c r="Q172" s="35">
        <f t="shared" si="80"/>
        <v>0.97106170946722881</v>
      </c>
      <c r="R172" s="20">
        <v>5218</v>
      </c>
      <c r="S172" s="27">
        <f t="shared" si="31"/>
        <v>151</v>
      </c>
      <c r="T172" s="20">
        <v>5067</v>
      </c>
      <c r="U172" s="20">
        <v>3858</v>
      </c>
      <c r="V172" s="20">
        <f t="shared" si="116"/>
        <v>1209</v>
      </c>
      <c r="W172" s="136" t="s">
        <v>58</v>
      </c>
      <c r="X172" s="31"/>
      <c r="Y172" s="45"/>
      <c r="Z172" s="48"/>
      <c r="AA172" s="35"/>
      <c r="AB172" s="35"/>
      <c r="AC172" s="35"/>
      <c r="AD172" s="20"/>
      <c r="AE172" s="27"/>
      <c r="AF172" s="20"/>
      <c r="AG172" s="20"/>
      <c r="AH172" s="20"/>
      <c r="AI172" s="31" t="s">
        <v>58</v>
      </c>
      <c r="AJ172" s="20"/>
      <c r="AK172" s="45">
        <v>2006</v>
      </c>
      <c r="AL172" s="48" t="s">
        <v>48</v>
      </c>
      <c r="AM172" s="35">
        <f t="shared" si="86"/>
        <v>0.75636435958631665</v>
      </c>
      <c r="AN172" s="35">
        <f t="shared" si="87"/>
        <v>0.80215144484286016</v>
      </c>
      <c r="AO172" s="35">
        <f t="shared" si="88"/>
        <v>0.94291964996022271</v>
      </c>
      <c r="AP172" s="20">
        <v>5028</v>
      </c>
      <c r="AQ172" s="27">
        <f t="shared" si="117"/>
        <v>287</v>
      </c>
      <c r="AR172" s="20">
        <v>4741</v>
      </c>
      <c r="AS172" s="20">
        <v>3803</v>
      </c>
      <c r="AT172" s="20">
        <f t="shared" si="118"/>
        <v>938</v>
      </c>
      <c r="AU172" s="20"/>
      <c r="AV172" s="20"/>
      <c r="AW172" s="45">
        <v>2006</v>
      </c>
      <c r="AX172" s="48" t="s">
        <v>48</v>
      </c>
      <c r="AY172" s="35">
        <f t="shared" si="91"/>
        <v>0.45297805642633227</v>
      </c>
      <c r="AZ172" s="35">
        <f t="shared" si="92"/>
        <v>0.56116504854368932</v>
      </c>
      <c r="BA172" s="35">
        <f t="shared" si="93"/>
        <v>0.80721003134796243</v>
      </c>
      <c r="BB172" s="20">
        <v>638</v>
      </c>
      <c r="BC172" s="27">
        <f t="shared" si="119"/>
        <v>123</v>
      </c>
      <c r="BD172" s="20">
        <v>515</v>
      </c>
      <c r="BE172" s="20">
        <v>289</v>
      </c>
      <c r="BF172" s="20">
        <f t="shared" si="120"/>
        <v>226</v>
      </c>
      <c r="BG172" s="20"/>
      <c r="BH172" s="20"/>
      <c r="BI172" s="45">
        <v>2006</v>
      </c>
      <c r="BJ172" s="48" t="s">
        <v>48</v>
      </c>
      <c r="BK172" s="35">
        <f t="shared" si="96"/>
        <v>0.68028485757121437</v>
      </c>
      <c r="BL172" s="35">
        <f t="shared" si="97"/>
        <v>0.74142156862745101</v>
      </c>
      <c r="BM172" s="35">
        <f t="shared" si="98"/>
        <v>0.91754122938530736</v>
      </c>
      <c r="BN172" s="20">
        <v>2668</v>
      </c>
      <c r="BO172" s="27">
        <f t="shared" si="121"/>
        <v>220</v>
      </c>
      <c r="BP172" s="20">
        <v>2448</v>
      </c>
      <c r="BQ172" s="20">
        <v>1815</v>
      </c>
      <c r="BR172" s="20">
        <f t="shared" si="122"/>
        <v>633</v>
      </c>
      <c r="BS172" s="20"/>
      <c r="BT172" s="20"/>
      <c r="BU172" s="45">
        <v>2006</v>
      </c>
      <c r="BV172" s="48" t="s">
        <v>48</v>
      </c>
      <c r="BW172" s="35">
        <f t="shared" si="101"/>
        <v>0.7625925925925926</v>
      </c>
      <c r="BX172" s="35">
        <f t="shared" si="102"/>
        <v>0.80681818181818177</v>
      </c>
      <c r="BY172" s="35">
        <f t="shared" si="103"/>
        <v>0.94518518518518524</v>
      </c>
      <c r="BZ172" s="20">
        <v>2700</v>
      </c>
      <c r="CA172" s="27">
        <f t="shared" si="123"/>
        <v>148</v>
      </c>
      <c r="CB172" s="20">
        <v>2552</v>
      </c>
      <c r="CC172" s="20">
        <v>2059</v>
      </c>
      <c r="CD172" s="20">
        <f t="shared" si="124"/>
        <v>493</v>
      </c>
      <c r="CE172" s="20"/>
      <c r="CF172" s="20"/>
      <c r="CG172" s="45">
        <v>2006</v>
      </c>
      <c r="CH172" s="48" t="s">
        <v>48</v>
      </c>
      <c r="CI172" s="35">
        <f t="shared" si="58"/>
        <v>0.93640054127198913</v>
      </c>
      <c r="CJ172" s="35">
        <f t="shared" si="59"/>
        <v>0.96783216783216786</v>
      </c>
      <c r="CK172" s="35">
        <f t="shared" si="60"/>
        <v>0.96752368064952643</v>
      </c>
      <c r="CL172" s="20">
        <v>1478</v>
      </c>
      <c r="CM172" s="20">
        <f t="shared" si="61"/>
        <v>48</v>
      </c>
      <c r="CN172" s="20">
        <v>1430</v>
      </c>
      <c r="CO172" s="20">
        <v>1384</v>
      </c>
      <c r="CP172" s="20">
        <f t="shared" si="62"/>
        <v>46</v>
      </c>
      <c r="CQ172" s="20"/>
      <c r="CR172" s="20"/>
      <c r="CS172" s="45">
        <v>2006</v>
      </c>
      <c r="CT172" s="48" t="s">
        <v>48</v>
      </c>
      <c r="CU172" s="35">
        <f t="shared" si="106"/>
        <v>0.91176470588235292</v>
      </c>
      <c r="CV172" s="35">
        <f t="shared" si="107"/>
        <v>0.92438764643237492</v>
      </c>
      <c r="CW172" s="35">
        <f t="shared" si="108"/>
        <v>0.9863445378151261</v>
      </c>
      <c r="CX172" s="20">
        <v>952</v>
      </c>
      <c r="CY172" s="27">
        <f t="shared" si="125"/>
        <v>13</v>
      </c>
      <c r="CZ172" s="20">
        <v>939</v>
      </c>
      <c r="DA172" s="20">
        <v>868</v>
      </c>
      <c r="DB172" s="20">
        <f t="shared" si="126"/>
        <v>71</v>
      </c>
      <c r="DC172" s="20"/>
      <c r="DD172" s="20"/>
      <c r="DE172" s="45">
        <v>2006</v>
      </c>
      <c r="DF172" s="48" t="s">
        <v>48</v>
      </c>
      <c r="DG172" s="35">
        <f t="shared" si="111"/>
        <v>0.89597315436241609</v>
      </c>
      <c r="DH172" s="35">
        <f t="shared" si="112"/>
        <v>0.92627927146574152</v>
      </c>
      <c r="DI172" s="35">
        <f t="shared" si="113"/>
        <v>0.96728187919463082</v>
      </c>
      <c r="DJ172" s="20">
        <v>1192</v>
      </c>
      <c r="DK172" s="27">
        <f t="shared" si="127"/>
        <v>39</v>
      </c>
      <c r="DL172" s="20">
        <v>1153</v>
      </c>
      <c r="DM172" s="20">
        <v>1068</v>
      </c>
      <c r="DN172" s="20">
        <f t="shared" si="128"/>
        <v>85</v>
      </c>
      <c r="DO172" s="20"/>
      <c r="DP172" s="20"/>
      <c r="DQ172" s="45"/>
      <c r="DR172" s="48"/>
      <c r="DS172" s="35"/>
      <c r="DT172" s="35"/>
      <c r="DU172" s="35"/>
      <c r="DV172" s="20"/>
      <c r="DW172" s="20"/>
      <c r="DX172" s="20"/>
      <c r="DY172" s="20"/>
      <c r="DZ172" s="20"/>
      <c r="EA172" s="20"/>
      <c r="EB172" s="20"/>
    </row>
    <row r="173" spans="1:132" s="29" customFormat="1" ht="12.75">
      <c r="A173" s="46">
        <v>2006</v>
      </c>
      <c r="B173" s="47" t="s">
        <v>49</v>
      </c>
      <c r="C173" s="35">
        <f t="shared" si="73"/>
        <v>0.72416790224449101</v>
      </c>
      <c r="D173" s="35">
        <f t="shared" si="74"/>
        <v>0.77708893399901247</v>
      </c>
      <c r="E173" s="35">
        <f t="shared" si="75"/>
        <v>0.93189835881180016</v>
      </c>
      <c r="F17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19559</v>
      </c>
      <c r="G173" s="20">
        <f t="shared" si="76"/>
        <v>1332</v>
      </c>
      <c r="H17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18227</v>
      </c>
      <c r="I17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14164</v>
      </c>
      <c r="J173" s="20">
        <f t="shared" si="77"/>
        <v>4063</v>
      </c>
      <c r="K173" s="27"/>
      <c r="L173" s="27"/>
      <c r="M173" s="46">
        <v>2006</v>
      </c>
      <c r="N173" s="47" t="s">
        <v>49</v>
      </c>
      <c r="O173" s="35">
        <f t="shared" si="78"/>
        <v>0.71882399368587213</v>
      </c>
      <c r="P173" s="35">
        <f t="shared" si="79"/>
        <v>0.76086048454469513</v>
      </c>
      <c r="Q173" s="35">
        <f t="shared" si="80"/>
        <v>0.94475138121546964</v>
      </c>
      <c r="R173" s="20">
        <v>5068</v>
      </c>
      <c r="S173" s="27">
        <f t="shared" ref="S173" si="129">R173-T173</f>
        <v>280</v>
      </c>
      <c r="T173" s="20">
        <v>4788</v>
      </c>
      <c r="U173" s="20">
        <v>3643</v>
      </c>
      <c r="V173" s="20">
        <f t="shared" si="116"/>
        <v>1145</v>
      </c>
      <c r="W173" s="20"/>
      <c r="X173" s="20"/>
      <c r="Y173" s="46"/>
      <c r="Z173" s="47"/>
      <c r="AA173" s="35"/>
      <c r="AB173" s="35"/>
      <c r="AC173" s="35"/>
      <c r="AD173" s="20"/>
      <c r="AE173" s="27"/>
      <c r="AF173" s="20"/>
      <c r="AG173" s="20"/>
      <c r="AH173" s="20"/>
      <c r="AI173" s="20"/>
      <c r="AJ173" s="20"/>
      <c r="AK173" s="46">
        <v>2006</v>
      </c>
      <c r="AL173" s="47" t="s">
        <v>49</v>
      </c>
      <c r="AM173" s="35">
        <f t="shared" si="86"/>
        <v>0.76968463886063077</v>
      </c>
      <c r="AN173" s="35">
        <f t="shared" si="87"/>
        <v>0.80643785973140059</v>
      </c>
      <c r="AO173" s="35">
        <f t="shared" si="88"/>
        <v>0.95442522889114956</v>
      </c>
      <c r="AP173" s="20">
        <v>4915</v>
      </c>
      <c r="AQ173" s="27">
        <f t="shared" si="117"/>
        <v>224</v>
      </c>
      <c r="AR173" s="20">
        <v>4691</v>
      </c>
      <c r="AS173" s="20">
        <v>3783</v>
      </c>
      <c r="AT173" s="20">
        <f t="shared" si="118"/>
        <v>908</v>
      </c>
      <c r="AU173" s="20"/>
      <c r="AV173" s="20"/>
      <c r="AW173" s="46">
        <v>2006</v>
      </c>
      <c r="AX173" s="47" t="s">
        <v>49</v>
      </c>
      <c r="AY173" s="35">
        <f t="shared" si="91"/>
        <v>0.4627949183303085</v>
      </c>
      <c r="AZ173" s="35">
        <f t="shared" si="92"/>
        <v>0.60859188544152742</v>
      </c>
      <c r="BA173" s="35">
        <f t="shared" si="93"/>
        <v>0.76043557168784026</v>
      </c>
      <c r="BB173" s="20">
        <v>551</v>
      </c>
      <c r="BC173" s="27">
        <f t="shared" si="119"/>
        <v>132</v>
      </c>
      <c r="BD173" s="20">
        <v>419</v>
      </c>
      <c r="BE173" s="20">
        <v>255</v>
      </c>
      <c r="BF173" s="20">
        <f t="shared" si="120"/>
        <v>164</v>
      </c>
      <c r="BG173" s="20"/>
      <c r="BH173" s="20"/>
      <c r="BI173" s="46">
        <v>2006</v>
      </c>
      <c r="BJ173" s="47" t="s">
        <v>49</v>
      </c>
      <c r="BK173" s="35">
        <f t="shared" si="96"/>
        <v>0.48396831384383254</v>
      </c>
      <c r="BL173" s="35">
        <f t="shared" si="97"/>
        <v>0.5656966490299824</v>
      </c>
      <c r="BM173" s="35">
        <f t="shared" si="98"/>
        <v>0.85552621652206717</v>
      </c>
      <c r="BN173" s="20">
        <v>2651</v>
      </c>
      <c r="BO173" s="27">
        <f t="shared" si="121"/>
        <v>383</v>
      </c>
      <c r="BP173" s="20">
        <v>2268</v>
      </c>
      <c r="BQ173" s="20">
        <v>1283</v>
      </c>
      <c r="BR173" s="20">
        <f t="shared" si="122"/>
        <v>985</v>
      </c>
      <c r="BS173" s="20"/>
      <c r="BT173" s="20"/>
      <c r="BU173" s="46">
        <v>2006</v>
      </c>
      <c r="BV173" s="47" t="s">
        <v>49</v>
      </c>
      <c r="BW173" s="35">
        <f t="shared" si="101"/>
        <v>0.72306553128470941</v>
      </c>
      <c r="BX173" s="35">
        <f t="shared" si="102"/>
        <v>0.76950354609929073</v>
      </c>
      <c r="BY173" s="35">
        <f t="shared" si="103"/>
        <v>0.93965198074787115</v>
      </c>
      <c r="BZ173" s="20">
        <v>2701</v>
      </c>
      <c r="CA173" s="27">
        <f t="shared" si="123"/>
        <v>163</v>
      </c>
      <c r="CB173" s="20">
        <v>2538</v>
      </c>
      <c r="CC173" s="20">
        <v>1953</v>
      </c>
      <c r="CD173" s="20">
        <f t="shared" si="124"/>
        <v>585</v>
      </c>
      <c r="CE173" s="20"/>
      <c r="CF173" s="20"/>
      <c r="CG173" s="46">
        <v>2006</v>
      </c>
      <c r="CH173" s="47" t="s">
        <v>49</v>
      </c>
      <c r="CI173" s="35">
        <f t="shared" si="58"/>
        <v>0.90810074880871339</v>
      </c>
      <c r="CJ173" s="35">
        <f t="shared" si="59"/>
        <v>0.95490336435218326</v>
      </c>
      <c r="CK173" s="35">
        <f t="shared" si="60"/>
        <v>0.95098706603131378</v>
      </c>
      <c r="CL173" s="20">
        <v>1469</v>
      </c>
      <c r="CM173" s="20">
        <f t="shared" si="61"/>
        <v>72</v>
      </c>
      <c r="CN173" s="20">
        <v>1397</v>
      </c>
      <c r="CO173" s="20">
        <v>1334</v>
      </c>
      <c r="CP173" s="20">
        <f t="shared" si="62"/>
        <v>63</v>
      </c>
      <c r="CQ173" s="20"/>
      <c r="CR173" s="20"/>
      <c r="CS173" s="46">
        <v>2006</v>
      </c>
      <c r="CT173" s="47" t="s">
        <v>49</v>
      </c>
      <c r="CU173" s="35">
        <f t="shared" si="106"/>
        <v>0.84560327198364005</v>
      </c>
      <c r="CV173" s="35">
        <f t="shared" si="107"/>
        <v>0.87420718816067655</v>
      </c>
      <c r="CW173" s="35">
        <f t="shared" si="108"/>
        <v>0.96728016359918201</v>
      </c>
      <c r="CX173" s="20">
        <v>978</v>
      </c>
      <c r="CY173" s="27">
        <f t="shared" si="125"/>
        <v>32</v>
      </c>
      <c r="CZ173" s="20">
        <v>946</v>
      </c>
      <c r="DA173" s="20">
        <v>827</v>
      </c>
      <c r="DB173" s="20">
        <f t="shared" si="126"/>
        <v>119</v>
      </c>
      <c r="DC173" s="20"/>
      <c r="DD173" s="20"/>
      <c r="DE173" s="46">
        <v>2006</v>
      </c>
      <c r="DF173" s="47" t="s">
        <v>49</v>
      </c>
      <c r="DG173" s="35">
        <f t="shared" si="111"/>
        <v>0.88580750407830344</v>
      </c>
      <c r="DH173" s="35">
        <f t="shared" si="112"/>
        <v>0.92033898305084749</v>
      </c>
      <c r="DI173" s="35">
        <f t="shared" si="113"/>
        <v>0.96247960848287117</v>
      </c>
      <c r="DJ173" s="20">
        <v>1226</v>
      </c>
      <c r="DK173" s="27">
        <f t="shared" si="127"/>
        <v>46</v>
      </c>
      <c r="DL173" s="20">
        <v>1180</v>
      </c>
      <c r="DM173" s="20">
        <v>1086</v>
      </c>
      <c r="DN173" s="20">
        <f t="shared" si="128"/>
        <v>94</v>
      </c>
      <c r="DO173" s="20"/>
      <c r="DP173" s="20"/>
      <c r="DQ173" s="46"/>
      <c r="DR173" s="47"/>
      <c r="DS173" s="35"/>
      <c r="DT173" s="35"/>
      <c r="DU173" s="35"/>
      <c r="DV173" s="20"/>
      <c r="DW173" s="20"/>
      <c r="DX173" s="20"/>
      <c r="DY173" s="20"/>
      <c r="DZ173" s="20"/>
      <c r="EA173" s="20"/>
      <c r="EB173" s="20"/>
    </row>
    <row r="174" spans="1:132" s="29" customFormat="1" ht="12.75">
      <c r="A174" s="45">
        <v>2007</v>
      </c>
      <c r="B174" s="48" t="s">
        <v>38</v>
      </c>
      <c r="C174" s="35">
        <f t="shared" si="73"/>
        <v>0.75917261758187637</v>
      </c>
      <c r="D174" s="35">
        <f t="shared" si="74"/>
        <v>0.81478936518843492</v>
      </c>
      <c r="E174" s="35">
        <f t="shared" si="75"/>
        <v>0.93174095050480177</v>
      </c>
      <c r="F17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74" s="20">
        <f t="shared" si="76"/>
        <v>1386</v>
      </c>
      <c r="H17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18919</v>
      </c>
      <c r="I17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15415</v>
      </c>
      <c r="J174" s="20">
        <f t="shared" si="77"/>
        <v>3504</v>
      </c>
      <c r="K174" s="27"/>
      <c r="L174" s="27"/>
      <c r="M174" s="45">
        <v>2007</v>
      </c>
      <c r="N174" s="48" t="s">
        <v>38</v>
      </c>
      <c r="O174" s="35">
        <f t="shared" si="78"/>
        <v>0.78648088872152133</v>
      </c>
      <c r="P174" s="35">
        <f t="shared" si="79"/>
        <v>0.82942811755361401</v>
      </c>
      <c r="Q174" s="35">
        <f t="shared" si="80"/>
        <v>0.94822067407267929</v>
      </c>
      <c r="R174" s="20">
        <v>5311</v>
      </c>
      <c r="S174" s="27">
        <f t="shared" ref="S174:S185" si="130">R174-T174</f>
        <v>275</v>
      </c>
      <c r="T174" s="20">
        <v>5036</v>
      </c>
      <c r="U174" s="20">
        <v>4177</v>
      </c>
      <c r="V174" s="20">
        <f t="shared" ref="V174:V185" si="131">T174-U174</f>
        <v>859</v>
      </c>
      <c r="W174" s="20"/>
      <c r="X174" s="20"/>
      <c r="Y174" s="45"/>
      <c r="Z174" s="48"/>
      <c r="AA174" s="35"/>
      <c r="AB174" s="35"/>
      <c r="AC174" s="35"/>
      <c r="AD174" s="20"/>
      <c r="AE174" s="27"/>
      <c r="AF174" s="20"/>
      <c r="AG174" s="20"/>
      <c r="AH174" s="20"/>
      <c r="AI174" s="20"/>
      <c r="AJ174" s="20"/>
      <c r="AK174" s="45">
        <v>2007</v>
      </c>
      <c r="AL174" s="48" t="s">
        <v>38</v>
      </c>
      <c r="AM174" s="35">
        <f t="shared" si="86"/>
        <v>0.78142076502732238</v>
      </c>
      <c r="AN174" s="35">
        <f t="shared" si="87"/>
        <v>0.84365781710914456</v>
      </c>
      <c r="AO174" s="35">
        <f t="shared" si="88"/>
        <v>0.92622950819672134</v>
      </c>
      <c r="AP174" s="20">
        <v>5124</v>
      </c>
      <c r="AQ174" s="27">
        <f t="shared" ref="AQ174:AQ185" si="132">AP174-AR174</f>
        <v>378</v>
      </c>
      <c r="AR174" s="20">
        <v>4746</v>
      </c>
      <c r="AS174" s="20">
        <v>4004</v>
      </c>
      <c r="AT174" s="20">
        <f t="shared" ref="AT174:AT185" si="133">AR174-AS174</f>
        <v>742</v>
      </c>
      <c r="AU174" s="20"/>
      <c r="AV174" s="20"/>
      <c r="AW174" s="45">
        <v>2007</v>
      </c>
      <c r="AX174" s="48" t="s">
        <v>38</v>
      </c>
      <c r="AY174" s="35">
        <f t="shared" si="91"/>
        <v>0.48746081504702193</v>
      </c>
      <c r="AZ174" s="35">
        <f t="shared" si="92"/>
        <v>0.69730941704035876</v>
      </c>
      <c r="BA174" s="35">
        <f t="shared" si="93"/>
        <v>0.69905956112852663</v>
      </c>
      <c r="BB174" s="20">
        <v>638</v>
      </c>
      <c r="BC174" s="27">
        <f t="shared" ref="BC174:BC185" si="134">BB174-BD174</f>
        <v>192</v>
      </c>
      <c r="BD174" s="20">
        <v>446</v>
      </c>
      <c r="BE174" s="20">
        <v>311</v>
      </c>
      <c r="BF174" s="20">
        <f t="shared" ref="BF174:BF185" si="135">BD174-BE174</f>
        <v>135</v>
      </c>
      <c r="BG174" s="20"/>
      <c r="BH174" s="20"/>
      <c r="BI174" s="45">
        <v>2007</v>
      </c>
      <c r="BJ174" s="48" t="s">
        <v>38</v>
      </c>
      <c r="BK174" s="35">
        <f t="shared" si="96"/>
        <v>0.54242867593269939</v>
      </c>
      <c r="BL174" s="35">
        <f t="shared" si="97"/>
        <v>0.59919191919191916</v>
      </c>
      <c r="BM174" s="35">
        <f t="shared" si="98"/>
        <v>0.90526700804681781</v>
      </c>
      <c r="BN174" s="20">
        <v>2734</v>
      </c>
      <c r="BO174" s="27">
        <f t="shared" ref="BO174:BO185" si="136">BN174-BP174</f>
        <v>259</v>
      </c>
      <c r="BP174" s="20">
        <v>2475</v>
      </c>
      <c r="BQ174" s="20">
        <v>1483</v>
      </c>
      <c r="BR174" s="20">
        <f t="shared" ref="BR174:BR185" si="137">BP174-BQ174</f>
        <v>992</v>
      </c>
      <c r="BS174" s="20"/>
      <c r="BT174" s="20"/>
      <c r="BU174" s="45">
        <v>2007</v>
      </c>
      <c r="BV174" s="48" t="s">
        <v>38</v>
      </c>
      <c r="BW174" s="35">
        <f t="shared" si="101"/>
        <v>0.74774449657163478</v>
      </c>
      <c r="BX174" s="35">
        <f t="shared" si="102"/>
        <v>0.79083969465648851</v>
      </c>
      <c r="BY174" s="35">
        <f t="shared" si="103"/>
        <v>0.94550703717069651</v>
      </c>
      <c r="BZ174" s="20">
        <v>2771</v>
      </c>
      <c r="CA174" s="27">
        <f t="shared" ref="CA174:CA185" si="138">BZ174-CB174</f>
        <v>151</v>
      </c>
      <c r="CB174" s="20">
        <v>2620</v>
      </c>
      <c r="CC174" s="20">
        <v>2072</v>
      </c>
      <c r="CD174" s="20">
        <f t="shared" ref="CD174:CD185" si="139">CB174-CC174</f>
        <v>548</v>
      </c>
      <c r="CE174" s="20"/>
      <c r="CF174" s="20"/>
      <c r="CG174" s="45">
        <v>2007</v>
      </c>
      <c r="CH174" s="48" t="s">
        <v>38</v>
      </c>
      <c r="CI174" s="35">
        <f t="shared" si="58"/>
        <v>0.94059405940594054</v>
      </c>
      <c r="CJ174" s="35">
        <f t="shared" si="59"/>
        <v>0.97803706245710365</v>
      </c>
      <c r="CK174" s="35">
        <f t="shared" si="60"/>
        <v>0.96171617161716172</v>
      </c>
      <c r="CL174" s="20">
        <v>1515</v>
      </c>
      <c r="CM174" s="20">
        <f t="shared" si="61"/>
        <v>58</v>
      </c>
      <c r="CN174" s="20">
        <v>1457</v>
      </c>
      <c r="CO174" s="20">
        <v>1425</v>
      </c>
      <c r="CP174" s="20">
        <f t="shared" si="62"/>
        <v>32</v>
      </c>
      <c r="CQ174" s="20"/>
      <c r="CR174" s="20"/>
      <c r="CS174" s="45">
        <v>2007</v>
      </c>
      <c r="CT174" s="48" t="s">
        <v>38</v>
      </c>
      <c r="CU174" s="35">
        <f t="shared" si="106"/>
        <v>0.87780040733197551</v>
      </c>
      <c r="CV174" s="35">
        <f t="shared" si="107"/>
        <v>0.90073145245559039</v>
      </c>
      <c r="CW174" s="35">
        <f t="shared" si="108"/>
        <v>0.97454175152749489</v>
      </c>
      <c r="CX174" s="20">
        <v>982</v>
      </c>
      <c r="CY174" s="27">
        <f t="shared" ref="CY174:CY185" si="140">CX174-CZ174</f>
        <v>25</v>
      </c>
      <c r="CZ174" s="20">
        <v>957</v>
      </c>
      <c r="DA174" s="20">
        <v>862</v>
      </c>
      <c r="DB174" s="20">
        <f t="shared" ref="DB174:DB185" si="141">CZ174-DA174</f>
        <v>95</v>
      </c>
      <c r="DC174" s="20"/>
      <c r="DD174" s="20"/>
      <c r="DE174" s="45">
        <v>2007</v>
      </c>
      <c r="DF174" s="48" t="s">
        <v>38</v>
      </c>
      <c r="DG174" s="35">
        <f t="shared" si="111"/>
        <v>0.87886178861788622</v>
      </c>
      <c r="DH174" s="35">
        <f t="shared" si="112"/>
        <v>0.91455160744500841</v>
      </c>
      <c r="DI174" s="35">
        <f t="shared" si="113"/>
        <v>0.96097560975609753</v>
      </c>
      <c r="DJ174" s="20">
        <v>1230</v>
      </c>
      <c r="DK174" s="27">
        <f t="shared" ref="DK174:DK185" si="142">DJ174-DL174</f>
        <v>48</v>
      </c>
      <c r="DL174" s="20">
        <v>1182</v>
      </c>
      <c r="DM174" s="20">
        <v>1081</v>
      </c>
      <c r="DN174" s="20">
        <f t="shared" ref="DN174:DN185" si="143">DL174-DM174</f>
        <v>101</v>
      </c>
      <c r="DO174" s="20"/>
      <c r="DP174" s="20"/>
      <c r="DQ174" s="45"/>
      <c r="DR174" s="48"/>
      <c r="DS174" s="35"/>
      <c r="DT174" s="35"/>
      <c r="DU174" s="35"/>
      <c r="DV174" s="20"/>
      <c r="DW174" s="20"/>
      <c r="DX174" s="20"/>
      <c r="DY174" s="20"/>
      <c r="DZ174" s="20"/>
      <c r="EA174" s="20"/>
      <c r="EB174" s="20"/>
    </row>
    <row r="175" spans="1:132" s="29" customFormat="1" ht="12.75">
      <c r="A175" s="46">
        <v>2007</v>
      </c>
      <c r="B175" s="47" t="s">
        <v>39</v>
      </c>
      <c r="C175" s="35">
        <f t="shared" si="73"/>
        <v>0.68281962231387017</v>
      </c>
      <c r="D175" s="35">
        <f t="shared" si="74"/>
        <v>0.7375300392708517</v>
      </c>
      <c r="E175" s="35">
        <f t="shared" si="75"/>
        <v>0.92581940525287609</v>
      </c>
      <c r="F17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G175" s="20">
        <f t="shared" si="76"/>
        <v>1367</v>
      </c>
      <c r="H17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17061</v>
      </c>
      <c r="I17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12583</v>
      </c>
      <c r="J175" s="20">
        <f t="shared" si="77"/>
        <v>4478</v>
      </c>
      <c r="K175" s="27"/>
      <c r="L175" s="27"/>
      <c r="M175" s="46">
        <v>2007</v>
      </c>
      <c r="N175" s="47" t="s">
        <v>39</v>
      </c>
      <c r="O175" s="35">
        <f t="shared" si="78"/>
        <v>0.75248344370860931</v>
      </c>
      <c r="P175" s="35">
        <f t="shared" si="79"/>
        <v>0.792156862745098</v>
      </c>
      <c r="Q175" s="35">
        <f t="shared" si="80"/>
        <v>0.94991721854304634</v>
      </c>
      <c r="R175" s="20">
        <v>4832</v>
      </c>
      <c r="S175" s="27">
        <f t="shared" si="130"/>
        <v>242</v>
      </c>
      <c r="T175" s="20">
        <v>4590</v>
      </c>
      <c r="U175" s="20">
        <v>3636</v>
      </c>
      <c r="V175" s="20">
        <f t="shared" si="131"/>
        <v>954</v>
      </c>
      <c r="W175" s="20"/>
      <c r="X175" s="20"/>
      <c r="Y175" s="46"/>
      <c r="Z175" s="47"/>
      <c r="AA175" s="35"/>
      <c r="AB175" s="35"/>
      <c r="AC175" s="35"/>
      <c r="AD175" s="20"/>
      <c r="AE175" s="27"/>
      <c r="AF175" s="20"/>
      <c r="AG175" s="20"/>
      <c r="AH175" s="20"/>
      <c r="AI175" s="20"/>
      <c r="AJ175" s="20"/>
      <c r="AK175" s="46">
        <v>2007</v>
      </c>
      <c r="AL175" s="47" t="s">
        <v>39</v>
      </c>
      <c r="AM175" s="35">
        <f t="shared" si="86"/>
        <v>0.76824034334763946</v>
      </c>
      <c r="AN175" s="35">
        <f t="shared" si="87"/>
        <v>0.82072443833104081</v>
      </c>
      <c r="AO175" s="35">
        <f t="shared" si="88"/>
        <v>0.9360515021459227</v>
      </c>
      <c r="AP175" s="20">
        <v>4660</v>
      </c>
      <c r="AQ175" s="27">
        <f t="shared" si="132"/>
        <v>298</v>
      </c>
      <c r="AR175" s="20">
        <v>4362</v>
      </c>
      <c r="AS175" s="20">
        <v>3580</v>
      </c>
      <c r="AT175" s="20">
        <f t="shared" si="133"/>
        <v>782</v>
      </c>
      <c r="AU175" s="20"/>
      <c r="AV175" s="20"/>
      <c r="AW175" s="46">
        <v>2007</v>
      </c>
      <c r="AX175" s="47" t="s">
        <v>39</v>
      </c>
      <c r="AY175" s="35">
        <f t="shared" si="91"/>
        <v>0.53965517241379313</v>
      </c>
      <c r="AZ175" s="35">
        <f t="shared" si="92"/>
        <v>0.75240384615384615</v>
      </c>
      <c r="BA175" s="35">
        <f t="shared" si="93"/>
        <v>0.71724137931034482</v>
      </c>
      <c r="BB175" s="20">
        <v>580</v>
      </c>
      <c r="BC175" s="27">
        <f t="shared" si="134"/>
        <v>164</v>
      </c>
      <c r="BD175" s="20">
        <v>416</v>
      </c>
      <c r="BE175" s="20">
        <v>313</v>
      </c>
      <c r="BF175" s="20">
        <f t="shared" si="135"/>
        <v>103</v>
      </c>
      <c r="BG175" s="20"/>
      <c r="BH175" s="20"/>
      <c r="BI175" s="46">
        <v>2007</v>
      </c>
      <c r="BJ175" s="47" t="s">
        <v>39</v>
      </c>
      <c r="BK175" s="35">
        <f t="shared" si="96"/>
        <v>0.12116316639741519</v>
      </c>
      <c r="BL175" s="35">
        <f t="shared" si="97"/>
        <v>0.14548981571290009</v>
      </c>
      <c r="BM175" s="35">
        <f t="shared" si="98"/>
        <v>0.8327948303715671</v>
      </c>
      <c r="BN175" s="20">
        <v>2476</v>
      </c>
      <c r="BO175" s="27">
        <f t="shared" si="136"/>
        <v>414</v>
      </c>
      <c r="BP175" s="20">
        <v>2062</v>
      </c>
      <c r="BQ175" s="20">
        <v>300</v>
      </c>
      <c r="BR175" s="20">
        <f t="shared" si="137"/>
        <v>1762</v>
      </c>
      <c r="BS175" s="20"/>
      <c r="BT175" s="20"/>
      <c r="BU175" s="46">
        <v>2007</v>
      </c>
      <c r="BV175" s="47" t="s">
        <v>39</v>
      </c>
      <c r="BW175" s="35">
        <f t="shared" si="101"/>
        <v>0.67783094098883567</v>
      </c>
      <c r="BX175" s="35">
        <f t="shared" si="102"/>
        <v>0.71699704765921557</v>
      </c>
      <c r="BY175" s="35">
        <f t="shared" si="103"/>
        <v>0.94537480063795853</v>
      </c>
      <c r="BZ175" s="20">
        <v>2508</v>
      </c>
      <c r="CA175" s="27">
        <f t="shared" si="138"/>
        <v>137</v>
      </c>
      <c r="CB175" s="20">
        <v>2371</v>
      </c>
      <c r="CC175" s="20">
        <v>1700</v>
      </c>
      <c r="CD175" s="20">
        <f t="shared" si="139"/>
        <v>671</v>
      </c>
      <c r="CE175" s="20"/>
      <c r="CF175" s="20"/>
      <c r="CG175" s="46">
        <v>2007</v>
      </c>
      <c r="CH175" s="47" t="s">
        <v>39</v>
      </c>
      <c r="CI175" s="35">
        <f t="shared" si="58"/>
        <v>0.89504373177842567</v>
      </c>
      <c r="CJ175" s="35">
        <f t="shared" si="59"/>
        <v>0.93668954996186116</v>
      </c>
      <c r="CK175" s="35">
        <f t="shared" si="60"/>
        <v>0.95553935860058314</v>
      </c>
      <c r="CL175" s="20">
        <v>1372</v>
      </c>
      <c r="CM175" s="20">
        <f t="shared" si="61"/>
        <v>61</v>
      </c>
      <c r="CN175" s="20">
        <v>1311</v>
      </c>
      <c r="CO175" s="20">
        <v>1228</v>
      </c>
      <c r="CP175" s="20">
        <f t="shared" si="62"/>
        <v>83</v>
      </c>
      <c r="CQ175" s="20"/>
      <c r="CR175" s="20"/>
      <c r="CS175" s="46">
        <v>2007</v>
      </c>
      <c r="CT175" s="47" t="s">
        <v>39</v>
      </c>
      <c r="CU175" s="35">
        <f t="shared" si="106"/>
        <v>0.88063063063063063</v>
      </c>
      <c r="CV175" s="35">
        <f t="shared" si="107"/>
        <v>0.90930232558139534</v>
      </c>
      <c r="CW175" s="35">
        <f t="shared" si="108"/>
        <v>0.96846846846846846</v>
      </c>
      <c r="CX175" s="20">
        <v>888</v>
      </c>
      <c r="CY175" s="27">
        <f t="shared" si="140"/>
        <v>28</v>
      </c>
      <c r="CZ175" s="20">
        <v>860</v>
      </c>
      <c r="DA175" s="20">
        <v>782</v>
      </c>
      <c r="DB175" s="20">
        <f t="shared" si="141"/>
        <v>78</v>
      </c>
      <c r="DC175" s="20"/>
      <c r="DD175" s="20"/>
      <c r="DE175" s="46">
        <v>2007</v>
      </c>
      <c r="DF175" s="47" t="s">
        <v>39</v>
      </c>
      <c r="DG175" s="35">
        <f t="shared" si="111"/>
        <v>0.9388489208633094</v>
      </c>
      <c r="DH175" s="35">
        <f t="shared" si="112"/>
        <v>0.95867768595041325</v>
      </c>
      <c r="DI175" s="35">
        <f t="shared" si="113"/>
        <v>0.97931654676258995</v>
      </c>
      <c r="DJ175" s="20">
        <v>1112</v>
      </c>
      <c r="DK175" s="27">
        <f t="shared" si="142"/>
        <v>23</v>
      </c>
      <c r="DL175" s="20">
        <v>1089</v>
      </c>
      <c r="DM175" s="20">
        <v>1044</v>
      </c>
      <c r="DN175" s="20">
        <f t="shared" si="143"/>
        <v>45</v>
      </c>
      <c r="DO175" s="20"/>
      <c r="DP175" s="20"/>
      <c r="DQ175" s="46"/>
      <c r="DR175" s="47"/>
      <c r="DS175" s="35"/>
      <c r="DT175" s="35"/>
      <c r="DU175" s="35"/>
      <c r="DV175" s="20"/>
      <c r="DW175" s="20"/>
      <c r="DX175" s="20"/>
      <c r="DY175" s="20"/>
      <c r="DZ175" s="20"/>
      <c r="EA175" s="20"/>
      <c r="EB175" s="20"/>
    </row>
    <row r="176" spans="1:132" s="29" customFormat="1" ht="12.75">
      <c r="A176" s="45">
        <v>2007</v>
      </c>
      <c r="B176" s="48" t="s">
        <v>40</v>
      </c>
      <c r="C176" s="35">
        <f t="shared" si="73"/>
        <v>0.65180989903964537</v>
      </c>
      <c r="D176" s="35">
        <f t="shared" si="74"/>
        <v>0.70919515593184013</v>
      </c>
      <c r="E176" s="35">
        <f t="shared" si="75"/>
        <v>0.91908396946564885</v>
      </c>
      <c r="F17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76" s="20">
        <f t="shared" si="76"/>
        <v>1643</v>
      </c>
      <c r="H17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18662</v>
      </c>
      <c r="I17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13235</v>
      </c>
      <c r="J176" s="20">
        <f t="shared" si="77"/>
        <v>5427</v>
      </c>
      <c r="K176" s="27"/>
      <c r="L176" s="27"/>
      <c r="M176" s="45">
        <v>2007</v>
      </c>
      <c r="N176" s="48" t="s">
        <v>40</v>
      </c>
      <c r="O176" s="35">
        <f t="shared" si="78"/>
        <v>0.72434569760873657</v>
      </c>
      <c r="P176" s="35">
        <f t="shared" si="79"/>
        <v>0.75832840528287004</v>
      </c>
      <c r="Q176" s="35">
        <f t="shared" si="80"/>
        <v>0.95518734701562791</v>
      </c>
      <c r="R176" s="20">
        <v>5311</v>
      </c>
      <c r="S176" s="27">
        <f t="shared" si="130"/>
        <v>238</v>
      </c>
      <c r="T176" s="20">
        <v>5073</v>
      </c>
      <c r="U176" s="20">
        <v>3847</v>
      </c>
      <c r="V176" s="20">
        <f t="shared" si="131"/>
        <v>1226</v>
      </c>
      <c r="W176" s="20"/>
      <c r="X176" s="20"/>
      <c r="Y176" s="45"/>
      <c r="Z176" s="48"/>
      <c r="AA176" s="35"/>
      <c r="AB176" s="35"/>
      <c r="AC176" s="35"/>
      <c r="AD176" s="20"/>
      <c r="AE176" s="27"/>
      <c r="AF176" s="20"/>
      <c r="AG176" s="20"/>
      <c r="AH176" s="20"/>
      <c r="AI176" s="20"/>
      <c r="AJ176" s="20"/>
      <c r="AK176" s="45">
        <v>2007</v>
      </c>
      <c r="AL176" s="48" t="s">
        <v>40</v>
      </c>
      <c r="AM176" s="35">
        <f t="shared" si="86"/>
        <v>0.75487900078064007</v>
      </c>
      <c r="AN176" s="35">
        <f t="shared" si="87"/>
        <v>0.81311751103636742</v>
      </c>
      <c r="AO176" s="35">
        <f t="shared" si="88"/>
        <v>0.92837626854020294</v>
      </c>
      <c r="AP176" s="20">
        <v>5124</v>
      </c>
      <c r="AQ176" s="27">
        <f t="shared" si="132"/>
        <v>367</v>
      </c>
      <c r="AR176" s="20">
        <v>4757</v>
      </c>
      <c r="AS176" s="20">
        <v>3868</v>
      </c>
      <c r="AT176" s="20">
        <f t="shared" si="133"/>
        <v>889</v>
      </c>
      <c r="AU176" s="20"/>
      <c r="AV176" s="20"/>
      <c r="AW176" s="45">
        <v>2007</v>
      </c>
      <c r="AX176" s="48" t="s">
        <v>40</v>
      </c>
      <c r="AY176" s="35">
        <f t="shared" si="91"/>
        <v>0.46081504702194359</v>
      </c>
      <c r="AZ176" s="35">
        <f t="shared" si="92"/>
        <v>0.65478841870824056</v>
      </c>
      <c r="BA176" s="35">
        <f t="shared" si="93"/>
        <v>0.70376175548589337</v>
      </c>
      <c r="BB176" s="20">
        <v>638</v>
      </c>
      <c r="BC176" s="27">
        <f t="shared" si="134"/>
        <v>189</v>
      </c>
      <c r="BD176" s="20">
        <v>449</v>
      </c>
      <c r="BE176" s="20">
        <v>294</v>
      </c>
      <c r="BF176" s="20">
        <f t="shared" si="135"/>
        <v>155</v>
      </c>
      <c r="BG176" s="20"/>
      <c r="BH176" s="20"/>
      <c r="BI176" s="45">
        <v>2007</v>
      </c>
      <c r="BJ176" s="48" t="s">
        <v>40</v>
      </c>
      <c r="BK176" s="35">
        <f t="shared" si="96"/>
        <v>7.9370885149963419E-2</v>
      </c>
      <c r="BL176" s="35">
        <f t="shared" si="97"/>
        <v>9.8457350272232305E-2</v>
      </c>
      <c r="BM176" s="35">
        <f t="shared" si="98"/>
        <v>0.8061448427212875</v>
      </c>
      <c r="BN176" s="20">
        <v>2734</v>
      </c>
      <c r="BO176" s="27">
        <f t="shared" si="136"/>
        <v>530</v>
      </c>
      <c r="BP176" s="20">
        <v>2204</v>
      </c>
      <c r="BQ176" s="20">
        <v>217</v>
      </c>
      <c r="BR176" s="20">
        <f t="shared" si="137"/>
        <v>1987</v>
      </c>
      <c r="BS176" s="20"/>
      <c r="BT176" s="20"/>
      <c r="BU176" s="45">
        <v>2007</v>
      </c>
      <c r="BV176" s="48" t="s">
        <v>40</v>
      </c>
      <c r="BW176" s="35">
        <f t="shared" si="101"/>
        <v>0.60952724648141465</v>
      </c>
      <c r="BX176" s="35">
        <f t="shared" si="102"/>
        <v>0.65541327124563442</v>
      </c>
      <c r="BY176" s="35">
        <f t="shared" si="103"/>
        <v>0.92998917358354383</v>
      </c>
      <c r="BZ176" s="20">
        <v>2771</v>
      </c>
      <c r="CA176" s="27">
        <f t="shared" si="138"/>
        <v>194</v>
      </c>
      <c r="CB176" s="20">
        <v>2577</v>
      </c>
      <c r="CC176" s="20">
        <v>1689</v>
      </c>
      <c r="CD176" s="20">
        <f t="shared" si="139"/>
        <v>888</v>
      </c>
      <c r="CE176" s="20"/>
      <c r="CF176" s="20"/>
      <c r="CG176" s="45">
        <v>2007</v>
      </c>
      <c r="CH176" s="48" t="s">
        <v>40</v>
      </c>
      <c r="CI176" s="35">
        <f t="shared" si="58"/>
        <v>0.89306930693069309</v>
      </c>
      <c r="CJ176" s="35">
        <f t="shared" si="59"/>
        <v>0.92103471749489452</v>
      </c>
      <c r="CK176" s="35">
        <f t="shared" si="60"/>
        <v>0.96963696369636965</v>
      </c>
      <c r="CL176" s="20">
        <v>1515</v>
      </c>
      <c r="CM176" s="20">
        <f t="shared" si="61"/>
        <v>46</v>
      </c>
      <c r="CN176" s="20">
        <v>1469</v>
      </c>
      <c r="CO176" s="20">
        <v>1353</v>
      </c>
      <c r="CP176" s="20">
        <f t="shared" si="62"/>
        <v>116</v>
      </c>
      <c r="CQ176" s="20"/>
      <c r="CR176" s="20"/>
      <c r="CS176" s="45">
        <v>2007</v>
      </c>
      <c r="CT176" s="48" t="s">
        <v>40</v>
      </c>
      <c r="CU176" s="35">
        <f t="shared" si="106"/>
        <v>0.88187372708757639</v>
      </c>
      <c r="CV176" s="35">
        <f t="shared" si="107"/>
        <v>0.90302398331595413</v>
      </c>
      <c r="CW176" s="35">
        <f t="shared" si="108"/>
        <v>0.97657841140529533</v>
      </c>
      <c r="CX176" s="20">
        <v>982</v>
      </c>
      <c r="CY176" s="27">
        <f t="shared" si="140"/>
        <v>23</v>
      </c>
      <c r="CZ176" s="20">
        <v>959</v>
      </c>
      <c r="DA176" s="20">
        <v>866</v>
      </c>
      <c r="DB176" s="20">
        <f t="shared" si="141"/>
        <v>93</v>
      </c>
      <c r="DC176" s="20"/>
      <c r="DD176" s="20"/>
      <c r="DE176" s="45">
        <v>2007</v>
      </c>
      <c r="DF176" s="48" t="s">
        <v>40</v>
      </c>
      <c r="DG176" s="35">
        <f t="shared" si="111"/>
        <v>0.89512195121951221</v>
      </c>
      <c r="DH176" s="35">
        <f t="shared" si="112"/>
        <v>0.93781942078364566</v>
      </c>
      <c r="DI176" s="35">
        <f t="shared" si="113"/>
        <v>0.95447154471544715</v>
      </c>
      <c r="DJ176" s="20">
        <v>1230</v>
      </c>
      <c r="DK176" s="27">
        <f t="shared" si="142"/>
        <v>56</v>
      </c>
      <c r="DL176" s="20">
        <v>1174</v>
      </c>
      <c r="DM176" s="20">
        <v>1101</v>
      </c>
      <c r="DN176" s="20">
        <f t="shared" si="143"/>
        <v>73</v>
      </c>
      <c r="DO176" s="20"/>
      <c r="DP176" s="20"/>
      <c r="DQ176" s="45"/>
      <c r="DR176" s="48"/>
      <c r="DS176" s="35"/>
      <c r="DT176" s="35"/>
      <c r="DU176" s="35"/>
      <c r="DV176" s="20"/>
      <c r="DW176" s="20"/>
      <c r="DX176" s="20"/>
      <c r="DY176" s="20"/>
      <c r="DZ176" s="20"/>
      <c r="EA176" s="20"/>
      <c r="EB176" s="20"/>
    </row>
    <row r="177" spans="1:132" s="29" customFormat="1" ht="12.75">
      <c r="A177" s="46">
        <v>2007</v>
      </c>
      <c r="B177" s="47" t="s">
        <v>41</v>
      </c>
      <c r="C177" s="35">
        <f t="shared" si="73"/>
        <v>0.61606484893146651</v>
      </c>
      <c r="D177" s="35">
        <f t="shared" si="74"/>
        <v>0.67629723795215535</v>
      </c>
      <c r="E177" s="35">
        <f t="shared" si="75"/>
        <v>0.9109379934729972</v>
      </c>
      <c r="F17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18998</v>
      </c>
      <c r="G177" s="20">
        <f t="shared" si="76"/>
        <v>1692</v>
      </c>
      <c r="H17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17306</v>
      </c>
      <c r="I17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11704</v>
      </c>
      <c r="J177" s="20">
        <f t="shared" si="77"/>
        <v>5602</v>
      </c>
      <c r="K177" s="27"/>
      <c r="L177" s="27"/>
      <c r="M177" s="46">
        <v>2007</v>
      </c>
      <c r="N177" s="47" t="s">
        <v>41</v>
      </c>
      <c r="O177" s="35">
        <f t="shared" si="78"/>
        <v>0.68666124440829601</v>
      </c>
      <c r="P177" s="35">
        <f t="shared" si="79"/>
        <v>0.72050352037550669</v>
      </c>
      <c r="Q177" s="35">
        <f t="shared" si="80"/>
        <v>0.95302968686457912</v>
      </c>
      <c r="R177" s="20">
        <v>4918</v>
      </c>
      <c r="S177" s="27">
        <f t="shared" si="130"/>
        <v>231</v>
      </c>
      <c r="T177" s="20">
        <v>4687</v>
      </c>
      <c r="U177" s="20">
        <v>3377</v>
      </c>
      <c r="V177" s="20">
        <f t="shared" si="131"/>
        <v>1310</v>
      </c>
      <c r="W177" s="20"/>
      <c r="X177" s="20"/>
      <c r="Y177" s="46"/>
      <c r="Z177" s="47"/>
      <c r="AA177" s="35"/>
      <c r="AB177" s="35"/>
      <c r="AC177" s="35"/>
      <c r="AD177" s="20"/>
      <c r="AE177" s="27"/>
      <c r="AF177" s="20"/>
      <c r="AG177" s="20"/>
      <c r="AH177" s="20"/>
      <c r="AI177" s="20"/>
      <c r="AJ177" s="20"/>
      <c r="AK177" s="46">
        <v>2007</v>
      </c>
      <c r="AL177" s="47" t="s">
        <v>41</v>
      </c>
      <c r="AM177" s="35">
        <f t="shared" si="86"/>
        <v>0.71515533165407219</v>
      </c>
      <c r="AN177" s="35">
        <f t="shared" si="87"/>
        <v>0.77098891151844307</v>
      </c>
      <c r="AO177" s="35">
        <f t="shared" si="88"/>
        <v>0.92758186397984888</v>
      </c>
      <c r="AP177" s="20">
        <v>4764</v>
      </c>
      <c r="AQ177" s="27">
        <f t="shared" si="132"/>
        <v>345</v>
      </c>
      <c r="AR177" s="20">
        <v>4419</v>
      </c>
      <c r="AS177" s="20">
        <v>3407</v>
      </c>
      <c r="AT177" s="20">
        <f t="shared" si="133"/>
        <v>1012</v>
      </c>
      <c r="AU177" s="20"/>
      <c r="AV177" s="20"/>
      <c r="AW177" s="46">
        <v>2007</v>
      </c>
      <c r="AX177" s="47" t="s">
        <v>41</v>
      </c>
      <c r="AY177" s="35">
        <f t="shared" si="91"/>
        <v>0.3411978221415608</v>
      </c>
      <c r="AZ177" s="35">
        <f t="shared" si="92"/>
        <v>0.52957746478873235</v>
      </c>
      <c r="BA177" s="35">
        <f t="shared" si="93"/>
        <v>0.64428312159709622</v>
      </c>
      <c r="BB177" s="20">
        <v>551</v>
      </c>
      <c r="BC177" s="27">
        <f t="shared" si="134"/>
        <v>196</v>
      </c>
      <c r="BD177" s="20">
        <v>355</v>
      </c>
      <c r="BE177" s="20">
        <v>188</v>
      </c>
      <c r="BF177" s="20">
        <f t="shared" si="135"/>
        <v>167</v>
      </c>
      <c r="BG177" s="20"/>
      <c r="BH177" s="20"/>
      <c r="BI177" s="46">
        <v>2007</v>
      </c>
      <c r="BJ177" s="47" t="s">
        <v>41</v>
      </c>
      <c r="BK177" s="35">
        <f t="shared" si="96"/>
        <v>4.8487199379363848E-2</v>
      </c>
      <c r="BL177" s="35">
        <f t="shared" si="97"/>
        <v>6.0709082078678971E-2</v>
      </c>
      <c r="BM177" s="35">
        <f t="shared" si="98"/>
        <v>0.79868114817688129</v>
      </c>
      <c r="BN177" s="20">
        <v>2578</v>
      </c>
      <c r="BO177" s="27">
        <f t="shared" si="136"/>
        <v>519</v>
      </c>
      <c r="BP177" s="20">
        <v>2059</v>
      </c>
      <c r="BQ177" s="20">
        <v>125</v>
      </c>
      <c r="BR177" s="20">
        <f t="shared" si="137"/>
        <v>1934</v>
      </c>
      <c r="BS177" s="20"/>
      <c r="BT177" s="20"/>
      <c r="BU177" s="46">
        <v>2007</v>
      </c>
      <c r="BV177" s="47" t="s">
        <v>41</v>
      </c>
      <c r="BW177" s="35">
        <f t="shared" si="101"/>
        <v>0.5969523809523809</v>
      </c>
      <c r="BX177" s="35">
        <f t="shared" si="102"/>
        <v>0.65482657751776019</v>
      </c>
      <c r="BY177" s="35">
        <f t="shared" si="103"/>
        <v>0.91161904761904766</v>
      </c>
      <c r="BZ177" s="20">
        <v>2625</v>
      </c>
      <c r="CA177" s="27">
        <f t="shared" si="138"/>
        <v>232</v>
      </c>
      <c r="CB177" s="20">
        <v>2393</v>
      </c>
      <c r="CC177" s="20">
        <v>1567</v>
      </c>
      <c r="CD177" s="20">
        <f t="shared" si="139"/>
        <v>826</v>
      </c>
      <c r="CE177" s="20"/>
      <c r="CF177" s="20"/>
      <c r="CG177" s="46">
        <v>2007</v>
      </c>
      <c r="CH177" s="47" t="s">
        <v>41</v>
      </c>
      <c r="CI177" s="35">
        <f t="shared" si="58"/>
        <v>0.87692307692307692</v>
      </c>
      <c r="CJ177" s="35">
        <f t="shared" si="59"/>
        <v>0.91666666666666663</v>
      </c>
      <c r="CK177" s="35">
        <f t="shared" si="60"/>
        <v>0.95664335664335665</v>
      </c>
      <c r="CL177" s="20">
        <v>1430</v>
      </c>
      <c r="CM177" s="20">
        <f t="shared" si="61"/>
        <v>62</v>
      </c>
      <c r="CN177" s="20">
        <v>1368</v>
      </c>
      <c r="CO177" s="20">
        <v>1254</v>
      </c>
      <c r="CP177" s="20">
        <f t="shared" si="62"/>
        <v>114</v>
      </c>
      <c r="CQ177" s="20"/>
      <c r="CR177" s="20"/>
      <c r="CS177" s="46">
        <v>2007</v>
      </c>
      <c r="CT177" s="47" t="s">
        <v>41</v>
      </c>
      <c r="CU177" s="35">
        <f t="shared" si="106"/>
        <v>0.80866807610993663</v>
      </c>
      <c r="CV177" s="35">
        <f t="shared" si="107"/>
        <v>0.84623893805309736</v>
      </c>
      <c r="CW177" s="35">
        <f t="shared" si="108"/>
        <v>0.95560253699788589</v>
      </c>
      <c r="CX177" s="20">
        <v>946</v>
      </c>
      <c r="CY177" s="27">
        <f t="shared" si="140"/>
        <v>42</v>
      </c>
      <c r="CZ177" s="20">
        <v>904</v>
      </c>
      <c r="DA177" s="20">
        <v>765</v>
      </c>
      <c r="DB177" s="20">
        <f t="shared" si="141"/>
        <v>139</v>
      </c>
      <c r="DC177" s="20"/>
      <c r="DD177" s="20"/>
      <c r="DE177" s="46">
        <v>2007</v>
      </c>
      <c r="DF177" s="47" t="s">
        <v>41</v>
      </c>
      <c r="DG177" s="35">
        <f t="shared" si="111"/>
        <v>0.86087689713322091</v>
      </c>
      <c r="DH177" s="35">
        <f t="shared" si="112"/>
        <v>0.91079393398751118</v>
      </c>
      <c r="DI177" s="35">
        <f t="shared" si="113"/>
        <v>0.94519392917369305</v>
      </c>
      <c r="DJ177" s="20">
        <v>1186</v>
      </c>
      <c r="DK177" s="27">
        <f t="shared" si="142"/>
        <v>65</v>
      </c>
      <c r="DL177" s="20">
        <v>1121</v>
      </c>
      <c r="DM177" s="20">
        <v>1021</v>
      </c>
      <c r="DN177" s="20">
        <f t="shared" si="143"/>
        <v>100</v>
      </c>
      <c r="DO177" s="20"/>
      <c r="DP177" s="20"/>
      <c r="DQ177" s="46"/>
      <c r="DR177" s="47"/>
      <c r="DS177" s="35"/>
      <c r="DT177" s="35"/>
      <c r="DU177" s="35"/>
      <c r="DV177" s="20"/>
      <c r="DW177" s="20"/>
      <c r="DX177" s="20"/>
      <c r="DY177" s="20"/>
      <c r="DZ177" s="20"/>
      <c r="EA177" s="20"/>
      <c r="EB177" s="20"/>
    </row>
    <row r="178" spans="1:132" s="29" customFormat="1" ht="12.75">
      <c r="A178" s="45">
        <v>2007</v>
      </c>
      <c r="B178" s="48" t="s">
        <v>42</v>
      </c>
      <c r="C178" s="35">
        <f t="shared" si="73"/>
        <v>0.60340778493978908</v>
      </c>
      <c r="D178" s="35">
        <f t="shared" si="74"/>
        <v>0.66198881701567813</v>
      </c>
      <c r="E178" s="35">
        <f t="shared" si="75"/>
        <v>0.91150752011192726</v>
      </c>
      <c r="F17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78" s="20">
        <f t="shared" si="76"/>
        <v>1771</v>
      </c>
      <c r="H17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18242</v>
      </c>
      <c r="I17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12076</v>
      </c>
      <c r="J178" s="20">
        <f t="shared" si="77"/>
        <v>6166</v>
      </c>
      <c r="K178" s="27"/>
      <c r="L178" s="27"/>
      <c r="M178" s="45">
        <v>2007</v>
      </c>
      <c r="N178" s="48" t="s">
        <v>42</v>
      </c>
      <c r="O178" s="35">
        <f t="shared" si="78"/>
        <v>0.66570715793513724</v>
      </c>
      <c r="P178" s="35">
        <f t="shared" si="79"/>
        <v>0.70450852965069044</v>
      </c>
      <c r="Q178" s="35">
        <f t="shared" si="80"/>
        <v>0.94492419881020917</v>
      </c>
      <c r="R178" s="20">
        <v>5211</v>
      </c>
      <c r="S178" s="27">
        <f t="shared" si="130"/>
        <v>287</v>
      </c>
      <c r="T178" s="20">
        <v>4924</v>
      </c>
      <c r="U178" s="20">
        <v>3469</v>
      </c>
      <c r="V178" s="20">
        <f t="shared" si="131"/>
        <v>1455</v>
      </c>
      <c r="W178" s="20"/>
      <c r="X178" s="20"/>
      <c r="Y178" s="45"/>
      <c r="Z178" s="48"/>
      <c r="AA178" s="35"/>
      <c r="AB178" s="35"/>
      <c r="AC178" s="35"/>
      <c r="AD178" s="20"/>
      <c r="AE178" s="27"/>
      <c r="AF178" s="20"/>
      <c r="AG178" s="20"/>
      <c r="AH178" s="20"/>
      <c r="AI178" s="20"/>
      <c r="AJ178" s="20"/>
      <c r="AK178" s="45">
        <v>2007</v>
      </c>
      <c r="AL178" s="48" t="s">
        <v>42</v>
      </c>
      <c r="AM178" s="35">
        <f t="shared" si="86"/>
        <v>0.72180301826846704</v>
      </c>
      <c r="AN178" s="35">
        <f t="shared" si="87"/>
        <v>0.7857760484219628</v>
      </c>
      <c r="AO178" s="35">
        <f t="shared" si="88"/>
        <v>0.91858617950754562</v>
      </c>
      <c r="AP178" s="20">
        <v>5036</v>
      </c>
      <c r="AQ178" s="27">
        <f t="shared" si="132"/>
        <v>410</v>
      </c>
      <c r="AR178" s="20">
        <v>4626</v>
      </c>
      <c r="AS178" s="20">
        <v>3635</v>
      </c>
      <c r="AT178" s="20">
        <f t="shared" si="133"/>
        <v>991</v>
      </c>
      <c r="AU178" s="20"/>
      <c r="AV178" s="20"/>
      <c r="AW178" s="45">
        <v>2007</v>
      </c>
      <c r="AX178" s="48" t="s">
        <v>42</v>
      </c>
      <c r="AY178" s="35">
        <f t="shared" si="91"/>
        <v>0.37274220032840721</v>
      </c>
      <c r="AZ178" s="35">
        <f t="shared" si="92"/>
        <v>0.53919239904988125</v>
      </c>
      <c r="BA178" s="35">
        <f t="shared" si="93"/>
        <v>0.69129720853858789</v>
      </c>
      <c r="BB178" s="20">
        <v>609</v>
      </c>
      <c r="BC178" s="27">
        <f t="shared" si="134"/>
        <v>188</v>
      </c>
      <c r="BD178" s="20">
        <v>421</v>
      </c>
      <c r="BE178" s="20">
        <v>227</v>
      </c>
      <c r="BF178" s="20">
        <f t="shared" si="135"/>
        <v>194</v>
      </c>
      <c r="BG178" s="20"/>
      <c r="BH178" s="20"/>
      <c r="BI178" s="45">
        <v>2007</v>
      </c>
      <c r="BJ178" s="48" t="s">
        <v>42</v>
      </c>
      <c r="BK178" s="35">
        <f t="shared" si="96"/>
        <v>5.9171597633136092E-2</v>
      </c>
      <c r="BL178" s="35">
        <f t="shared" si="97"/>
        <v>7.376671277086215E-2</v>
      </c>
      <c r="BM178" s="35">
        <f t="shared" si="98"/>
        <v>0.80214497041420119</v>
      </c>
      <c r="BN178" s="20">
        <v>2704</v>
      </c>
      <c r="BO178" s="27">
        <f t="shared" si="136"/>
        <v>535</v>
      </c>
      <c r="BP178" s="20">
        <v>2169</v>
      </c>
      <c r="BQ178" s="20">
        <v>160</v>
      </c>
      <c r="BR178" s="20">
        <f t="shared" si="137"/>
        <v>2009</v>
      </c>
      <c r="BS178" s="20"/>
      <c r="BT178" s="20"/>
      <c r="BU178" s="45">
        <v>2007</v>
      </c>
      <c r="BV178" s="48" t="s">
        <v>42</v>
      </c>
      <c r="BW178" s="35">
        <f t="shared" si="101"/>
        <v>0.53423160961398397</v>
      </c>
      <c r="BX178" s="35">
        <f t="shared" si="102"/>
        <v>0.58306836248012717</v>
      </c>
      <c r="BY178" s="35">
        <f t="shared" si="103"/>
        <v>0.91624180626365626</v>
      </c>
      <c r="BZ178" s="20">
        <v>2746</v>
      </c>
      <c r="CA178" s="27">
        <f t="shared" si="138"/>
        <v>230</v>
      </c>
      <c r="CB178" s="20">
        <v>2516</v>
      </c>
      <c r="CC178" s="20">
        <v>1467</v>
      </c>
      <c r="CD178" s="20">
        <f t="shared" si="139"/>
        <v>1049</v>
      </c>
      <c r="CE178" s="20"/>
      <c r="CF178" s="20"/>
      <c r="CG178" s="45">
        <v>2007</v>
      </c>
      <c r="CH178" s="48" t="s">
        <v>42</v>
      </c>
      <c r="CI178" s="35">
        <f t="shared" si="58"/>
        <v>0.87124749833222148</v>
      </c>
      <c r="CJ178" s="35">
        <f t="shared" si="59"/>
        <v>0.89759450171821309</v>
      </c>
      <c r="CK178" s="35">
        <f t="shared" si="60"/>
        <v>0.97064709806537697</v>
      </c>
      <c r="CL178" s="20">
        <v>1499</v>
      </c>
      <c r="CM178" s="20">
        <f t="shared" si="61"/>
        <v>44</v>
      </c>
      <c r="CN178" s="20">
        <v>1455</v>
      </c>
      <c r="CO178" s="20">
        <v>1306</v>
      </c>
      <c r="CP178" s="20">
        <f t="shared" si="62"/>
        <v>149</v>
      </c>
      <c r="CQ178" s="20"/>
      <c r="CR178" s="20"/>
      <c r="CS178" s="45">
        <v>2007</v>
      </c>
      <c r="CT178" s="48" t="s">
        <v>42</v>
      </c>
      <c r="CU178" s="35">
        <f t="shared" si="106"/>
        <v>0.79897959183673473</v>
      </c>
      <c r="CV178" s="35">
        <f t="shared" si="107"/>
        <v>0.81818181818181823</v>
      </c>
      <c r="CW178" s="35">
        <f t="shared" si="108"/>
        <v>0.97653061224489801</v>
      </c>
      <c r="CX178" s="20">
        <v>980</v>
      </c>
      <c r="CY178" s="27">
        <f t="shared" si="140"/>
        <v>23</v>
      </c>
      <c r="CZ178" s="20">
        <v>957</v>
      </c>
      <c r="DA178" s="20">
        <v>783</v>
      </c>
      <c r="DB178" s="20">
        <f t="shared" si="141"/>
        <v>174</v>
      </c>
      <c r="DC178" s="20"/>
      <c r="DD178" s="20"/>
      <c r="DE178" s="45">
        <v>2007</v>
      </c>
      <c r="DF178" s="48" t="s">
        <v>42</v>
      </c>
      <c r="DG178" s="35">
        <f t="shared" si="111"/>
        <v>0.83794788273615639</v>
      </c>
      <c r="DH178" s="35">
        <f t="shared" si="112"/>
        <v>0.87649063032367969</v>
      </c>
      <c r="DI178" s="35">
        <f t="shared" si="113"/>
        <v>0.9560260586319218</v>
      </c>
      <c r="DJ178" s="20">
        <v>1228</v>
      </c>
      <c r="DK178" s="27">
        <f t="shared" si="142"/>
        <v>54</v>
      </c>
      <c r="DL178" s="20">
        <v>1174</v>
      </c>
      <c r="DM178" s="20">
        <v>1029</v>
      </c>
      <c r="DN178" s="20">
        <f t="shared" si="143"/>
        <v>145</v>
      </c>
      <c r="DO178" s="20"/>
      <c r="DP178" s="20"/>
      <c r="DQ178" s="45"/>
      <c r="DR178" s="48"/>
      <c r="DS178" s="35"/>
      <c r="DT178" s="35"/>
      <c r="DU178" s="35"/>
      <c r="DV178" s="20"/>
      <c r="DW178" s="20"/>
      <c r="DX178" s="20"/>
      <c r="DY178" s="20"/>
      <c r="DZ178" s="20"/>
      <c r="EA178" s="20"/>
      <c r="EB178" s="20"/>
    </row>
    <row r="179" spans="1:132" s="29" customFormat="1" ht="12.75">
      <c r="A179" s="46">
        <v>2007</v>
      </c>
      <c r="B179" s="47" t="s">
        <v>43</v>
      </c>
      <c r="C179" s="35">
        <f t="shared" si="73"/>
        <v>0.60736354273944382</v>
      </c>
      <c r="D179" s="35">
        <f t="shared" si="74"/>
        <v>0.66956176203451412</v>
      </c>
      <c r="E179" s="35">
        <f t="shared" si="75"/>
        <v>0.90710607621009265</v>
      </c>
      <c r="F17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19420</v>
      </c>
      <c r="G179" s="20">
        <f t="shared" si="76"/>
        <v>1804</v>
      </c>
      <c r="H17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17616</v>
      </c>
      <c r="I17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11795</v>
      </c>
      <c r="J179" s="20">
        <f t="shared" si="77"/>
        <v>5821</v>
      </c>
      <c r="K179" s="27"/>
      <c r="L179" s="27"/>
      <c r="M179" s="46">
        <v>2007</v>
      </c>
      <c r="N179" s="47" t="s">
        <v>43</v>
      </c>
      <c r="O179" s="35">
        <f t="shared" si="78"/>
        <v>0.72039408866995069</v>
      </c>
      <c r="P179" s="35">
        <f t="shared" si="79"/>
        <v>0.7564659631698738</v>
      </c>
      <c r="Q179" s="35">
        <f t="shared" si="80"/>
        <v>0.95231527093596058</v>
      </c>
      <c r="R179" s="20">
        <v>5075</v>
      </c>
      <c r="S179" s="27">
        <f t="shared" si="130"/>
        <v>242</v>
      </c>
      <c r="T179" s="20">
        <v>4833</v>
      </c>
      <c r="U179" s="20">
        <v>3656</v>
      </c>
      <c r="V179" s="20">
        <f t="shared" si="131"/>
        <v>1177</v>
      </c>
      <c r="W179" s="20"/>
      <c r="X179" s="20"/>
      <c r="Y179" s="46"/>
      <c r="Z179" s="47"/>
      <c r="AA179" s="35"/>
      <c r="AB179" s="35"/>
      <c r="AC179" s="35"/>
      <c r="AD179" s="20"/>
      <c r="AE179" s="27"/>
      <c r="AF179" s="20"/>
      <c r="AG179" s="20"/>
      <c r="AH179" s="20"/>
      <c r="AI179" s="20"/>
      <c r="AJ179" s="20"/>
      <c r="AK179" s="46">
        <v>2007</v>
      </c>
      <c r="AL179" s="47" t="s">
        <v>43</v>
      </c>
      <c r="AM179" s="35">
        <f t="shared" si="86"/>
        <v>0.73181169757489306</v>
      </c>
      <c r="AN179" s="35">
        <f t="shared" si="87"/>
        <v>0.79184123484013236</v>
      </c>
      <c r="AO179" s="35">
        <f t="shared" si="88"/>
        <v>0.92418993274913386</v>
      </c>
      <c r="AP179" s="20">
        <v>4907</v>
      </c>
      <c r="AQ179" s="27">
        <f t="shared" si="132"/>
        <v>372</v>
      </c>
      <c r="AR179" s="20">
        <v>4535</v>
      </c>
      <c r="AS179" s="20">
        <v>3591</v>
      </c>
      <c r="AT179" s="20">
        <f t="shared" si="133"/>
        <v>944</v>
      </c>
      <c r="AU179" s="20"/>
      <c r="AV179" s="20"/>
      <c r="AW179" s="46">
        <v>2007</v>
      </c>
      <c r="AX179" s="47" t="s">
        <v>43</v>
      </c>
      <c r="AY179" s="35">
        <f t="shared" si="91"/>
        <v>0.39482758620689656</v>
      </c>
      <c r="AZ179" s="35">
        <f t="shared" si="92"/>
        <v>0.62568306010928965</v>
      </c>
      <c r="BA179" s="35">
        <f t="shared" si="93"/>
        <v>0.63103448275862073</v>
      </c>
      <c r="BB179" s="20">
        <v>580</v>
      </c>
      <c r="BC179" s="27">
        <f t="shared" si="134"/>
        <v>214</v>
      </c>
      <c r="BD179" s="20">
        <v>366</v>
      </c>
      <c r="BE179" s="20">
        <v>229</v>
      </c>
      <c r="BF179" s="20">
        <f t="shared" si="135"/>
        <v>137</v>
      </c>
      <c r="BG179" s="20"/>
      <c r="BH179" s="20"/>
      <c r="BI179" s="46">
        <v>2007</v>
      </c>
      <c r="BJ179" s="47" t="s">
        <v>43</v>
      </c>
      <c r="BK179" s="35">
        <f t="shared" si="96"/>
        <v>4.1300191204588908E-2</v>
      </c>
      <c r="BL179" s="35">
        <f t="shared" si="97"/>
        <v>5.2173913043478258E-2</v>
      </c>
      <c r="BM179" s="35">
        <f t="shared" si="98"/>
        <v>0.79158699808795407</v>
      </c>
      <c r="BN179" s="20">
        <v>2615</v>
      </c>
      <c r="BO179" s="27">
        <f t="shared" si="136"/>
        <v>545</v>
      </c>
      <c r="BP179" s="20">
        <v>2070</v>
      </c>
      <c r="BQ179" s="20">
        <v>108</v>
      </c>
      <c r="BR179" s="20">
        <f t="shared" si="137"/>
        <v>1962</v>
      </c>
      <c r="BS179" s="20"/>
      <c r="BT179" s="20"/>
      <c r="BU179" s="46">
        <v>2007</v>
      </c>
      <c r="BV179" s="47" t="s">
        <v>43</v>
      </c>
      <c r="BW179" s="35">
        <f t="shared" si="101"/>
        <v>0.49039548022598872</v>
      </c>
      <c r="BX179" s="35">
        <f t="shared" si="102"/>
        <v>0.52926829268292686</v>
      </c>
      <c r="BY179" s="35">
        <f t="shared" si="103"/>
        <v>0.92655367231638419</v>
      </c>
      <c r="BZ179" s="20">
        <v>2655</v>
      </c>
      <c r="CA179" s="27">
        <f t="shared" si="138"/>
        <v>195</v>
      </c>
      <c r="CB179" s="20">
        <v>2460</v>
      </c>
      <c r="CC179" s="20">
        <v>1302</v>
      </c>
      <c r="CD179" s="20">
        <f t="shared" si="139"/>
        <v>1158</v>
      </c>
      <c r="CE179" s="20"/>
      <c r="CF179" s="20"/>
      <c r="CG179" s="46">
        <v>2007</v>
      </c>
      <c r="CH179" s="47" t="s">
        <v>43</v>
      </c>
      <c r="CI179" s="35">
        <f t="shared" si="58"/>
        <v>0.84254143646408841</v>
      </c>
      <c r="CJ179" s="35">
        <f t="shared" si="59"/>
        <v>0.90036900369003692</v>
      </c>
      <c r="CK179" s="35">
        <f t="shared" si="60"/>
        <v>0.93577348066298338</v>
      </c>
      <c r="CL179" s="20">
        <v>1448</v>
      </c>
      <c r="CM179" s="20">
        <f t="shared" si="61"/>
        <v>93</v>
      </c>
      <c r="CN179" s="20">
        <v>1355</v>
      </c>
      <c r="CO179" s="20">
        <v>1220</v>
      </c>
      <c r="CP179" s="20">
        <f t="shared" si="62"/>
        <v>135</v>
      </c>
      <c r="CQ179" s="20"/>
      <c r="CR179" s="20"/>
      <c r="CS179" s="46">
        <v>2007</v>
      </c>
      <c r="CT179" s="47" t="s">
        <v>43</v>
      </c>
      <c r="CU179" s="35">
        <f t="shared" si="106"/>
        <v>0.82947368421052636</v>
      </c>
      <c r="CV179" s="35">
        <f t="shared" si="107"/>
        <v>0.86120218579234975</v>
      </c>
      <c r="CW179" s="35">
        <f t="shared" si="108"/>
        <v>0.9631578947368421</v>
      </c>
      <c r="CX179" s="20">
        <v>950</v>
      </c>
      <c r="CY179" s="27">
        <f t="shared" si="140"/>
        <v>35</v>
      </c>
      <c r="CZ179" s="20">
        <v>915</v>
      </c>
      <c r="DA179" s="20">
        <v>788</v>
      </c>
      <c r="DB179" s="20">
        <f t="shared" si="141"/>
        <v>127</v>
      </c>
      <c r="DC179" s="20"/>
      <c r="DD179" s="20"/>
      <c r="DE179" s="46">
        <v>2007</v>
      </c>
      <c r="DF179" s="47" t="s">
        <v>43</v>
      </c>
      <c r="DG179" s="35">
        <f t="shared" si="111"/>
        <v>0.75714285714285712</v>
      </c>
      <c r="DH179" s="35">
        <f t="shared" si="112"/>
        <v>0.83271719038817005</v>
      </c>
      <c r="DI179" s="35">
        <f t="shared" si="113"/>
        <v>0.90924369747899159</v>
      </c>
      <c r="DJ179" s="20">
        <v>1190</v>
      </c>
      <c r="DK179" s="27">
        <f t="shared" si="142"/>
        <v>108</v>
      </c>
      <c r="DL179" s="20">
        <v>1082</v>
      </c>
      <c r="DM179" s="20">
        <v>901</v>
      </c>
      <c r="DN179" s="20">
        <f t="shared" si="143"/>
        <v>181</v>
      </c>
      <c r="DO179" s="20"/>
      <c r="DP179" s="20"/>
      <c r="DQ179" s="46"/>
      <c r="DR179" s="47"/>
      <c r="DS179" s="35"/>
      <c r="DT179" s="35"/>
      <c r="DU179" s="35"/>
      <c r="DV179" s="20"/>
      <c r="DW179" s="20"/>
      <c r="DX179" s="20"/>
      <c r="DY179" s="20"/>
      <c r="DZ179" s="20"/>
      <c r="EA179" s="20"/>
      <c r="EB179" s="20"/>
    </row>
    <row r="180" spans="1:132" s="29" customFormat="1" ht="12.75">
      <c r="A180" s="45">
        <v>2007</v>
      </c>
      <c r="B180" s="48" t="s">
        <v>44</v>
      </c>
      <c r="C180" s="35">
        <f t="shared" si="73"/>
        <v>0.6611202718233149</v>
      </c>
      <c r="D180" s="35">
        <f t="shared" si="74"/>
        <v>0.71195652173913049</v>
      </c>
      <c r="E180" s="35">
        <f t="shared" si="75"/>
        <v>0.9285964123319842</v>
      </c>
      <c r="F18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G180" s="20">
        <f t="shared" si="76"/>
        <v>1429</v>
      </c>
      <c r="H18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18584</v>
      </c>
      <c r="I18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13231</v>
      </c>
      <c r="J180" s="20">
        <f t="shared" si="77"/>
        <v>5353</v>
      </c>
      <c r="K180" s="27"/>
      <c r="L180" s="27"/>
      <c r="M180" s="45">
        <v>2007</v>
      </c>
      <c r="N180" s="48" t="s">
        <v>44</v>
      </c>
      <c r="O180" s="35">
        <f t="shared" si="78"/>
        <v>0.78622145461523696</v>
      </c>
      <c r="P180" s="35">
        <f t="shared" si="79"/>
        <v>0.80459544383346426</v>
      </c>
      <c r="Q180" s="35">
        <f t="shared" si="80"/>
        <v>0.97716369218959898</v>
      </c>
      <c r="R180" s="20">
        <v>5211</v>
      </c>
      <c r="S180" s="27">
        <f t="shared" si="130"/>
        <v>119</v>
      </c>
      <c r="T180" s="20">
        <v>5092</v>
      </c>
      <c r="U180" s="20">
        <v>4097</v>
      </c>
      <c r="V180" s="20">
        <f t="shared" si="131"/>
        <v>995</v>
      </c>
      <c r="W180" s="20"/>
      <c r="X180" s="20"/>
      <c r="Y180" s="45"/>
      <c r="Z180" s="48"/>
      <c r="AA180" s="35"/>
      <c r="AB180" s="35"/>
      <c r="AC180" s="35"/>
      <c r="AD180" s="20"/>
      <c r="AE180" s="27"/>
      <c r="AF180" s="20"/>
      <c r="AG180" s="20"/>
      <c r="AH180" s="20"/>
      <c r="AI180" s="20"/>
      <c r="AJ180" s="20"/>
      <c r="AK180" s="45">
        <v>2007</v>
      </c>
      <c r="AL180" s="48" t="s">
        <v>44</v>
      </c>
      <c r="AM180" s="35">
        <f t="shared" si="86"/>
        <v>0.77680698967434469</v>
      </c>
      <c r="AN180" s="35">
        <f t="shared" si="87"/>
        <v>0.81721328598287024</v>
      </c>
      <c r="AO180" s="35">
        <f t="shared" si="88"/>
        <v>0.95055599682287528</v>
      </c>
      <c r="AP180" s="20">
        <v>5036</v>
      </c>
      <c r="AQ180" s="27">
        <f t="shared" si="132"/>
        <v>249</v>
      </c>
      <c r="AR180" s="20">
        <v>4787</v>
      </c>
      <c r="AS180" s="20">
        <v>3912</v>
      </c>
      <c r="AT180" s="20">
        <f t="shared" si="133"/>
        <v>875</v>
      </c>
      <c r="AU180" s="20"/>
      <c r="AV180" s="20"/>
      <c r="AW180" s="45">
        <v>2007</v>
      </c>
      <c r="AX180" s="48" t="s">
        <v>44</v>
      </c>
      <c r="AY180" s="35">
        <f t="shared" si="91"/>
        <v>0.51888341543513961</v>
      </c>
      <c r="AZ180" s="35">
        <f t="shared" si="92"/>
        <v>0.65970772442588721</v>
      </c>
      <c r="BA180" s="35">
        <f t="shared" si="93"/>
        <v>0.78653530377668313</v>
      </c>
      <c r="BB180" s="20">
        <v>609</v>
      </c>
      <c r="BC180" s="27">
        <f t="shared" si="134"/>
        <v>130</v>
      </c>
      <c r="BD180" s="20">
        <v>479</v>
      </c>
      <c r="BE180" s="20">
        <v>316</v>
      </c>
      <c r="BF180" s="20">
        <f t="shared" si="135"/>
        <v>163</v>
      </c>
      <c r="BG180" s="20"/>
      <c r="BH180" s="20"/>
      <c r="BI180" s="45">
        <v>2007</v>
      </c>
      <c r="BJ180" s="48" t="s">
        <v>44</v>
      </c>
      <c r="BK180" s="35">
        <f t="shared" si="96"/>
        <v>4.807692307692308E-2</v>
      </c>
      <c r="BL180" s="35">
        <f t="shared" si="97"/>
        <v>6.1004223369310183E-2</v>
      </c>
      <c r="BM180" s="35">
        <f t="shared" si="98"/>
        <v>0.78809171597633132</v>
      </c>
      <c r="BN180" s="20">
        <v>2704</v>
      </c>
      <c r="BO180" s="27">
        <f t="shared" si="136"/>
        <v>573</v>
      </c>
      <c r="BP180" s="20">
        <v>2131</v>
      </c>
      <c r="BQ180" s="20">
        <v>130</v>
      </c>
      <c r="BR180" s="20">
        <f t="shared" si="137"/>
        <v>2001</v>
      </c>
      <c r="BS180" s="20"/>
      <c r="BT180" s="20"/>
      <c r="BU180" s="45">
        <v>2007</v>
      </c>
      <c r="BV180" s="48" t="s">
        <v>44</v>
      </c>
      <c r="BW180" s="35">
        <f t="shared" si="101"/>
        <v>0.57174071376547708</v>
      </c>
      <c r="BX180" s="35">
        <f t="shared" si="102"/>
        <v>0.61884115096570758</v>
      </c>
      <c r="BY180" s="35">
        <f t="shared" si="103"/>
        <v>0.9238892935178441</v>
      </c>
      <c r="BZ180" s="20">
        <v>2746</v>
      </c>
      <c r="CA180" s="27">
        <f t="shared" si="138"/>
        <v>209</v>
      </c>
      <c r="CB180" s="20">
        <v>2537</v>
      </c>
      <c r="CC180" s="20">
        <v>1570</v>
      </c>
      <c r="CD180" s="20">
        <f t="shared" si="139"/>
        <v>967</v>
      </c>
      <c r="CE180" s="20"/>
      <c r="CF180" s="20"/>
      <c r="CG180" s="45">
        <v>2007</v>
      </c>
      <c r="CH180" s="48" t="s">
        <v>44</v>
      </c>
      <c r="CI180" s="35">
        <f t="shared" si="58"/>
        <v>0.88792528352234823</v>
      </c>
      <c r="CJ180" s="35">
        <f t="shared" si="59"/>
        <v>0.92752613240418114</v>
      </c>
      <c r="CK180" s="35">
        <f t="shared" si="60"/>
        <v>0.95730486991327557</v>
      </c>
      <c r="CL180" s="20">
        <v>1499</v>
      </c>
      <c r="CM180" s="20">
        <f t="shared" si="61"/>
        <v>64</v>
      </c>
      <c r="CN180" s="20">
        <v>1435</v>
      </c>
      <c r="CO180" s="20">
        <v>1331</v>
      </c>
      <c r="CP180" s="20">
        <f t="shared" si="62"/>
        <v>104</v>
      </c>
      <c r="CQ180" s="20"/>
      <c r="CR180" s="20"/>
      <c r="CS180" s="45">
        <v>2007</v>
      </c>
      <c r="CT180" s="48" t="s">
        <v>44</v>
      </c>
      <c r="CU180" s="35">
        <f t="shared" si="106"/>
        <v>0.87040816326530612</v>
      </c>
      <c r="CV180" s="35">
        <f t="shared" si="107"/>
        <v>0.88854166666666667</v>
      </c>
      <c r="CW180" s="35">
        <f t="shared" si="108"/>
        <v>0.97959183673469385</v>
      </c>
      <c r="CX180" s="20">
        <v>980</v>
      </c>
      <c r="CY180" s="27">
        <f t="shared" si="140"/>
        <v>20</v>
      </c>
      <c r="CZ180" s="20">
        <v>960</v>
      </c>
      <c r="DA180" s="20">
        <v>853</v>
      </c>
      <c r="DB180" s="20">
        <f t="shared" si="141"/>
        <v>107</v>
      </c>
      <c r="DC180" s="20"/>
      <c r="DD180" s="20"/>
      <c r="DE180" s="45">
        <v>2007</v>
      </c>
      <c r="DF180" s="48" t="s">
        <v>44</v>
      </c>
      <c r="DG180" s="35">
        <f t="shared" si="111"/>
        <v>0.83224755700325737</v>
      </c>
      <c r="DH180" s="35">
        <f t="shared" si="112"/>
        <v>0.87876182287188309</v>
      </c>
      <c r="DI180" s="35">
        <f t="shared" si="113"/>
        <v>0.94706840390879476</v>
      </c>
      <c r="DJ180" s="20">
        <v>1228</v>
      </c>
      <c r="DK180" s="27">
        <f t="shared" si="142"/>
        <v>65</v>
      </c>
      <c r="DL180" s="20">
        <v>1163</v>
      </c>
      <c r="DM180" s="20">
        <v>1022</v>
      </c>
      <c r="DN180" s="20">
        <f t="shared" si="143"/>
        <v>141</v>
      </c>
      <c r="DO180" s="20"/>
      <c r="DP180" s="20"/>
      <c r="DQ180" s="45"/>
      <c r="DR180" s="48"/>
      <c r="DS180" s="35"/>
      <c r="DT180" s="35"/>
      <c r="DU180" s="35"/>
      <c r="DV180" s="20"/>
      <c r="DW180" s="20"/>
      <c r="DX180" s="20"/>
      <c r="DY180" s="20"/>
      <c r="DZ180" s="20"/>
      <c r="EA180" s="20"/>
      <c r="EB180" s="20"/>
    </row>
    <row r="181" spans="1:132" s="29" customFormat="1" ht="12.75">
      <c r="A181" s="46">
        <v>2007</v>
      </c>
      <c r="B181" s="47" t="s">
        <v>45</v>
      </c>
      <c r="C181" s="35">
        <f t="shared" si="73"/>
        <v>0.64654026101945339</v>
      </c>
      <c r="D181" s="35">
        <f t="shared" si="74"/>
        <v>0.6938322498810845</v>
      </c>
      <c r="E181" s="35">
        <f t="shared" si="75"/>
        <v>0.93183944841172128</v>
      </c>
      <c r="F18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G181" s="20">
        <f t="shared" si="76"/>
        <v>1384</v>
      </c>
      <c r="H18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18921</v>
      </c>
      <c r="I18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13128</v>
      </c>
      <c r="J181" s="20">
        <f t="shared" si="77"/>
        <v>5793</v>
      </c>
      <c r="K181" s="27"/>
      <c r="L181" s="27"/>
      <c r="M181" s="46">
        <v>2007</v>
      </c>
      <c r="N181" s="47" t="s">
        <v>45</v>
      </c>
      <c r="O181" s="35">
        <f t="shared" si="78"/>
        <v>0.71229523630201463</v>
      </c>
      <c r="P181" s="35">
        <f t="shared" si="79"/>
        <v>0.73987874046548019</v>
      </c>
      <c r="Q181" s="35">
        <f t="shared" si="80"/>
        <v>0.96271888533232908</v>
      </c>
      <c r="R181" s="20">
        <v>5311</v>
      </c>
      <c r="S181" s="27">
        <f t="shared" si="130"/>
        <v>198</v>
      </c>
      <c r="T181" s="20">
        <v>5113</v>
      </c>
      <c r="U181" s="20">
        <v>3783</v>
      </c>
      <c r="V181" s="20">
        <f t="shared" si="131"/>
        <v>1330</v>
      </c>
      <c r="W181" s="20"/>
      <c r="X181" s="20"/>
      <c r="Y181" s="46"/>
      <c r="Z181" s="47"/>
      <c r="AA181" s="35"/>
      <c r="AB181" s="35"/>
      <c r="AC181" s="35"/>
      <c r="AD181" s="20"/>
      <c r="AE181" s="27"/>
      <c r="AF181" s="20"/>
      <c r="AG181" s="20"/>
      <c r="AH181" s="20"/>
      <c r="AI181" s="20"/>
      <c r="AJ181" s="20"/>
      <c r="AK181" s="46">
        <v>2007</v>
      </c>
      <c r="AL181" s="47" t="s">
        <v>45</v>
      </c>
      <c r="AM181" s="35">
        <f t="shared" si="86"/>
        <v>0.71648780487804875</v>
      </c>
      <c r="AN181" s="35">
        <f t="shared" si="87"/>
        <v>0.75867768595041318</v>
      </c>
      <c r="AO181" s="35">
        <f t="shared" si="88"/>
        <v>0.94439024390243897</v>
      </c>
      <c r="AP181" s="20">
        <v>5125</v>
      </c>
      <c r="AQ181" s="27">
        <f t="shared" si="132"/>
        <v>285</v>
      </c>
      <c r="AR181" s="20">
        <v>4840</v>
      </c>
      <c r="AS181" s="20">
        <v>3672</v>
      </c>
      <c r="AT181" s="20">
        <f t="shared" si="133"/>
        <v>1168</v>
      </c>
      <c r="AU181" s="20"/>
      <c r="AV181" s="20"/>
      <c r="AW181" s="46">
        <v>2007</v>
      </c>
      <c r="AX181" s="47" t="s">
        <v>45</v>
      </c>
      <c r="AY181" s="35">
        <f t="shared" si="91"/>
        <v>0.47021943573667713</v>
      </c>
      <c r="AZ181" s="35">
        <f t="shared" si="92"/>
        <v>0.62893081761006286</v>
      </c>
      <c r="BA181" s="35">
        <f t="shared" si="93"/>
        <v>0.74764890282131657</v>
      </c>
      <c r="BB181" s="20">
        <v>638</v>
      </c>
      <c r="BC181" s="27">
        <f t="shared" si="134"/>
        <v>161</v>
      </c>
      <c r="BD181" s="20">
        <v>477</v>
      </c>
      <c r="BE181" s="20">
        <v>300</v>
      </c>
      <c r="BF181" s="20">
        <f t="shared" si="135"/>
        <v>177</v>
      </c>
      <c r="BG181" s="20"/>
      <c r="BH181" s="20"/>
      <c r="BI181" s="46">
        <v>2007</v>
      </c>
      <c r="BJ181" s="47" t="s">
        <v>45</v>
      </c>
      <c r="BK181" s="35">
        <f t="shared" si="96"/>
        <v>7.2055596196049745E-2</v>
      </c>
      <c r="BL181" s="35">
        <f t="shared" si="97"/>
        <v>8.8979223125564583E-2</v>
      </c>
      <c r="BM181" s="35">
        <f t="shared" si="98"/>
        <v>0.80980248719824433</v>
      </c>
      <c r="BN181" s="20">
        <v>2734</v>
      </c>
      <c r="BO181" s="27">
        <f t="shared" si="136"/>
        <v>520</v>
      </c>
      <c r="BP181" s="20">
        <v>2214</v>
      </c>
      <c r="BQ181" s="20">
        <v>197</v>
      </c>
      <c r="BR181" s="20">
        <f t="shared" si="137"/>
        <v>2017</v>
      </c>
      <c r="BS181" s="20"/>
      <c r="BT181" s="20"/>
      <c r="BU181" s="46">
        <v>2007</v>
      </c>
      <c r="BV181" s="47" t="s">
        <v>45</v>
      </c>
      <c r="BW181" s="35">
        <f t="shared" si="101"/>
        <v>0.66257668711656437</v>
      </c>
      <c r="BX181" s="35">
        <f t="shared" si="102"/>
        <v>0.69519121544869367</v>
      </c>
      <c r="BY181" s="35">
        <f t="shared" si="103"/>
        <v>0.95308552869000362</v>
      </c>
      <c r="BZ181" s="20">
        <v>2771</v>
      </c>
      <c r="CA181" s="27">
        <f t="shared" si="138"/>
        <v>130</v>
      </c>
      <c r="CB181" s="20">
        <v>2641</v>
      </c>
      <c r="CC181" s="20">
        <v>1836</v>
      </c>
      <c r="CD181" s="20">
        <f t="shared" si="139"/>
        <v>805</v>
      </c>
      <c r="CE181" s="20"/>
      <c r="CF181" s="20"/>
      <c r="CG181" s="46">
        <v>2007</v>
      </c>
      <c r="CH181" s="47" t="s">
        <v>45</v>
      </c>
      <c r="CI181" s="35">
        <f t="shared" si="58"/>
        <v>0.91413474240422721</v>
      </c>
      <c r="CJ181" s="35">
        <f t="shared" si="59"/>
        <v>0.93387314439946023</v>
      </c>
      <c r="CK181" s="35">
        <f t="shared" si="60"/>
        <v>0.97886393659180981</v>
      </c>
      <c r="CL181" s="20">
        <v>1514</v>
      </c>
      <c r="CM181" s="20">
        <f t="shared" si="61"/>
        <v>32</v>
      </c>
      <c r="CN181" s="20">
        <v>1482</v>
      </c>
      <c r="CO181" s="20">
        <v>1384</v>
      </c>
      <c r="CP181" s="20">
        <f t="shared" si="62"/>
        <v>98</v>
      </c>
      <c r="CQ181" s="20"/>
      <c r="CR181" s="20"/>
      <c r="CS181" s="46">
        <v>2007</v>
      </c>
      <c r="CT181" s="47" t="s">
        <v>45</v>
      </c>
      <c r="CU181" s="35">
        <f t="shared" si="106"/>
        <v>0.93890020366598781</v>
      </c>
      <c r="CV181" s="35">
        <f t="shared" si="107"/>
        <v>0.95346432264736303</v>
      </c>
      <c r="CW181" s="35">
        <f t="shared" si="108"/>
        <v>0.98472505091649698</v>
      </c>
      <c r="CX181" s="20">
        <v>982</v>
      </c>
      <c r="CY181" s="27">
        <f t="shared" si="140"/>
        <v>15</v>
      </c>
      <c r="CZ181" s="20">
        <v>967</v>
      </c>
      <c r="DA181" s="20">
        <v>922</v>
      </c>
      <c r="DB181" s="20">
        <f t="shared" si="141"/>
        <v>45</v>
      </c>
      <c r="DC181" s="20"/>
      <c r="DD181" s="20"/>
      <c r="DE181" s="46">
        <v>2007</v>
      </c>
      <c r="DF181" s="47" t="s">
        <v>45</v>
      </c>
      <c r="DG181" s="35">
        <f t="shared" si="111"/>
        <v>0.84065040650406508</v>
      </c>
      <c r="DH181" s="35">
        <f t="shared" si="112"/>
        <v>0.87110362257792751</v>
      </c>
      <c r="DI181" s="35">
        <f t="shared" si="113"/>
        <v>0.96504065040650411</v>
      </c>
      <c r="DJ181" s="20">
        <v>1230</v>
      </c>
      <c r="DK181" s="27">
        <f t="shared" si="142"/>
        <v>43</v>
      </c>
      <c r="DL181" s="20">
        <v>1187</v>
      </c>
      <c r="DM181" s="20">
        <v>1034</v>
      </c>
      <c r="DN181" s="20">
        <f t="shared" si="143"/>
        <v>153</v>
      </c>
      <c r="DO181" s="20"/>
      <c r="DP181" s="20"/>
      <c r="DQ181" s="46"/>
      <c r="DR181" s="47"/>
      <c r="DS181" s="35"/>
      <c r="DT181" s="35"/>
      <c r="DU181" s="35"/>
      <c r="DV181" s="20"/>
      <c r="DW181" s="20"/>
      <c r="DX181" s="20"/>
      <c r="DY181" s="20"/>
      <c r="DZ181" s="20"/>
      <c r="EA181" s="20"/>
      <c r="EB181" s="20"/>
    </row>
    <row r="182" spans="1:132" s="29" customFormat="1" ht="12.75">
      <c r="A182" s="45">
        <v>2007</v>
      </c>
      <c r="B182" s="48" t="s">
        <v>46</v>
      </c>
      <c r="C182" s="35">
        <f t="shared" si="73"/>
        <v>0.58594678377680187</v>
      </c>
      <c r="D182" s="35">
        <f t="shared" si="74"/>
        <v>0.64617400717907814</v>
      </c>
      <c r="E182" s="35">
        <f t="shared" si="75"/>
        <v>0.90679411004908295</v>
      </c>
      <c r="F18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19355</v>
      </c>
      <c r="G182" s="20">
        <f t="shared" si="76"/>
        <v>1804</v>
      </c>
      <c r="H18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17551</v>
      </c>
      <c r="I18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11341</v>
      </c>
      <c r="J182" s="20">
        <f t="shared" si="77"/>
        <v>6210</v>
      </c>
      <c r="K182" s="27"/>
      <c r="L182" s="27"/>
      <c r="M182" s="45">
        <v>2007</v>
      </c>
      <c r="N182" s="48" t="s">
        <v>46</v>
      </c>
      <c r="O182" s="35">
        <f t="shared" si="78"/>
        <v>0.62244094488188972</v>
      </c>
      <c r="P182" s="35">
        <f t="shared" si="79"/>
        <v>0.67105263157894735</v>
      </c>
      <c r="Q182" s="35">
        <f t="shared" si="80"/>
        <v>0.92755905511811021</v>
      </c>
      <c r="R182" s="20">
        <v>5080</v>
      </c>
      <c r="S182" s="27">
        <f t="shared" si="130"/>
        <v>368</v>
      </c>
      <c r="T182" s="20">
        <v>4712</v>
      </c>
      <c r="U182" s="20">
        <v>3162</v>
      </c>
      <c r="V182" s="20">
        <f t="shared" si="131"/>
        <v>1550</v>
      </c>
      <c r="W182" s="20"/>
      <c r="X182" s="20"/>
      <c r="Y182" s="45"/>
      <c r="Z182" s="48"/>
      <c r="AA182" s="35"/>
      <c r="AB182" s="35"/>
      <c r="AC182" s="35"/>
      <c r="AD182" s="20"/>
      <c r="AE182" s="27"/>
      <c r="AF182" s="20"/>
      <c r="AG182" s="20"/>
      <c r="AH182" s="20"/>
      <c r="AI182" s="20"/>
      <c r="AJ182" s="20"/>
      <c r="AK182" s="45">
        <v>2007</v>
      </c>
      <c r="AL182" s="48" t="s">
        <v>46</v>
      </c>
      <c r="AM182" s="35">
        <f t="shared" si="86"/>
        <v>0.66391752577319585</v>
      </c>
      <c r="AN182" s="35">
        <f t="shared" si="87"/>
        <v>0.72294566681634487</v>
      </c>
      <c r="AO182" s="35">
        <f t="shared" si="88"/>
        <v>0.91835051546391755</v>
      </c>
      <c r="AP182" s="20">
        <v>4850</v>
      </c>
      <c r="AQ182" s="27">
        <f t="shared" si="132"/>
        <v>396</v>
      </c>
      <c r="AR182" s="20">
        <v>4454</v>
      </c>
      <c r="AS182" s="20">
        <v>3220</v>
      </c>
      <c r="AT182" s="20">
        <f t="shared" si="133"/>
        <v>1234</v>
      </c>
      <c r="AU182" s="20"/>
      <c r="AV182" s="20"/>
      <c r="AW182" s="45">
        <v>2007</v>
      </c>
      <c r="AX182" s="48" t="s">
        <v>46</v>
      </c>
      <c r="AY182" s="35">
        <f t="shared" si="91"/>
        <v>0.42931034482758623</v>
      </c>
      <c r="AZ182" s="35">
        <f t="shared" si="92"/>
        <v>0.58041958041958042</v>
      </c>
      <c r="BA182" s="35">
        <f t="shared" si="93"/>
        <v>0.73965517241379308</v>
      </c>
      <c r="BB182" s="20">
        <v>580</v>
      </c>
      <c r="BC182" s="27">
        <f t="shared" si="134"/>
        <v>151</v>
      </c>
      <c r="BD182" s="20">
        <v>429</v>
      </c>
      <c r="BE182" s="20">
        <v>249</v>
      </c>
      <c r="BF182" s="20">
        <f t="shared" si="135"/>
        <v>180</v>
      </c>
      <c r="BG182" s="20"/>
      <c r="BH182" s="20"/>
      <c r="BI182" s="45">
        <v>2007</v>
      </c>
      <c r="BJ182" s="48" t="s">
        <v>46</v>
      </c>
      <c r="BK182" s="35">
        <f t="shared" si="96"/>
        <v>6.845124282982791E-2</v>
      </c>
      <c r="BL182" s="35">
        <f t="shared" si="97"/>
        <v>8.4553613604156821E-2</v>
      </c>
      <c r="BM182" s="35">
        <f t="shared" si="98"/>
        <v>0.80956022944550665</v>
      </c>
      <c r="BN182" s="20">
        <v>2615</v>
      </c>
      <c r="BO182" s="27">
        <f t="shared" si="136"/>
        <v>498</v>
      </c>
      <c r="BP182" s="20">
        <v>2117</v>
      </c>
      <c r="BQ182" s="20">
        <v>179</v>
      </c>
      <c r="BR182" s="20">
        <f t="shared" si="137"/>
        <v>1938</v>
      </c>
      <c r="BS182" s="20"/>
      <c r="BT182" s="20"/>
      <c r="BU182" s="45">
        <v>2007</v>
      </c>
      <c r="BV182" s="48" t="s">
        <v>46</v>
      </c>
      <c r="BW182" s="35">
        <f t="shared" si="101"/>
        <v>0.5939736346516008</v>
      </c>
      <c r="BX182" s="35">
        <f t="shared" si="102"/>
        <v>0.63691437802907913</v>
      </c>
      <c r="BY182" s="35">
        <f t="shared" si="103"/>
        <v>0.93258003766478348</v>
      </c>
      <c r="BZ182" s="20">
        <v>2655</v>
      </c>
      <c r="CA182" s="27">
        <f t="shared" si="138"/>
        <v>179</v>
      </c>
      <c r="CB182" s="20">
        <v>2476</v>
      </c>
      <c r="CC182" s="20">
        <v>1577</v>
      </c>
      <c r="CD182" s="20">
        <f t="shared" si="139"/>
        <v>899</v>
      </c>
      <c r="CE182" s="20"/>
      <c r="CF182" s="20"/>
      <c r="CG182" s="45">
        <v>2007</v>
      </c>
      <c r="CH182" s="48" t="s">
        <v>46</v>
      </c>
      <c r="CI182" s="35">
        <f t="shared" si="58"/>
        <v>0.85574912891986066</v>
      </c>
      <c r="CJ182" s="35">
        <f t="shared" si="59"/>
        <v>0.91369047619047616</v>
      </c>
      <c r="CK182" s="35">
        <f t="shared" si="60"/>
        <v>0.93658536585365859</v>
      </c>
      <c r="CL182" s="20">
        <v>1435</v>
      </c>
      <c r="CM182" s="20">
        <f t="shared" si="61"/>
        <v>91</v>
      </c>
      <c r="CN182" s="20">
        <v>1344</v>
      </c>
      <c r="CO182" s="20">
        <v>1228</v>
      </c>
      <c r="CP182" s="20">
        <f t="shared" si="62"/>
        <v>116</v>
      </c>
      <c r="CQ182" s="20"/>
      <c r="CR182" s="20"/>
      <c r="CS182" s="45">
        <v>2007</v>
      </c>
      <c r="CT182" s="48" t="s">
        <v>46</v>
      </c>
      <c r="CU182" s="35">
        <f t="shared" si="106"/>
        <v>0.88315789473684214</v>
      </c>
      <c r="CV182" s="35">
        <f t="shared" si="107"/>
        <v>0.93015521064301554</v>
      </c>
      <c r="CW182" s="35">
        <f t="shared" si="108"/>
        <v>0.94947368421052636</v>
      </c>
      <c r="CX182" s="20">
        <v>950</v>
      </c>
      <c r="CY182" s="27">
        <f t="shared" si="140"/>
        <v>48</v>
      </c>
      <c r="CZ182" s="20">
        <v>902</v>
      </c>
      <c r="DA182" s="20">
        <v>839</v>
      </c>
      <c r="DB182" s="20">
        <f t="shared" si="141"/>
        <v>63</v>
      </c>
      <c r="DC182" s="20"/>
      <c r="DD182" s="20"/>
      <c r="DE182" s="45">
        <v>2007</v>
      </c>
      <c r="DF182" s="48" t="s">
        <v>46</v>
      </c>
      <c r="DG182" s="35">
        <f t="shared" si="111"/>
        <v>0.74537815126050422</v>
      </c>
      <c r="DH182" s="35">
        <f t="shared" si="112"/>
        <v>0.79409131602506711</v>
      </c>
      <c r="DI182" s="35">
        <f t="shared" si="113"/>
        <v>0.93865546218487395</v>
      </c>
      <c r="DJ182" s="20">
        <v>1190</v>
      </c>
      <c r="DK182" s="27">
        <f t="shared" si="142"/>
        <v>73</v>
      </c>
      <c r="DL182" s="20">
        <v>1117</v>
      </c>
      <c r="DM182" s="20">
        <v>887</v>
      </c>
      <c r="DN182" s="20">
        <f t="shared" si="143"/>
        <v>230</v>
      </c>
      <c r="DO182" s="20"/>
      <c r="DP182" s="20"/>
      <c r="DQ182" s="45"/>
      <c r="DR182" s="48"/>
      <c r="DS182" s="35"/>
      <c r="DT182" s="35"/>
      <c r="DU182" s="35"/>
      <c r="DV182" s="20"/>
      <c r="DW182" s="20"/>
      <c r="DX182" s="20"/>
      <c r="DY182" s="20"/>
      <c r="DZ182" s="20"/>
      <c r="EA182" s="20"/>
      <c r="EB182" s="20"/>
    </row>
    <row r="183" spans="1:132" s="29" customFormat="1" ht="12.75">
      <c r="A183" s="46">
        <v>2007</v>
      </c>
      <c r="B183" s="47" t="s">
        <v>47</v>
      </c>
      <c r="C183" s="35">
        <f t="shared" si="73"/>
        <v>0.67653508771929827</v>
      </c>
      <c r="D183" s="35">
        <f t="shared" si="74"/>
        <v>0.73695640371355664</v>
      </c>
      <c r="E183" s="35">
        <f t="shared" si="75"/>
        <v>0.91801236044657097</v>
      </c>
      <c r="F18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20064</v>
      </c>
      <c r="G183" s="20">
        <f t="shared" si="76"/>
        <v>1645</v>
      </c>
      <c r="H18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18419</v>
      </c>
      <c r="I18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J183" s="20">
        <f t="shared" si="77"/>
        <v>4845</v>
      </c>
      <c r="K183" s="27"/>
      <c r="L183" s="27"/>
      <c r="M183" s="46">
        <v>2007</v>
      </c>
      <c r="N183" s="47" t="s">
        <v>47</v>
      </c>
      <c r="O183" s="35">
        <f t="shared" si="78"/>
        <v>0.68842897460018815</v>
      </c>
      <c r="P183" s="35">
        <f t="shared" si="79"/>
        <v>0.73370763986364551</v>
      </c>
      <c r="Q183" s="35">
        <f t="shared" si="80"/>
        <v>0.93828786453433677</v>
      </c>
      <c r="R183" s="20">
        <v>5315</v>
      </c>
      <c r="S183" s="27">
        <f t="shared" si="130"/>
        <v>328</v>
      </c>
      <c r="T183" s="20">
        <v>4987</v>
      </c>
      <c r="U183" s="20">
        <v>3659</v>
      </c>
      <c r="V183" s="20">
        <f t="shared" si="131"/>
        <v>1328</v>
      </c>
      <c r="W183" s="20"/>
      <c r="X183" s="20"/>
      <c r="Y183" s="46"/>
      <c r="Z183" s="47"/>
      <c r="AA183" s="35"/>
      <c r="AB183" s="35"/>
      <c r="AC183" s="35"/>
      <c r="AD183" s="20"/>
      <c r="AE183" s="27"/>
      <c r="AF183" s="20"/>
      <c r="AG183" s="20"/>
      <c r="AH183" s="20"/>
      <c r="AI183" s="20"/>
      <c r="AJ183" s="20"/>
      <c r="AK183" s="46">
        <v>2007</v>
      </c>
      <c r="AL183" s="47" t="s">
        <v>47</v>
      </c>
      <c r="AM183" s="35">
        <f t="shared" si="86"/>
        <v>0.71770051363097587</v>
      </c>
      <c r="AN183" s="35">
        <f t="shared" si="87"/>
        <v>0.77330779054916987</v>
      </c>
      <c r="AO183" s="35">
        <f t="shared" si="88"/>
        <v>0.92809166337416038</v>
      </c>
      <c r="AP183" s="20">
        <v>5062</v>
      </c>
      <c r="AQ183" s="27">
        <f t="shared" si="132"/>
        <v>364</v>
      </c>
      <c r="AR183" s="20">
        <v>4698</v>
      </c>
      <c r="AS183" s="20">
        <v>3633</v>
      </c>
      <c r="AT183" s="20">
        <f t="shared" si="133"/>
        <v>1065</v>
      </c>
      <c r="AU183" s="20"/>
      <c r="AV183" s="20"/>
      <c r="AW183" s="46">
        <v>2007</v>
      </c>
      <c r="AX183" s="47" t="s">
        <v>47</v>
      </c>
      <c r="AY183" s="35">
        <f t="shared" si="91"/>
        <v>0.58463949843260188</v>
      </c>
      <c r="AZ183" s="35">
        <f t="shared" si="92"/>
        <v>0.76591375770020531</v>
      </c>
      <c r="BA183" s="35">
        <f t="shared" si="93"/>
        <v>0.76332288401253923</v>
      </c>
      <c r="BB183" s="20">
        <v>638</v>
      </c>
      <c r="BC183" s="27">
        <f t="shared" si="134"/>
        <v>151</v>
      </c>
      <c r="BD183" s="20">
        <v>487</v>
      </c>
      <c r="BE183" s="20">
        <v>373</v>
      </c>
      <c r="BF183" s="20">
        <f t="shared" si="135"/>
        <v>114</v>
      </c>
      <c r="BG183" s="20"/>
      <c r="BH183" s="20"/>
      <c r="BI183" s="46">
        <v>2007</v>
      </c>
      <c r="BJ183" s="47" t="s">
        <v>47</v>
      </c>
      <c r="BK183" s="35">
        <f t="shared" si="96"/>
        <v>0.46037037037037037</v>
      </c>
      <c r="BL183" s="35">
        <f t="shared" si="97"/>
        <v>0.52669491525423728</v>
      </c>
      <c r="BM183" s="35">
        <f t="shared" si="98"/>
        <v>0.87407407407407411</v>
      </c>
      <c r="BN183" s="20">
        <v>2700</v>
      </c>
      <c r="BO183" s="27">
        <f t="shared" si="136"/>
        <v>340</v>
      </c>
      <c r="BP183" s="20">
        <v>2360</v>
      </c>
      <c r="BQ183" s="20">
        <v>1243</v>
      </c>
      <c r="BR183" s="20">
        <f t="shared" si="137"/>
        <v>1117</v>
      </c>
      <c r="BS183" s="20"/>
      <c r="BT183" s="20"/>
      <c r="BU183" s="46">
        <v>2007</v>
      </c>
      <c r="BV183" s="47" t="s">
        <v>47</v>
      </c>
      <c r="BW183" s="35">
        <f t="shared" si="101"/>
        <v>0.61469600895188359</v>
      </c>
      <c r="BX183" s="35">
        <f t="shared" si="102"/>
        <v>0.68099173553719006</v>
      </c>
      <c r="BY183" s="35">
        <f t="shared" si="103"/>
        <v>0.90264826557254751</v>
      </c>
      <c r="BZ183" s="20">
        <v>2681</v>
      </c>
      <c r="CA183" s="27">
        <f t="shared" si="138"/>
        <v>261</v>
      </c>
      <c r="CB183" s="20">
        <v>2420</v>
      </c>
      <c r="CC183" s="20">
        <v>1648</v>
      </c>
      <c r="CD183" s="20">
        <f t="shared" si="139"/>
        <v>772</v>
      </c>
      <c r="CE183" s="20"/>
      <c r="CF183" s="20"/>
      <c r="CG183" s="46">
        <v>2007</v>
      </c>
      <c r="CH183" s="47" t="s">
        <v>47</v>
      </c>
      <c r="CI183" s="35">
        <f t="shared" si="58"/>
        <v>0.83241758241758246</v>
      </c>
      <c r="CJ183" s="35">
        <f t="shared" si="59"/>
        <v>0.89446494464944648</v>
      </c>
      <c r="CK183" s="35">
        <f t="shared" si="60"/>
        <v>0.93063186813186816</v>
      </c>
      <c r="CL183" s="20">
        <v>1456</v>
      </c>
      <c r="CM183" s="20">
        <f t="shared" si="61"/>
        <v>101</v>
      </c>
      <c r="CN183" s="20">
        <v>1355</v>
      </c>
      <c r="CO183" s="20">
        <v>1212</v>
      </c>
      <c r="CP183" s="20">
        <f t="shared" si="62"/>
        <v>143</v>
      </c>
      <c r="CQ183" s="20"/>
      <c r="CR183" s="20"/>
      <c r="CS183" s="46">
        <v>2007</v>
      </c>
      <c r="CT183" s="47" t="s">
        <v>47</v>
      </c>
      <c r="CU183" s="35">
        <f t="shared" si="106"/>
        <v>0.88391038696537683</v>
      </c>
      <c r="CV183" s="35">
        <f t="shared" si="107"/>
        <v>0.9146469968387777</v>
      </c>
      <c r="CW183" s="35">
        <f t="shared" si="108"/>
        <v>0.96639511201629325</v>
      </c>
      <c r="CX183" s="20">
        <v>982</v>
      </c>
      <c r="CY183" s="27">
        <f t="shared" si="140"/>
        <v>33</v>
      </c>
      <c r="CZ183" s="20">
        <v>949</v>
      </c>
      <c r="DA183" s="20">
        <v>868</v>
      </c>
      <c r="DB183" s="20">
        <f t="shared" si="141"/>
        <v>81</v>
      </c>
      <c r="DC183" s="20"/>
      <c r="DD183" s="20"/>
      <c r="DE183" s="46">
        <v>2007</v>
      </c>
      <c r="DF183" s="47" t="s">
        <v>47</v>
      </c>
      <c r="DG183" s="35">
        <f t="shared" si="111"/>
        <v>0.76260162601626014</v>
      </c>
      <c r="DH183" s="35">
        <f t="shared" si="112"/>
        <v>0.80653482373172825</v>
      </c>
      <c r="DI183" s="35">
        <f t="shared" si="113"/>
        <v>0.94552845528455287</v>
      </c>
      <c r="DJ183" s="20">
        <v>1230</v>
      </c>
      <c r="DK183" s="27">
        <f t="shared" si="142"/>
        <v>67</v>
      </c>
      <c r="DL183" s="20">
        <v>1163</v>
      </c>
      <c r="DM183" s="20">
        <v>938</v>
      </c>
      <c r="DN183" s="20">
        <f t="shared" si="143"/>
        <v>225</v>
      </c>
      <c r="DO183" s="20"/>
      <c r="DP183" s="20"/>
      <c r="DQ183" s="46"/>
      <c r="DR183" s="47"/>
      <c r="DS183" s="35"/>
      <c r="DT183" s="35"/>
      <c r="DU183" s="35"/>
      <c r="DV183" s="20"/>
      <c r="DW183" s="20"/>
      <c r="DX183" s="20"/>
      <c r="DY183" s="20"/>
      <c r="DZ183" s="20"/>
      <c r="EA183" s="20"/>
      <c r="EB183" s="20"/>
    </row>
    <row r="184" spans="1:132" s="29" customFormat="1" ht="12.75">
      <c r="A184" s="45">
        <v>2007</v>
      </c>
      <c r="B184" s="48" t="s">
        <v>48</v>
      </c>
      <c r="C184" s="35">
        <f t="shared" si="73"/>
        <v>0.7048440065681445</v>
      </c>
      <c r="D184" s="35">
        <f t="shared" si="74"/>
        <v>0.75447654619356253</v>
      </c>
      <c r="E184" s="35">
        <f t="shared" si="75"/>
        <v>0.93421592775041051</v>
      </c>
      <c r="F18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19488</v>
      </c>
      <c r="G184" s="20">
        <f t="shared" si="76"/>
        <v>1282</v>
      </c>
      <c r="H18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18206</v>
      </c>
      <c r="I18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13736</v>
      </c>
      <c r="J184" s="20">
        <f t="shared" si="77"/>
        <v>4470</v>
      </c>
      <c r="K184" s="27"/>
      <c r="L184" s="27"/>
      <c r="M184" s="45">
        <v>2007</v>
      </c>
      <c r="N184" s="48" t="s">
        <v>48</v>
      </c>
      <c r="O184" s="35">
        <f t="shared" si="78"/>
        <v>0.5275545350172216</v>
      </c>
      <c r="P184" s="35">
        <f t="shared" si="79"/>
        <v>0.56345800122624157</v>
      </c>
      <c r="Q184" s="35">
        <f t="shared" si="80"/>
        <v>0.93628013777267505</v>
      </c>
      <c r="R184" s="20">
        <v>5226</v>
      </c>
      <c r="S184" s="27">
        <f t="shared" si="130"/>
        <v>333</v>
      </c>
      <c r="T184" s="20">
        <v>4893</v>
      </c>
      <c r="U184" s="20">
        <v>2757</v>
      </c>
      <c r="V184" s="20">
        <f t="shared" si="131"/>
        <v>2136</v>
      </c>
      <c r="W184" s="20"/>
      <c r="X184" s="20"/>
      <c r="Y184" s="45"/>
      <c r="Z184" s="48"/>
      <c r="AA184" s="35"/>
      <c r="AB184" s="35"/>
      <c r="AC184" s="35"/>
      <c r="AD184" s="20"/>
      <c r="AE184" s="27"/>
      <c r="AF184" s="20"/>
      <c r="AG184" s="20"/>
      <c r="AH184" s="20"/>
      <c r="AI184" s="20"/>
      <c r="AJ184" s="20"/>
      <c r="AK184" s="45">
        <v>2007</v>
      </c>
      <c r="AL184" s="48" t="s">
        <v>48</v>
      </c>
      <c r="AM184" s="35">
        <f t="shared" si="86"/>
        <v>0.62736799677549371</v>
      </c>
      <c r="AN184" s="35">
        <f t="shared" si="87"/>
        <v>0.69208537127612269</v>
      </c>
      <c r="AO184" s="35">
        <f t="shared" si="88"/>
        <v>0.90648931882305517</v>
      </c>
      <c r="AP184" s="20">
        <v>4962</v>
      </c>
      <c r="AQ184" s="27">
        <f t="shared" si="132"/>
        <v>464</v>
      </c>
      <c r="AR184" s="20">
        <v>4498</v>
      </c>
      <c r="AS184" s="20">
        <v>3113</v>
      </c>
      <c r="AT184" s="20">
        <f t="shared" si="133"/>
        <v>1385</v>
      </c>
      <c r="AU184" s="20"/>
      <c r="AV184" s="20"/>
      <c r="AW184" s="45">
        <v>2007</v>
      </c>
      <c r="AX184" s="48" t="s">
        <v>48</v>
      </c>
      <c r="AY184" s="35">
        <f t="shared" si="91"/>
        <v>0.63949843260188088</v>
      </c>
      <c r="AZ184" s="35">
        <f t="shared" si="92"/>
        <v>0.80632411067193677</v>
      </c>
      <c r="BA184" s="35">
        <f t="shared" si="93"/>
        <v>0.7931034482758621</v>
      </c>
      <c r="BB184" s="20">
        <v>638</v>
      </c>
      <c r="BC184" s="27">
        <f t="shared" si="134"/>
        <v>132</v>
      </c>
      <c r="BD184" s="20">
        <v>506</v>
      </c>
      <c r="BE184" s="20">
        <v>408</v>
      </c>
      <c r="BF184" s="20">
        <f t="shared" si="135"/>
        <v>98</v>
      </c>
      <c r="BG184" s="20"/>
      <c r="BH184" s="20"/>
      <c r="BI184" s="45">
        <v>2007</v>
      </c>
      <c r="BJ184" s="48" t="s">
        <v>48</v>
      </c>
      <c r="BK184" s="35">
        <f t="shared" si="96"/>
        <v>0.87124132613723981</v>
      </c>
      <c r="BL184" s="35">
        <f t="shared" si="97"/>
        <v>0.91572123176661269</v>
      </c>
      <c r="BM184" s="35">
        <f t="shared" si="98"/>
        <v>0.95142636854279106</v>
      </c>
      <c r="BN184" s="20">
        <v>2594</v>
      </c>
      <c r="BO184" s="27">
        <f t="shared" si="136"/>
        <v>126</v>
      </c>
      <c r="BP184" s="20">
        <v>2468</v>
      </c>
      <c r="BQ184" s="20">
        <v>2260</v>
      </c>
      <c r="BR184" s="20">
        <f t="shared" si="137"/>
        <v>208</v>
      </c>
      <c r="BS184" s="20"/>
      <c r="BT184" s="20"/>
      <c r="BU184" s="45">
        <v>2007</v>
      </c>
      <c r="BV184" s="48" t="s">
        <v>48</v>
      </c>
      <c r="BW184" s="35">
        <f t="shared" si="101"/>
        <v>0.78166797797010223</v>
      </c>
      <c r="BX184" s="35">
        <f t="shared" si="102"/>
        <v>0.82379767827529027</v>
      </c>
      <c r="BY184" s="35">
        <f t="shared" si="103"/>
        <v>0.94885916601101494</v>
      </c>
      <c r="BZ184" s="20">
        <v>2542</v>
      </c>
      <c r="CA184" s="27">
        <f t="shared" si="138"/>
        <v>130</v>
      </c>
      <c r="CB184" s="20">
        <v>2412</v>
      </c>
      <c r="CC184" s="20">
        <v>1987</v>
      </c>
      <c r="CD184" s="20">
        <f t="shared" si="139"/>
        <v>425</v>
      </c>
      <c r="CE184" s="20"/>
      <c r="CF184" s="20"/>
      <c r="CG184" s="45">
        <v>2007</v>
      </c>
      <c r="CH184" s="48" t="s">
        <v>48</v>
      </c>
      <c r="CI184" s="35">
        <f t="shared" si="58"/>
        <v>0.93777134587554267</v>
      </c>
      <c r="CJ184" s="35">
        <f t="shared" si="59"/>
        <v>0.96716417910447761</v>
      </c>
      <c r="CK184" s="35">
        <f t="shared" si="60"/>
        <v>0.96960926193921848</v>
      </c>
      <c r="CL184" s="20">
        <v>1382</v>
      </c>
      <c r="CM184" s="20">
        <f t="shared" si="61"/>
        <v>42</v>
      </c>
      <c r="CN184" s="20">
        <v>1340</v>
      </c>
      <c r="CO184" s="20">
        <v>1296</v>
      </c>
      <c r="CP184" s="20">
        <f t="shared" si="62"/>
        <v>44</v>
      </c>
      <c r="CQ184" s="20"/>
      <c r="CR184" s="20"/>
      <c r="CS184" s="45">
        <v>2007</v>
      </c>
      <c r="CT184" s="48" t="s">
        <v>48</v>
      </c>
      <c r="CU184" s="35">
        <f t="shared" si="106"/>
        <v>0.94747899159663862</v>
      </c>
      <c r="CV184" s="35">
        <f t="shared" si="107"/>
        <v>0.95957446808510638</v>
      </c>
      <c r="CW184" s="35">
        <f t="shared" si="108"/>
        <v>0.98739495798319332</v>
      </c>
      <c r="CX184" s="20">
        <v>952</v>
      </c>
      <c r="CY184" s="27">
        <f t="shared" si="140"/>
        <v>12</v>
      </c>
      <c r="CZ184" s="20">
        <v>940</v>
      </c>
      <c r="DA184" s="20">
        <v>902</v>
      </c>
      <c r="DB184" s="20">
        <f t="shared" si="141"/>
        <v>38</v>
      </c>
      <c r="DC184" s="20"/>
      <c r="DD184" s="20"/>
      <c r="DE184" s="45">
        <v>2007</v>
      </c>
      <c r="DF184" s="48" t="s">
        <v>48</v>
      </c>
      <c r="DG184" s="35">
        <f t="shared" si="111"/>
        <v>0.84983221476510062</v>
      </c>
      <c r="DH184" s="35">
        <f t="shared" si="112"/>
        <v>0.88163620539599652</v>
      </c>
      <c r="DI184" s="35">
        <f t="shared" si="113"/>
        <v>0.96392617449664431</v>
      </c>
      <c r="DJ184" s="20">
        <v>1192</v>
      </c>
      <c r="DK184" s="27">
        <f t="shared" si="142"/>
        <v>43</v>
      </c>
      <c r="DL184" s="20">
        <v>1149</v>
      </c>
      <c r="DM184" s="20">
        <v>1013</v>
      </c>
      <c r="DN184" s="20">
        <f t="shared" si="143"/>
        <v>136</v>
      </c>
      <c r="DO184" s="20"/>
      <c r="DP184" s="20"/>
      <c r="DQ184" s="45"/>
      <c r="DR184" s="48"/>
      <c r="DS184" s="35"/>
      <c r="DT184" s="35"/>
      <c r="DU184" s="35"/>
      <c r="DV184" s="20"/>
      <c r="DW184" s="20"/>
      <c r="DX184" s="20"/>
      <c r="DY184" s="20"/>
      <c r="DZ184" s="20"/>
      <c r="EA184" s="20"/>
      <c r="EB184" s="20"/>
    </row>
    <row r="185" spans="1:132" s="29" customFormat="1" ht="12.75">
      <c r="A185" s="46">
        <v>2007</v>
      </c>
      <c r="B185" s="47" t="s">
        <v>49</v>
      </c>
      <c r="C185" s="35">
        <f t="shared" si="73"/>
        <v>0.76605078447564001</v>
      </c>
      <c r="D185" s="35">
        <f t="shared" si="74"/>
        <v>0.80817815528694326</v>
      </c>
      <c r="E185" s="35">
        <f t="shared" si="75"/>
        <v>0.94787365813377378</v>
      </c>
      <c r="F18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19376</v>
      </c>
      <c r="G185" s="20">
        <f t="shared" si="76"/>
        <v>1010</v>
      </c>
      <c r="H18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18366</v>
      </c>
      <c r="I18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14843</v>
      </c>
      <c r="J185" s="20">
        <f t="shared" si="77"/>
        <v>3523</v>
      </c>
      <c r="K185" s="27"/>
      <c r="L185" s="27"/>
      <c r="M185" s="46">
        <v>2007</v>
      </c>
      <c r="N185" s="47" t="s">
        <v>49</v>
      </c>
      <c r="O185" s="35">
        <f t="shared" si="78"/>
        <v>0.63144531250000002</v>
      </c>
      <c r="P185" s="35">
        <f t="shared" si="79"/>
        <v>0.67019071310116085</v>
      </c>
      <c r="Q185" s="35">
        <f t="shared" si="80"/>
        <v>0.94218749999999996</v>
      </c>
      <c r="R185" s="20">
        <v>5120</v>
      </c>
      <c r="S185" s="27">
        <f t="shared" si="130"/>
        <v>296</v>
      </c>
      <c r="T185" s="20">
        <v>4824</v>
      </c>
      <c r="U185" s="20">
        <v>3233</v>
      </c>
      <c r="V185" s="20">
        <f t="shared" si="131"/>
        <v>1591</v>
      </c>
      <c r="W185" s="20"/>
      <c r="X185" s="20"/>
      <c r="Y185" s="46"/>
      <c r="Z185" s="47"/>
      <c r="AA185" s="35"/>
      <c r="AB185" s="35"/>
      <c r="AC185" s="35"/>
      <c r="AD185" s="20"/>
      <c r="AE185" s="27"/>
      <c r="AF185" s="20"/>
      <c r="AG185" s="20"/>
      <c r="AH185" s="20"/>
      <c r="AI185" s="20"/>
      <c r="AJ185" s="20"/>
      <c r="AK185" s="46">
        <v>2007</v>
      </c>
      <c r="AL185" s="47" t="s">
        <v>49</v>
      </c>
      <c r="AM185" s="35">
        <f t="shared" si="86"/>
        <v>0.72744014732965012</v>
      </c>
      <c r="AN185" s="35">
        <f t="shared" si="87"/>
        <v>0.77943433457575095</v>
      </c>
      <c r="AO185" s="35">
        <f t="shared" si="88"/>
        <v>0.93329240843052996</v>
      </c>
      <c r="AP185" s="20">
        <v>4887</v>
      </c>
      <c r="AQ185" s="27">
        <f t="shared" si="132"/>
        <v>326</v>
      </c>
      <c r="AR185" s="20">
        <v>4561</v>
      </c>
      <c r="AS185" s="20">
        <v>3555</v>
      </c>
      <c r="AT185" s="20">
        <f t="shared" si="133"/>
        <v>1006</v>
      </c>
      <c r="AU185" s="20"/>
      <c r="AV185" s="20"/>
      <c r="AW185" s="46">
        <v>2007</v>
      </c>
      <c r="AX185" s="47" t="s">
        <v>49</v>
      </c>
      <c r="AY185" s="35">
        <f t="shared" si="91"/>
        <v>0.68103448275862066</v>
      </c>
      <c r="AZ185" s="35">
        <f t="shared" si="92"/>
        <v>0.80777096114519431</v>
      </c>
      <c r="BA185" s="35">
        <f t="shared" si="93"/>
        <v>0.84310344827586203</v>
      </c>
      <c r="BB185" s="20">
        <v>580</v>
      </c>
      <c r="BC185" s="27">
        <f t="shared" si="134"/>
        <v>91</v>
      </c>
      <c r="BD185" s="20">
        <v>489</v>
      </c>
      <c r="BE185" s="20">
        <v>395</v>
      </c>
      <c r="BF185" s="20">
        <f t="shared" si="135"/>
        <v>94</v>
      </c>
      <c r="BG185" s="20"/>
      <c r="BH185" s="20"/>
      <c r="BI185" s="46">
        <v>2007</v>
      </c>
      <c r="BJ185" s="47" t="s">
        <v>49</v>
      </c>
      <c r="BK185" s="35">
        <f t="shared" si="96"/>
        <v>0.88596491228070173</v>
      </c>
      <c r="BL185" s="35">
        <f t="shared" si="97"/>
        <v>0.91026645768025083</v>
      </c>
      <c r="BM185" s="35">
        <f t="shared" si="98"/>
        <v>0.97330282227307396</v>
      </c>
      <c r="BN185" s="20">
        <v>2622</v>
      </c>
      <c r="BO185" s="27">
        <f t="shared" si="136"/>
        <v>70</v>
      </c>
      <c r="BP185" s="20">
        <v>2552</v>
      </c>
      <c r="BQ185" s="20">
        <v>2323</v>
      </c>
      <c r="BR185" s="20">
        <f t="shared" si="137"/>
        <v>229</v>
      </c>
      <c r="BS185" s="20"/>
      <c r="BT185" s="20"/>
      <c r="BU185" s="46">
        <v>2007</v>
      </c>
      <c r="BV185" s="47" t="s">
        <v>49</v>
      </c>
      <c r="BW185" s="35">
        <f t="shared" si="101"/>
        <v>0.80318942045896535</v>
      </c>
      <c r="BX185" s="35">
        <f t="shared" si="102"/>
        <v>0.83704904742602348</v>
      </c>
      <c r="BY185" s="35">
        <f t="shared" si="103"/>
        <v>0.95954881369117073</v>
      </c>
      <c r="BZ185" s="20">
        <v>2571</v>
      </c>
      <c r="CA185" s="27">
        <f t="shared" si="138"/>
        <v>104</v>
      </c>
      <c r="CB185" s="20">
        <v>2467</v>
      </c>
      <c r="CC185" s="20">
        <v>2065</v>
      </c>
      <c r="CD185" s="20">
        <f t="shared" si="139"/>
        <v>402</v>
      </c>
      <c r="CE185" s="20"/>
      <c r="CF185" s="20"/>
      <c r="CG185" s="46">
        <v>2007</v>
      </c>
      <c r="CH185" s="47" t="s">
        <v>49</v>
      </c>
      <c r="CI185" s="35">
        <f t="shared" si="58"/>
        <v>0.91307471264367812</v>
      </c>
      <c r="CJ185" s="35">
        <f t="shared" si="59"/>
        <v>0.9665399239543726</v>
      </c>
      <c r="CK185" s="35">
        <f t="shared" si="60"/>
        <v>0.94468390804597702</v>
      </c>
      <c r="CL185" s="20">
        <v>1392</v>
      </c>
      <c r="CM185" s="20">
        <f t="shared" si="61"/>
        <v>77</v>
      </c>
      <c r="CN185" s="20">
        <v>1315</v>
      </c>
      <c r="CO185" s="20">
        <v>1271</v>
      </c>
      <c r="CP185" s="20">
        <f t="shared" si="62"/>
        <v>44</v>
      </c>
      <c r="CQ185" s="20"/>
      <c r="CR185" s="20"/>
      <c r="CS185" s="46">
        <v>2007</v>
      </c>
      <c r="CT185" s="47" t="s">
        <v>49</v>
      </c>
      <c r="CU185" s="35">
        <f t="shared" si="106"/>
        <v>0.93660531697341509</v>
      </c>
      <c r="CV185" s="35">
        <f t="shared" si="107"/>
        <v>0.94824016563146996</v>
      </c>
      <c r="CW185" s="35">
        <f t="shared" si="108"/>
        <v>0.98773006134969321</v>
      </c>
      <c r="CX185" s="20">
        <v>978</v>
      </c>
      <c r="CY185" s="27">
        <f t="shared" si="140"/>
        <v>12</v>
      </c>
      <c r="CZ185" s="20">
        <v>966</v>
      </c>
      <c r="DA185" s="20">
        <v>916</v>
      </c>
      <c r="DB185" s="20">
        <f t="shared" si="141"/>
        <v>50</v>
      </c>
      <c r="DC185" s="20"/>
      <c r="DD185" s="20"/>
      <c r="DE185" s="46">
        <v>2007</v>
      </c>
      <c r="DF185" s="47" t="s">
        <v>49</v>
      </c>
      <c r="DG185" s="35">
        <f t="shared" si="111"/>
        <v>0.8849918433931484</v>
      </c>
      <c r="DH185" s="35">
        <f t="shared" si="112"/>
        <v>0.91023489932885904</v>
      </c>
      <c r="DI185" s="35">
        <f t="shared" si="113"/>
        <v>0.97226753670473087</v>
      </c>
      <c r="DJ185" s="20">
        <v>1226</v>
      </c>
      <c r="DK185" s="27">
        <f t="shared" si="142"/>
        <v>34</v>
      </c>
      <c r="DL185" s="20">
        <v>1192</v>
      </c>
      <c r="DM185" s="20">
        <v>1085</v>
      </c>
      <c r="DN185" s="20">
        <f t="shared" si="143"/>
        <v>107</v>
      </c>
      <c r="DO185" s="20"/>
      <c r="DP185" s="20"/>
      <c r="DQ185" s="46"/>
      <c r="DR185" s="47"/>
      <c r="DS185" s="35"/>
      <c r="DT185" s="35"/>
      <c r="DU185" s="35"/>
      <c r="DV185" s="20"/>
      <c r="DW185" s="20"/>
      <c r="DX185" s="20"/>
      <c r="DY185" s="20"/>
      <c r="DZ185" s="20"/>
      <c r="EA185" s="20"/>
      <c r="EB185" s="20"/>
    </row>
    <row r="186" spans="1:132" s="29" customFormat="1" ht="12.75">
      <c r="A186" s="45">
        <v>2008</v>
      </c>
      <c r="B186" s="48" t="s">
        <v>38</v>
      </c>
      <c r="C186" s="35">
        <f t="shared" si="73"/>
        <v>0.81164658634538156</v>
      </c>
      <c r="D186" s="35">
        <f t="shared" si="74"/>
        <v>0.85436482773198053</v>
      </c>
      <c r="E186" s="35">
        <f t="shared" si="75"/>
        <v>0.95</v>
      </c>
      <c r="F18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G186" s="20">
        <f t="shared" si="76"/>
        <v>996</v>
      </c>
      <c r="H18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I18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16168</v>
      </c>
      <c r="J186" s="20">
        <f t="shared" si="77"/>
        <v>2756</v>
      </c>
      <c r="K186" s="27"/>
      <c r="L186" s="27"/>
      <c r="M186" s="45">
        <v>2008</v>
      </c>
      <c r="N186" s="48" t="s">
        <v>38</v>
      </c>
      <c r="O186" s="35">
        <f t="shared" si="78"/>
        <v>0.74619289340101524</v>
      </c>
      <c r="P186" s="35">
        <f t="shared" si="79"/>
        <v>0.78284023668639058</v>
      </c>
      <c r="Q186" s="35">
        <f t="shared" si="80"/>
        <v>0.95318668922729832</v>
      </c>
      <c r="R186" s="20">
        <v>5319</v>
      </c>
      <c r="S186" s="27">
        <f t="shared" ref="S186:S197" si="144">R186-T186</f>
        <v>249</v>
      </c>
      <c r="T186" s="20">
        <v>5070</v>
      </c>
      <c r="U186" s="20">
        <v>3969</v>
      </c>
      <c r="V186" s="20">
        <f t="shared" ref="V186:V197" si="145">T186-U186</f>
        <v>1101</v>
      </c>
      <c r="W186" s="20"/>
      <c r="X186" s="20"/>
      <c r="Y186" s="45"/>
      <c r="Z186" s="48"/>
      <c r="AA186" s="35"/>
      <c r="AB186" s="35"/>
      <c r="AC186" s="35"/>
      <c r="AD186" s="20"/>
      <c r="AE186" s="27"/>
      <c r="AF186" s="20"/>
      <c r="AG186" s="20"/>
      <c r="AH186" s="20"/>
      <c r="AI186" s="20"/>
      <c r="AJ186" s="20"/>
      <c r="AK186" s="45">
        <v>2008</v>
      </c>
      <c r="AL186" s="48" t="s">
        <v>38</v>
      </c>
      <c r="AM186" s="35">
        <f t="shared" si="86"/>
        <v>0.75385527876631075</v>
      </c>
      <c r="AN186" s="35">
        <f t="shared" si="87"/>
        <v>0.81561497326203214</v>
      </c>
      <c r="AO186" s="35">
        <f t="shared" si="88"/>
        <v>0.92427837089758802</v>
      </c>
      <c r="AP186" s="20">
        <v>5058</v>
      </c>
      <c r="AQ186" s="27">
        <f t="shared" ref="AQ186:AQ197" si="146">AP186-AR186</f>
        <v>383</v>
      </c>
      <c r="AR186" s="20">
        <v>4675</v>
      </c>
      <c r="AS186" s="20">
        <v>3813</v>
      </c>
      <c r="AT186" s="20">
        <f t="shared" ref="AT186:AT197" si="147">AR186-AS186</f>
        <v>862</v>
      </c>
      <c r="AU186" s="20"/>
      <c r="AV186" s="20"/>
      <c r="AW186" s="45">
        <v>2008</v>
      </c>
      <c r="AX186" s="48" t="s">
        <v>38</v>
      </c>
      <c r="AY186" s="35">
        <f t="shared" si="91"/>
        <v>0.67554858934169282</v>
      </c>
      <c r="AZ186" s="35">
        <f t="shared" si="92"/>
        <v>0.86546184738955823</v>
      </c>
      <c r="BA186" s="35">
        <f t="shared" si="93"/>
        <v>0.78056426332288398</v>
      </c>
      <c r="BB186" s="20">
        <v>638</v>
      </c>
      <c r="BC186" s="27">
        <f t="shared" ref="BC186:BC197" si="148">BB186-BD186</f>
        <v>140</v>
      </c>
      <c r="BD186" s="20">
        <v>498</v>
      </c>
      <c r="BE186" s="20">
        <v>431</v>
      </c>
      <c r="BF186" s="20">
        <f t="shared" ref="BF186:BF197" si="149">BD186-BE186</f>
        <v>67</v>
      </c>
      <c r="BG186" s="20"/>
      <c r="BH186" s="20"/>
      <c r="BI186" s="45">
        <v>2008</v>
      </c>
      <c r="BJ186" s="48" t="s">
        <v>38</v>
      </c>
      <c r="BK186" s="35">
        <f t="shared" si="96"/>
        <v>0.88851351351351349</v>
      </c>
      <c r="BL186" s="35">
        <f t="shared" si="97"/>
        <v>0.91637630662020908</v>
      </c>
      <c r="BM186" s="35">
        <f t="shared" si="98"/>
        <v>0.96959459459459463</v>
      </c>
      <c r="BN186" s="20">
        <v>2664</v>
      </c>
      <c r="BO186" s="27">
        <f t="shared" ref="BO186:BO197" si="150">BN186-BP186</f>
        <v>81</v>
      </c>
      <c r="BP186" s="20">
        <v>2583</v>
      </c>
      <c r="BQ186" s="20">
        <v>2367</v>
      </c>
      <c r="BR186" s="20">
        <f t="shared" ref="BR186:BR197" si="151">BP186-BQ186</f>
        <v>216</v>
      </c>
      <c r="BS186" s="20"/>
      <c r="BT186" s="20"/>
      <c r="BU186" s="45">
        <v>2008</v>
      </c>
      <c r="BV186" s="48" t="s">
        <v>38</v>
      </c>
      <c r="BW186" s="35">
        <f t="shared" si="101"/>
        <v>0.83607813098429717</v>
      </c>
      <c r="BX186" s="35">
        <f t="shared" si="102"/>
        <v>0.85877261998426435</v>
      </c>
      <c r="BY186" s="35">
        <f t="shared" si="103"/>
        <v>0.97357334354653391</v>
      </c>
      <c r="BZ186" s="20">
        <v>2611</v>
      </c>
      <c r="CA186" s="27">
        <f t="shared" ref="CA186:CA197" si="152">BZ186-CB186</f>
        <v>69</v>
      </c>
      <c r="CB186" s="20">
        <v>2542</v>
      </c>
      <c r="CC186" s="20">
        <v>2183</v>
      </c>
      <c r="CD186" s="20">
        <f t="shared" ref="CD186:CD197" si="153">CB186-CC186</f>
        <v>359</v>
      </c>
      <c r="CE186" s="20"/>
      <c r="CF186" s="20"/>
      <c r="CG186" s="45">
        <v>2008</v>
      </c>
      <c r="CH186" s="48" t="s">
        <v>38</v>
      </c>
      <c r="CI186" s="35">
        <f t="shared" si="58"/>
        <v>0.95627644569816639</v>
      </c>
      <c r="CJ186" s="35">
        <f t="shared" si="59"/>
        <v>0.98118668596237335</v>
      </c>
      <c r="CK186" s="35">
        <f t="shared" si="60"/>
        <v>0.97461212976022571</v>
      </c>
      <c r="CL186" s="20">
        <v>1418</v>
      </c>
      <c r="CM186" s="20">
        <f t="shared" si="61"/>
        <v>36</v>
      </c>
      <c r="CN186" s="20">
        <v>1382</v>
      </c>
      <c r="CO186" s="20">
        <v>1356</v>
      </c>
      <c r="CP186" s="20">
        <f t="shared" si="62"/>
        <v>26</v>
      </c>
      <c r="CQ186" s="20"/>
      <c r="CR186" s="20"/>
      <c r="CS186" s="45">
        <v>2008</v>
      </c>
      <c r="CT186" s="48" t="s">
        <v>38</v>
      </c>
      <c r="CU186" s="35">
        <f t="shared" si="106"/>
        <v>0.92871690427698572</v>
      </c>
      <c r="CV186" s="35">
        <f t="shared" si="107"/>
        <v>0.94214876033057848</v>
      </c>
      <c r="CW186" s="35">
        <f t="shared" si="108"/>
        <v>0.98574338085539714</v>
      </c>
      <c r="CX186" s="20">
        <v>982</v>
      </c>
      <c r="CY186" s="27">
        <f t="shared" ref="CY186:CY197" si="154">CX186-CZ186</f>
        <v>14</v>
      </c>
      <c r="CZ186" s="20">
        <v>968</v>
      </c>
      <c r="DA186" s="20">
        <v>912</v>
      </c>
      <c r="DB186" s="20">
        <f t="shared" ref="DB186:DB197" si="155">CZ186-DA186</f>
        <v>56</v>
      </c>
      <c r="DC186" s="20"/>
      <c r="DD186" s="20"/>
      <c r="DE186" s="45">
        <v>2008</v>
      </c>
      <c r="DF186" s="48" t="s">
        <v>38</v>
      </c>
      <c r="DG186" s="35">
        <f t="shared" si="111"/>
        <v>0.92439024390243907</v>
      </c>
      <c r="DH186" s="35">
        <f t="shared" si="112"/>
        <v>0.94278606965174128</v>
      </c>
      <c r="DI186" s="35">
        <f t="shared" si="113"/>
        <v>0.98048780487804876</v>
      </c>
      <c r="DJ186" s="20">
        <v>1230</v>
      </c>
      <c r="DK186" s="27">
        <f t="shared" ref="DK186:DK197" si="156">DJ186-DL186</f>
        <v>24</v>
      </c>
      <c r="DL186" s="20">
        <v>1206</v>
      </c>
      <c r="DM186" s="20">
        <v>1137</v>
      </c>
      <c r="DN186" s="20">
        <f t="shared" ref="DN186:DN197" si="157">DL186-DM186</f>
        <v>69</v>
      </c>
      <c r="DO186" s="20"/>
      <c r="DP186" s="20"/>
      <c r="DQ186" s="45"/>
      <c r="DR186" s="48"/>
      <c r="DS186" s="35"/>
      <c r="DT186" s="35"/>
      <c r="DU186" s="35"/>
      <c r="DV186" s="20"/>
      <c r="DW186" s="20"/>
      <c r="DX186" s="20"/>
      <c r="DY186" s="20"/>
      <c r="DZ186" s="20"/>
      <c r="EA186" s="20"/>
      <c r="EB186" s="20"/>
    </row>
    <row r="187" spans="1:132" s="29" customFormat="1" ht="12.75">
      <c r="A187" s="46">
        <v>2008</v>
      </c>
      <c r="B187" s="47" t="s">
        <v>39</v>
      </c>
      <c r="C187" s="35">
        <f t="shared" si="73"/>
        <v>0.607059199318569</v>
      </c>
      <c r="D187" s="35">
        <f t="shared" si="74"/>
        <v>0.65238285943131757</v>
      </c>
      <c r="E187" s="35">
        <f t="shared" si="75"/>
        <v>0.93052597955706984</v>
      </c>
      <c r="F18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18784</v>
      </c>
      <c r="G187" s="20">
        <f t="shared" si="76"/>
        <v>1305</v>
      </c>
      <c r="H18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17479</v>
      </c>
      <c r="I18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11403</v>
      </c>
      <c r="J187" s="20">
        <f t="shared" si="77"/>
        <v>6076</v>
      </c>
      <c r="K187" s="27"/>
      <c r="L187" s="27"/>
      <c r="M187" s="46">
        <v>2008</v>
      </c>
      <c r="N187" s="47" t="s">
        <v>39</v>
      </c>
      <c r="O187" s="35">
        <f t="shared" si="78"/>
        <v>0.42002781641168291</v>
      </c>
      <c r="P187" s="35">
        <f t="shared" si="79"/>
        <v>0.45530906741331034</v>
      </c>
      <c r="Q187" s="35">
        <f t="shared" si="80"/>
        <v>0.92251142459765545</v>
      </c>
      <c r="R187" s="20">
        <v>5033</v>
      </c>
      <c r="S187" s="27">
        <f t="shared" si="144"/>
        <v>390</v>
      </c>
      <c r="T187" s="20">
        <v>4643</v>
      </c>
      <c r="U187" s="20">
        <v>2114</v>
      </c>
      <c r="V187" s="20">
        <f t="shared" si="145"/>
        <v>2529</v>
      </c>
      <c r="W187" s="20"/>
      <c r="X187" s="20"/>
      <c r="Y187" s="46"/>
      <c r="Z187" s="47"/>
      <c r="AA187" s="35"/>
      <c r="AB187" s="35"/>
      <c r="AC187" s="35"/>
      <c r="AD187" s="20"/>
      <c r="AE187" s="27"/>
      <c r="AF187" s="20"/>
      <c r="AG187" s="20"/>
      <c r="AH187" s="20"/>
      <c r="AI187" s="20"/>
      <c r="AJ187" s="20"/>
      <c r="AK187" s="46">
        <v>2008</v>
      </c>
      <c r="AL187" s="47" t="s">
        <v>39</v>
      </c>
      <c r="AM187" s="35">
        <f t="shared" si="86"/>
        <v>0.36059401798786866</v>
      </c>
      <c r="AN187" s="35">
        <f t="shared" si="87"/>
        <v>0.40242763772175538</v>
      </c>
      <c r="AO187" s="35">
        <f t="shared" si="88"/>
        <v>0.89604685212298685</v>
      </c>
      <c r="AP187" s="20">
        <v>4781</v>
      </c>
      <c r="AQ187" s="27">
        <f t="shared" si="146"/>
        <v>497</v>
      </c>
      <c r="AR187" s="20">
        <v>4284</v>
      </c>
      <c r="AS187" s="20">
        <v>1724</v>
      </c>
      <c r="AT187" s="20">
        <f t="shared" si="147"/>
        <v>2560</v>
      </c>
      <c r="AU187" s="20"/>
      <c r="AV187" s="20"/>
      <c r="AW187" s="46">
        <v>2008</v>
      </c>
      <c r="AX187" s="47" t="s">
        <v>39</v>
      </c>
      <c r="AY187" s="35">
        <f t="shared" si="91"/>
        <v>0.42200328407224957</v>
      </c>
      <c r="AZ187" s="35">
        <f t="shared" si="92"/>
        <v>0.65394402035623411</v>
      </c>
      <c r="BA187" s="35">
        <f t="shared" si="93"/>
        <v>0.64532019704433496</v>
      </c>
      <c r="BB187" s="20">
        <v>609</v>
      </c>
      <c r="BC187" s="27">
        <f t="shared" si="148"/>
        <v>216</v>
      </c>
      <c r="BD187" s="20">
        <v>393</v>
      </c>
      <c r="BE187" s="20">
        <v>257</v>
      </c>
      <c r="BF187" s="20">
        <f t="shared" si="149"/>
        <v>136</v>
      </c>
      <c r="BG187" s="20"/>
      <c r="BH187" s="20"/>
      <c r="BI187" s="46">
        <v>2008</v>
      </c>
      <c r="BJ187" s="47" t="s">
        <v>39</v>
      </c>
      <c r="BK187" s="35">
        <f t="shared" si="96"/>
        <v>0.89252896524170999</v>
      </c>
      <c r="BL187" s="35">
        <f t="shared" si="97"/>
        <v>0.9118367346938776</v>
      </c>
      <c r="BM187" s="35">
        <f t="shared" si="98"/>
        <v>0.97882540950858965</v>
      </c>
      <c r="BN187" s="20">
        <v>2503</v>
      </c>
      <c r="BO187" s="27">
        <f t="shared" si="150"/>
        <v>53</v>
      </c>
      <c r="BP187" s="20">
        <v>2450</v>
      </c>
      <c r="BQ187" s="20">
        <v>2234</v>
      </c>
      <c r="BR187" s="20">
        <f t="shared" si="151"/>
        <v>216</v>
      </c>
      <c r="BS187" s="20"/>
      <c r="BT187" s="20"/>
      <c r="BU187" s="46">
        <v>2008</v>
      </c>
      <c r="BV187" s="47" t="s">
        <v>39</v>
      </c>
      <c r="BW187" s="35">
        <f t="shared" si="101"/>
        <v>0.80717488789237668</v>
      </c>
      <c r="BX187" s="35">
        <f t="shared" si="102"/>
        <v>0.82741328875888009</v>
      </c>
      <c r="BY187" s="35">
        <f t="shared" si="103"/>
        <v>0.97554015491235224</v>
      </c>
      <c r="BZ187" s="20">
        <v>2453</v>
      </c>
      <c r="CA187" s="27">
        <f t="shared" si="152"/>
        <v>60</v>
      </c>
      <c r="CB187" s="20">
        <v>2393</v>
      </c>
      <c r="CC187" s="20">
        <v>1980</v>
      </c>
      <c r="CD187" s="20">
        <f t="shared" si="153"/>
        <v>413</v>
      </c>
      <c r="CE187" s="20"/>
      <c r="CF187" s="20"/>
      <c r="CG187" s="46">
        <v>2008</v>
      </c>
      <c r="CH187" s="47" t="s">
        <v>39</v>
      </c>
      <c r="CI187" s="35">
        <f t="shared" si="58"/>
        <v>0.95273818454613657</v>
      </c>
      <c r="CJ187" s="35">
        <f t="shared" si="59"/>
        <v>0.97094801223241589</v>
      </c>
      <c r="CK187" s="35">
        <f t="shared" si="60"/>
        <v>0.98124531132783199</v>
      </c>
      <c r="CL187" s="20">
        <v>1333</v>
      </c>
      <c r="CM187" s="20">
        <f t="shared" si="61"/>
        <v>25</v>
      </c>
      <c r="CN187" s="20">
        <v>1308</v>
      </c>
      <c r="CO187" s="20">
        <v>1270</v>
      </c>
      <c r="CP187" s="20">
        <f t="shared" si="62"/>
        <v>38</v>
      </c>
      <c r="CQ187" s="20"/>
      <c r="CR187" s="20"/>
      <c r="CS187" s="46">
        <v>2008</v>
      </c>
      <c r="CT187" s="47" t="s">
        <v>39</v>
      </c>
      <c r="CU187" s="35">
        <f t="shared" si="106"/>
        <v>0.93478260869565222</v>
      </c>
      <c r="CV187" s="35">
        <f t="shared" si="107"/>
        <v>0.95132743362831862</v>
      </c>
      <c r="CW187" s="35">
        <f t="shared" si="108"/>
        <v>0.9826086956521739</v>
      </c>
      <c r="CX187" s="20">
        <v>920</v>
      </c>
      <c r="CY187" s="27">
        <f t="shared" si="154"/>
        <v>16</v>
      </c>
      <c r="CZ187" s="20">
        <v>904</v>
      </c>
      <c r="DA187" s="20">
        <v>860</v>
      </c>
      <c r="DB187" s="20">
        <f t="shared" si="155"/>
        <v>44</v>
      </c>
      <c r="DC187" s="20"/>
      <c r="DD187" s="20"/>
      <c r="DE187" s="46">
        <v>2008</v>
      </c>
      <c r="DF187" s="47" t="s">
        <v>39</v>
      </c>
      <c r="DG187" s="35">
        <f t="shared" si="111"/>
        <v>0.83680555555555558</v>
      </c>
      <c r="DH187" s="35">
        <f t="shared" si="112"/>
        <v>0.87318840579710144</v>
      </c>
      <c r="DI187" s="35">
        <f t="shared" si="113"/>
        <v>0.95833333333333337</v>
      </c>
      <c r="DJ187" s="20">
        <v>1152</v>
      </c>
      <c r="DK187" s="27">
        <f t="shared" si="156"/>
        <v>48</v>
      </c>
      <c r="DL187" s="20">
        <v>1104</v>
      </c>
      <c r="DM187" s="20">
        <v>964</v>
      </c>
      <c r="DN187" s="20">
        <f t="shared" si="157"/>
        <v>140</v>
      </c>
      <c r="DO187" s="20"/>
      <c r="DP187" s="20"/>
      <c r="DQ187" s="46"/>
      <c r="DR187" s="47"/>
      <c r="DS187" s="35"/>
      <c r="DT187" s="35"/>
      <c r="DU187" s="35"/>
      <c r="DV187" s="20"/>
      <c r="DW187" s="20"/>
      <c r="DX187" s="20"/>
      <c r="DY187" s="20"/>
      <c r="DZ187" s="20"/>
      <c r="EA187" s="20"/>
      <c r="EB187" s="20"/>
    </row>
    <row r="188" spans="1:132" s="29" customFormat="1" ht="12.75">
      <c r="A188" s="45">
        <v>2008</v>
      </c>
      <c r="B188" s="48" t="s">
        <v>40</v>
      </c>
      <c r="C188" s="35">
        <f t="shared" si="73"/>
        <v>0.69528610779065536</v>
      </c>
      <c r="D188" s="35">
        <f t="shared" si="74"/>
        <v>0.74108132062929311</v>
      </c>
      <c r="E188" s="35">
        <f t="shared" si="75"/>
        <v>0.93820487500649652</v>
      </c>
      <c r="F18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19241</v>
      </c>
      <c r="G188" s="20">
        <f t="shared" si="76"/>
        <v>1189</v>
      </c>
      <c r="H18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I18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13378</v>
      </c>
      <c r="J188" s="20">
        <f t="shared" si="77"/>
        <v>4674</v>
      </c>
      <c r="K188" s="27"/>
      <c r="L188" s="27"/>
      <c r="M188" s="45">
        <v>2008</v>
      </c>
      <c r="N188" s="48" t="s">
        <v>40</v>
      </c>
      <c r="O188" s="35">
        <f t="shared" si="78"/>
        <v>0.57542339503741635</v>
      </c>
      <c r="P188" s="35">
        <f t="shared" si="79"/>
        <v>0.62223168654173766</v>
      </c>
      <c r="Q188" s="35">
        <f t="shared" si="80"/>
        <v>0.9247735328869634</v>
      </c>
      <c r="R188" s="20">
        <v>5078</v>
      </c>
      <c r="S188" s="27">
        <f t="shared" si="144"/>
        <v>382</v>
      </c>
      <c r="T188" s="20">
        <v>4696</v>
      </c>
      <c r="U188" s="20">
        <v>2922</v>
      </c>
      <c r="V188" s="20">
        <f t="shared" si="145"/>
        <v>1774</v>
      </c>
      <c r="W188" s="20"/>
      <c r="X188" s="20"/>
      <c r="Y188" s="45"/>
      <c r="Z188" s="48"/>
      <c r="AA188" s="35"/>
      <c r="AB188" s="35"/>
      <c r="AC188" s="35"/>
      <c r="AD188" s="20"/>
      <c r="AE188" s="27"/>
      <c r="AF188" s="20"/>
      <c r="AG188" s="20"/>
      <c r="AH188" s="20"/>
      <c r="AI188" s="20"/>
      <c r="AJ188" s="20"/>
      <c r="AK188" s="45">
        <v>2008</v>
      </c>
      <c r="AL188" s="48" t="s">
        <v>40</v>
      </c>
      <c r="AM188" s="35">
        <f t="shared" si="86"/>
        <v>0.58163475396335185</v>
      </c>
      <c r="AN188" s="35">
        <f t="shared" si="87"/>
        <v>0.63626126126126126</v>
      </c>
      <c r="AO188" s="35">
        <f t="shared" si="88"/>
        <v>0.91414453366275483</v>
      </c>
      <c r="AP188" s="20">
        <v>4857</v>
      </c>
      <c r="AQ188" s="27">
        <f t="shared" si="146"/>
        <v>417</v>
      </c>
      <c r="AR188" s="20">
        <v>4440</v>
      </c>
      <c r="AS188" s="20">
        <v>2825</v>
      </c>
      <c r="AT188" s="20">
        <f t="shared" si="147"/>
        <v>1615</v>
      </c>
      <c r="AU188" s="20"/>
      <c r="AV188" s="20"/>
      <c r="AW188" s="45">
        <v>2008</v>
      </c>
      <c r="AX188" s="48" t="s">
        <v>40</v>
      </c>
      <c r="AY188" s="35">
        <f t="shared" si="91"/>
        <v>0.4573502722323049</v>
      </c>
      <c r="AZ188" s="35">
        <f t="shared" si="92"/>
        <v>0.56124721603563477</v>
      </c>
      <c r="BA188" s="35">
        <f t="shared" si="93"/>
        <v>0.81488203266787662</v>
      </c>
      <c r="BB188" s="20">
        <v>551</v>
      </c>
      <c r="BC188" s="27">
        <f t="shared" si="148"/>
        <v>102</v>
      </c>
      <c r="BD188" s="20">
        <v>449</v>
      </c>
      <c r="BE188" s="20">
        <v>252</v>
      </c>
      <c r="BF188" s="20">
        <f t="shared" si="149"/>
        <v>197</v>
      </c>
      <c r="BG188" s="20"/>
      <c r="BH188" s="20"/>
      <c r="BI188" s="45">
        <v>2008</v>
      </c>
      <c r="BJ188" s="48" t="s">
        <v>40</v>
      </c>
      <c r="BK188" s="35">
        <f t="shared" si="96"/>
        <v>0.8474511307014182</v>
      </c>
      <c r="BL188" s="35">
        <f t="shared" si="97"/>
        <v>0.87947494033412887</v>
      </c>
      <c r="BM188" s="35">
        <f t="shared" si="98"/>
        <v>0.96358758144883094</v>
      </c>
      <c r="BN188" s="20">
        <v>2609</v>
      </c>
      <c r="BO188" s="27">
        <f t="shared" si="150"/>
        <v>95</v>
      </c>
      <c r="BP188" s="20">
        <v>2514</v>
      </c>
      <c r="BQ188" s="20">
        <v>2211</v>
      </c>
      <c r="BR188" s="20">
        <f t="shared" si="151"/>
        <v>303</v>
      </c>
      <c r="BS188" s="20"/>
      <c r="BT188" s="20"/>
      <c r="BU188" s="45">
        <v>2008</v>
      </c>
      <c r="BV188" s="48" t="s">
        <v>40</v>
      </c>
      <c r="BW188" s="35">
        <f t="shared" si="101"/>
        <v>0.72958186791715518</v>
      </c>
      <c r="BX188" s="35">
        <f t="shared" si="102"/>
        <v>0.76079869600651995</v>
      </c>
      <c r="BY188" s="35">
        <f t="shared" si="103"/>
        <v>0.958968347010551</v>
      </c>
      <c r="BZ188" s="20">
        <v>2559</v>
      </c>
      <c r="CA188" s="27">
        <f t="shared" si="152"/>
        <v>105</v>
      </c>
      <c r="CB188" s="20">
        <v>2454</v>
      </c>
      <c r="CC188" s="20">
        <v>1867</v>
      </c>
      <c r="CD188" s="20">
        <f t="shared" si="153"/>
        <v>587</v>
      </c>
      <c r="CE188" s="20"/>
      <c r="CF188" s="20"/>
      <c r="CG188" s="45">
        <v>2008</v>
      </c>
      <c r="CH188" s="48" t="s">
        <v>40</v>
      </c>
      <c r="CI188" s="35">
        <f t="shared" si="58"/>
        <v>0.95300072306579897</v>
      </c>
      <c r="CJ188" s="35">
        <f t="shared" si="59"/>
        <v>0.9748520710059172</v>
      </c>
      <c r="CK188" s="35">
        <f t="shared" si="60"/>
        <v>0.97758496023138108</v>
      </c>
      <c r="CL188" s="20">
        <v>1383</v>
      </c>
      <c r="CM188" s="20">
        <f t="shared" si="61"/>
        <v>31</v>
      </c>
      <c r="CN188" s="20">
        <v>1352</v>
      </c>
      <c r="CO188" s="20">
        <v>1318</v>
      </c>
      <c r="CP188" s="20">
        <f t="shared" si="62"/>
        <v>34</v>
      </c>
      <c r="CQ188" s="20"/>
      <c r="CR188" s="20"/>
      <c r="CS188" s="45">
        <v>2008</v>
      </c>
      <c r="CT188" s="48" t="s">
        <v>40</v>
      </c>
      <c r="CU188" s="35">
        <f t="shared" si="106"/>
        <v>0.91922290388548056</v>
      </c>
      <c r="CV188" s="35">
        <f t="shared" si="107"/>
        <v>0.93743482794577682</v>
      </c>
      <c r="CW188" s="35">
        <f t="shared" si="108"/>
        <v>0.98057259713701428</v>
      </c>
      <c r="CX188" s="20">
        <v>978</v>
      </c>
      <c r="CY188" s="27">
        <f t="shared" si="154"/>
        <v>19</v>
      </c>
      <c r="CZ188" s="20">
        <v>959</v>
      </c>
      <c r="DA188" s="20">
        <v>899</v>
      </c>
      <c r="DB188" s="20">
        <f t="shared" si="155"/>
        <v>60</v>
      </c>
      <c r="DC188" s="20"/>
      <c r="DD188" s="20"/>
      <c r="DE188" s="45">
        <v>2008</v>
      </c>
      <c r="DF188" s="48" t="s">
        <v>40</v>
      </c>
      <c r="DG188" s="35">
        <f t="shared" si="111"/>
        <v>0.88417618270799347</v>
      </c>
      <c r="DH188" s="35">
        <f t="shared" si="112"/>
        <v>0.91245791245791241</v>
      </c>
      <c r="DI188" s="35">
        <f t="shared" si="113"/>
        <v>0.96900489396411094</v>
      </c>
      <c r="DJ188" s="20">
        <v>1226</v>
      </c>
      <c r="DK188" s="27">
        <f t="shared" si="156"/>
        <v>38</v>
      </c>
      <c r="DL188" s="20">
        <v>1188</v>
      </c>
      <c r="DM188" s="20">
        <v>1084</v>
      </c>
      <c r="DN188" s="20">
        <f t="shared" si="157"/>
        <v>104</v>
      </c>
      <c r="DO188" s="20"/>
      <c r="DP188" s="20"/>
      <c r="DQ188" s="45"/>
      <c r="DR188" s="48"/>
      <c r="DS188" s="35"/>
      <c r="DT188" s="35"/>
      <c r="DU188" s="35"/>
      <c r="DV188" s="20"/>
      <c r="DW188" s="20"/>
      <c r="DX188" s="20"/>
      <c r="DY188" s="20"/>
      <c r="DZ188" s="20"/>
      <c r="EA188" s="20"/>
      <c r="EB188" s="20"/>
    </row>
    <row r="189" spans="1:132" s="29" customFormat="1" ht="12.75">
      <c r="A189" s="46">
        <v>2008</v>
      </c>
      <c r="B189" s="47" t="s">
        <v>41</v>
      </c>
      <c r="C189" s="35">
        <f t="shared" si="73"/>
        <v>0.71731890091590345</v>
      </c>
      <c r="D189" s="35">
        <f t="shared" si="74"/>
        <v>0.7633181969210322</v>
      </c>
      <c r="E189" s="35">
        <f t="shared" si="75"/>
        <v>0.93973771856786015</v>
      </c>
      <c r="F18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19216</v>
      </c>
      <c r="G189" s="20">
        <f t="shared" si="76"/>
        <v>1158</v>
      </c>
      <c r="H18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18058</v>
      </c>
      <c r="I18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13784</v>
      </c>
      <c r="J189" s="20">
        <f t="shared" si="77"/>
        <v>4274</v>
      </c>
      <c r="K189" s="27"/>
      <c r="L189" s="27"/>
      <c r="M189" s="46">
        <v>2008</v>
      </c>
      <c r="N189" s="47" t="s">
        <v>41</v>
      </c>
      <c r="O189" s="35">
        <f t="shared" si="78"/>
        <v>0.60846664065548184</v>
      </c>
      <c r="P189" s="35">
        <f t="shared" si="79"/>
        <v>0.65649336981688067</v>
      </c>
      <c r="Q189" s="35">
        <f t="shared" si="80"/>
        <v>0.92684354272337099</v>
      </c>
      <c r="R189" s="20">
        <v>5126</v>
      </c>
      <c r="S189" s="27">
        <f t="shared" si="144"/>
        <v>375</v>
      </c>
      <c r="T189" s="20">
        <v>4751</v>
      </c>
      <c r="U189" s="20">
        <v>3119</v>
      </c>
      <c r="V189" s="20">
        <f t="shared" si="145"/>
        <v>1632</v>
      </c>
      <c r="W189" s="20"/>
      <c r="X189" s="20"/>
      <c r="Y189" s="46"/>
      <c r="Z189" s="47"/>
      <c r="AA189" s="35"/>
      <c r="AB189" s="35"/>
      <c r="AC189" s="35"/>
      <c r="AD189" s="20"/>
      <c r="AE189" s="27"/>
      <c r="AF189" s="20"/>
      <c r="AG189" s="20"/>
      <c r="AH189" s="20"/>
      <c r="AI189" s="20"/>
      <c r="AJ189" s="20"/>
      <c r="AK189" s="46">
        <v>2008</v>
      </c>
      <c r="AL189" s="47" t="s">
        <v>41</v>
      </c>
      <c r="AM189" s="35">
        <f t="shared" si="86"/>
        <v>0.65265532089399225</v>
      </c>
      <c r="AN189" s="35">
        <f t="shared" si="87"/>
        <v>0.71899706347413594</v>
      </c>
      <c r="AO189" s="35">
        <f t="shared" si="88"/>
        <v>0.9077301619848267</v>
      </c>
      <c r="AP189" s="20">
        <v>4877</v>
      </c>
      <c r="AQ189" s="27">
        <f t="shared" si="146"/>
        <v>450</v>
      </c>
      <c r="AR189" s="20">
        <v>4427</v>
      </c>
      <c r="AS189" s="20">
        <v>3183</v>
      </c>
      <c r="AT189" s="20">
        <f t="shared" si="147"/>
        <v>1244</v>
      </c>
      <c r="AU189" s="20"/>
      <c r="AV189" s="20"/>
      <c r="AW189" s="46">
        <v>2008</v>
      </c>
      <c r="AX189" s="47" t="s">
        <v>41</v>
      </c>
      <c r="AY189" s="35">
        <f t="shared" si="91"/>
        <v>0.53201970443349755</v>
      </c>
      <c r="AZ189" s="35">
        <f t="shared" si="92"/>
        <v>0.6328125</v>
      </c>
      <c r="BA189" s="35">
        <f t="shared" si="93"/>
        <v>0.84072249589490966</v>
      </c>
      <c r="BB189" s="20">
        <v>609</v>
      </c>
      <c r="BC189" s="27">
        <f t="shared" si="148"/>
        <v>97</v>
      </c>
      <c r="BD189" s="20">
        <v>512</v>
      </c>
      <c r="BE189" s="20">
        <v>324</v>
      </c>
      <c r="BF189" s="20">
        <f t="shared" si="149"/>
        <v>188</v>
      </c>
      <c r="BG189" s="20"/>
      <c r="BH189" s="20"/>
      <c r="BI189" s="46">
        <v>2008</v>
      </c>
      <c r="BJ189" s="47" t="s">
        <v>41</v>
      </c>
      <c r="BK189" s="35">
        <f t="shared" si="96"/>
        <v>0.84143023707734166</v>
      </c>
      <c r="BL189" s="35">
        <f t="shared" si="97"/>
        <v>0.87017684887459812</v>
      </c>
      <c r="BM189" s="35">
        <f t="shared" si="98"/>
        <v>0.96696463272444622</v>
      </c>
      <c r="BN189" s="20">
        <v>2573</v>
      </c>
      <c r="BO189" s="27">
        <f t="shared" si="150"/>
        <v>85</v>
      </c>
      <c r="BP189" s="20">
        <v>2488</v>
      </c>
      <c r="BQ189" s="20">
        <v>2165</v>
      </c>
      <c r="BR189" s="20">
        <f t="shared" si="151"/>
        <v>323</v>
      </c>
      <c r="BS189" s="20"/>
      <c r="BT189" s="20"/>
      <c r="BU189" s="46">
        <v>2008</v>
      </c>
      <c r="BV189" s="47" t="s">
        <v>41</v>
      </c>
      <c r="BW189" s="35">
        <f t="shared" si="101"/>
        <v>0.75455987311657413</v>
      </c>
      <c r="BX189" s="35">
        <f t="shared" si="102"/>
        <v>0.78184059161873465</v>
      </c>
      <c r="BY189" s="35">
        <f t="shared" si="103"/>
        <v>0.96510705789056306</v>
      </c>
      <c r="BZ189" s="20">
        <v>2522</v>
      </c>
      <c r="CA189" s="27">
        <f t="shared" si="152"/>
        <v>88</v>
      </c>
      <c r="CB189" s="20">
        <v>2434</v>
      </c>
      <c r="CC189" s="20">
        <v>1903</v>
      </c>
      <c r="CD189" s="20">
        <f t="shared" si="153"/>
        <v>531</v>
      </c>
      <c r="CE189" s="20"/>
      <c r="CF189" s="20"/>
      <c r="CG189" s="46">
        <v>2008</v>
      </c>
      <c r="CH189" s="47" t="s">
        <v>41</v>
      </c>
      <c r="CI189" s="35">
        <f t="shared" si="58"/>
        <v>0.94375456537618696</v>
      </c>
      <c r="CJ189" s="35">
        <f t="shared" si="59"/>
        <v>0.96130952380952384</v>
      </c>
      <c r="CK189" s="35">
        <f t="shared" si="60"/>
        <v>0.98173849525200874</v>
      </c>
      <c r="CL189" s="20">
        <v>1369</v>
      </c>
      <c r="CM189" s="20">
        <f t="shared" si="61"/>
        <v>25</v>
      </c>
      <c r="CN189" s="20">
        <v>1344</v>
      </c>
      <c r="CO189" s="20">
        <v>1292</v>
      </c>
      <c r="CP189" s="20">
        <f t="shared" si="62"/>
        <v>52</v>
      </c>
      <c r="CQ189" s="20"/>
      <c r="CR189" s="20"/>
      <c r="CS189" s="46">
        <v>2008</v>
      </c>
      <c r="CT189" s="47" t="s">
        <v>41</v>
      </c>
      <c r="CU189" s="35">
        <f t="shared" si="106"/>
        <v>0.92526315789473679</v>
      </c>
      <c r="CV189" s="35">
        <f t="shared" si="107"/>
        <v>0.93411264612114775</v>
      </c>
      <c r="CW189" s="35">
        <f t="shared" si="108"/>
        <v>0.9905263157894737</v>
      </c>
      <c r="CX189" s="20">
        <v>950</v>
      </c>
      <c r="CY189" s="27">
        <f t="shared" si="154"/>
        <v>9</v>
      </c>
      <c r="CZ189" s="20">
        <v>941</v>
      </c>
      <c r="DA189" s="20">
        <v>879</v>
      </c>
      <c r="DB189" s="20">
        <f t="shared" si="155"/>
        <v>62</v>
      </c>
      <c r="DC189" s="20"/>
      <c r="DD189" s="20"/>
      <c r="DE189" s="46">
        <v>2008</v>
      </c>
      <c r="DF189" s="47" t="s">
        <v>41</v>
      </c>
      <c r="DG189" s="35">
        <f t="shared" si="111"/>
        <v>0.77226890756302524</v>
      </c>
      <c r="DH189" s="35">
        <f t="shared" si="112"/>
        <v>0.79155900086132647</v>
      </c>
      <c r="DI189" s="35">
        <f t="shared" si="113"/>
        <v>0.97563025210084031</v>
      </c>
      <c r="DJ189" s="20">
        <v>1190</v>
      </c>
      <c r="DK189" s="27">
        <f t="shared" si="156"/>
        <v>29</v>
      </c>
      <c r="DL189" s="20">
        <v>1161</v>
      </c>
      <c r="DM189" s="20">
        <v>919</v>
      </c>
      <c r="DN189" s="20">
        <f t="shared" si="157"/>
        <v>242</v>
      </c>
      <c r="DO189" s="20"/>
      <c r="DP189" s="20"/>
      <c r="DQ189" s="46"/>
      <c r="DR189" s="47"/>
      <c r="DS189" s="35"/>
      <c r="DT189" s="35"/>
      <c r="DU189" s="35"/>
      <c r="DV189" s="20"/>
      <c r="DW189" s="20"/>
      <c r="DX189" s="20"/>
      <c r="DY189" s="20"/>
      <c r="DZ189" s="20"/>
      <c r="EA189" s="20"/>
      <c r="EB189" s="20"/>
    </row>
    <row r="190" spans="1:132" s="29" customFormat="1" ht="12.75">
      <c r="A190" s="45">
        <v>2008</v>
      </c>
      <c r="B190" s="48" t="s">
        <v>42</v>
      </c>
      <c r="C190" s="35">
        <f t="shared" si="73"/>
        <v>0.70024768740838095</v>
      </c>
      <c r="D190" s="35">
        <f t="shared" si="74"/>
        <v>0.7452657628577577</v>
      </c>
      <c r="E190" s="35">
        <f t="shared" si="75"/>
        <v>0.93959460142546636</v>
      </c>
      <c r="F19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19783</v>
      </c>
      <c r="G190" s="20">
        <f t="shared" si="76"/>
        <v>1195</v>
      </c>
      <c r="H19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18588</v>
      </c>
      <c r="I19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13853</v>
      </c>
      <c r="J190" s="20">
        <f t="shared" si="77"/>
        <v>4735</v>
      </c>
      <c r="K190" s="27"/>
      <c r="L190" s="27"/>
      <c r="M190" s="45">
        <v>2008</v>
      </c>
      <c r="N190" s="48" t="s">
        <v>42</v>
      </c>
      <c r="O190" s="35">
        <f t="shared" si="78"/>
        <v>0.65333586050037906</v>
      </c>
      <c r="P190" s="35">
        <f t="shared" si="79"/>
        <v>0.69947240259740262</v>
      </c>
      <c r="Q190" s="35">
        <f t="shared" si="80"/>
        <v>0.93404094010614103</v>
      </c>
      <c r="R190" s="20">
        <v>5276</v>
      </c>
      <c r="S190" s="27">
        <f t="shared" si="144"/>
        <v>348</v>
      </c>
      <c r="T190" s="20">
        <v>4928</v>
      </c>
      <c r="U190" s="20">
        <v>3447</v>
      </c>
      <c r="V190" s="20">
        <f t="shared" si="145"/>
        <v>1481</v>
      </c>
      <c r="W190" s="20"/>
      <c r="X190" s="20"/>
      <c r="Y190" s="45"/>
      <c r="Z190" s="48"/>
      <c r="AA190" s="35"/>
      <c r="AB190" s="35"/>
      <c r="AC190" s="35"/>
      <c r="AD190" s="20"/>
      <c r="AE190" s="27"/>
      <c r="AF190" s="20"/>
      <c r="AG190" s="20"/>
      <c r="AH190" s="20"/>
      <c r="AI190" s="20"/>
      <c r="AJ190" s="20"/>
      <c r="AK190" s="45">
        <v>2008</v>
      </c>
      <c r="AL190" s="48" t="s">
        <v>42</v>
      </c>
      <c r="AM190" s="35">
        <f t="shared" si="86"/>
        <v>0.69007360254625028</v>
      </c>
      <c r="AN190" s="35">
        <f t="shared" si="87"/>
        <v>0.74972984655284203</v>
      </c>
      <c r="AO190" s="35">
        <f t="shared" si="88"/>
        <v>0.92042967972946088</v>
      </c>
      <c r="AP190" s="20">
        <v>5027</v>
      </c>
      <c r="AQ190" s="27">
        <f t="shared" si="146"/>
        <v>400</v>
      </c>
      <c r="AR190" s="20">
        <v>4627</v>
      </c>
      <c r="AS190" s="20">
        <v>3469</v>
      </c>
      <c r="AT190" s="20">
        <f t="shared" si="147"/>
        <v>1158</v>
      </c>
      <c r="AU190" s="20"/>
      <c r="AV190" s="20"/>
      <c r="AW190" s="45">
        <v>2008</v>
      </c>
      <c r="AX190" s="48" t="s">
        <v>42</v>
      </c>
      <c r="AY190" s="35">
        <f t="shared" si="91"/>
        <v>0.5451559934318555</v>
      </c>
      <c r="AZ190" s="35">
        <f t="shared" si="92"/>
        <v>0.64591439688715957</v>
      </c>
      <c r="BA190" s="35">
        <f t="shared" si="93"/>
        <v>0.84400656814449915</v>
      </c>
      <c r="BB190" s="20">
        <v>609</v>
      </c>
      <c r="BC190" s="27">
        <f t="shared" si="148"/>
        <v>95</v>
      </c>
      <c r="BD190" s="20">
        <v>514</v>
      </c>
      <c r="BE190" s="20">
        <v>332</v>
      </c>
      <c r="BF190" s="20">
        <f t="shared" si="149"/>
        <v>182</v>
      </c>
      <c r="BG190" s="20"/>
      <c r="BH190" s="20"/>
      <c r="BI190" s="45">
        <v>2008</v>
      </c>
      <c r="BJ190" s="48" t="s">
        <v>42</v>
      </c>
      <c r="BK190" s="35">
        <f t="shared" si="96"/>
        <v>0.84383251603168619</v>
      </c>
      <c r="BL190" s="35">
        <f t="shared" si="97"/>
        <v>0.86840062111801242</v>
      </c>
      <c r="BM190" s="35">
        <f t="shared" si="98"/>
        <v>0.97170878913617498</v>
      </c>
      <c r="BN190" s="20">
        <v>2651</v>
      </c>
      <c r="BO190" s="27">
        <f t="shared" si="150"/>
        <v>75</v>
      </c>
      <c r="BP190" s="20">
        <v>2576</v>
      </c>
      <c r="BQ190" s="20">
        <v>2237</v>
      </c>
      <c r="BR190" s="20">
        <f t="shared" si="151"/>
        <v>339</v>
      </c>
      <c r="BS190" s="20"/>
      <c r="BT190" s="20"/>
      <c r="BU190" s="45">
        <v>2008</v>
      </c>
      <c r="BV190" s="48" t="s">
        <v>42</v>
      </c>
      <c r="BW190" s="35">
        <f t="shared" si="101"/>
        <v>0.76183147364370907</v>
      </c>
      <c r="BX190" s="35">
        <f t="shared" si="102"/>
        <v>0.78947368421052633</v>
      </c>
      <c r="BY190" s="35">
        <f t="shared" si="103"/>
        <v>0.96498653328203154</v>
      </c>
      <c r="BZ190" s="20">
        <v>2599</v>
      </c>
      <c r="CA190" s="27">
        <f t="shared" si="152"/>
        <v>91</v>
      </c>
      <c r="CB190" s="20">
        <v>2508</v>
      </c>
      <c r="CC190" s="20">
        <v>1980</v>
      </c>
      <c r="CD190" s="20">
        <f t="shared" si="153"/>
        <v>528</v>
      </c>
      <c r="CE190" s="20"/>
      <c r="CF190" s="20"/>
      <c r="CG190" s="45">
        <v>2008</v>
      </c>
      <c r="CH190" s="48" t="s">
        <v>42</v>
      </c>
      <c r="CI190" s="35">
        <f t="shared" si="58"/>
        <v>0.94535131298793473</v>
      </c>
      <c r="CJ190" s="35">
        <f t="shared" si="59"/>
        <v>0.96591733139956493</v>
      </c>
      <c r="CK190" s="35">
        <f t="shared" si="60"/>
        <v>0.97870830376153295</v>
      </c>
      <c r="CL190" s="20">
        <v>1409</v>
      </c>
      <c r="CM190" s="20">
        <f t="shared" si="61"/>
        <v>30</v>
      </c>
      <c r="CN190" s="20">
        <v>1379</v>
      </c>
      <c r="CO190" s="20">
        <v>1332</v>
      </c>
      <c r="CP190" s="20">
        <f t="shared" si="62"/>
        <v>47</v>
      </c>
      <c r="CQ190" s="20"/>
      <c r="CR190" s="20"/>
      <c r="CS190" s="45">
        <v>2008</v>
      </c>
      <c r="CT190" s="48" t="s">
        <v>42</v>
      </c>
      <c r="CU190" s="35">
        <f t="shared" si="106"/>
        <v>0.89918533604887985</v>
      </c>
      <c r="CV190" s="35">
        <f t="shared" si="107"/>
        <v>0.91030927835051545</v>
      </c>
      <c r="CW190" s="35">
        <f t="shared" si="108"/>
        <v>0.98778004073319758</v>
      </c>
      <c r="CX190" s="20">
        <v>982</v>
      </c>
      <c r="CY190" s="27">
        <f t="shared" si="154"/>
        <v>12</v>
      </c>
      <c r="CZ190" s="20">
        <v>970</v>
      </c>
      <c r="DA190" s="20">
        <v>883</v>
      </c>
      <c r="DB190" s="20">
        <f t="shared" si="155"/>
        <v>87</v>
      </c>
      <c r="DC190" s="20"/>
      <c r="DD190" s="20"/>
      <c r="DE190" s="45">
        <v>2008</v>
      </c>
      <c r="DF190" s="48" t="s">
        <v>42</v>
      </c>
      <c r="DG190" s="35">
        <f t="shared" si="111"/>
        <v>0.14065040650406505</v>
      </c>
      <c r="DH190" s="35">
        <f t="shared" si="112"/>
        <v>0.15930018416206262</v>
      </c>
      <c r="DI190" s="35">
        <f t="shared" si="113"/>
        <v>0.88292682926829269</v>
      </c>
      <c r="DJ190" s="20">
        <v>1230</v>
      </c>
      <c r="DK190" s="27">
        <f t="shared" si="156"/>
        <v>144</v>
      </c>
      <c r="DL190" s="20">
        <v>1086</v>
      </c>
      <c r="DM190" s="20">
        <v>173</v>
      </c>
      <c r="DN190" s="20">
        <f t="shared" si="157"/>
        <v>913</v>
      </c>
      <c r="DO190" s="20"/>
      <c r="DP190" s="20"/>
      <c r="DQ190" s="45"/>
      <c r="DR190" s="48"/>
      <c r="DS190" s="35"/>
      <c r="DT190" s="35"/>
      <c r="DU190" s="35"/>
      <c r="DV190" s="20"/>
      <c r="DW190" s="20"/>
      <c r="DX190" s="20"/>
      <c r="DY190" s="20"/>
      <c r="DZ190" s="20"/>
      <c r="EA190" s="20"/>
      <c r="EB190" s="20"/>
    </row>
    <row r="191" spans="1:132" s="29" customFormat="1" ht="12.75">
      <c r="A191" s="46">
        <v>2008</v>
      </c>
      <c r="B191" s="47" t="s">
        <v>43</v>
      </c>
      <c r="C191" s="35">
        <f t="shared" si="73"/>
        <v>0.7066772235418316</v>
      </c>
      <c r="D191" s="35">
        <f t="shared" si="74"/>
        <v>0.75188138829607998</v>
      </c>
      <c r="E191" s="35">
        <f t="shared" si="75"/>
        <v>0.93987859593560308</v>
      </c>
      <c r="F19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18945</v>
      </c>
      <c r="G191" s="20">
        <f t="shared" si="76"/>
        <v>1139</v>
      </c>
      <c r="H19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17806</v>
      </c>
      <c r="I19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13388</v>
      </c>
      <c r="J191" s="20">
        <f t="shared" si="77"/>
        <v>4418</v>
      </c>
      <c r="K191" s="27"/>
      <c r="L191" s="27"/>
      <c r="M191" s="46">
        <v>2008</v>
      </c>
      <c r="N191" s="47" t="s">
        <v>43</v>
      </c>
      <c r="O191" s="35">
        <f t="shared" si="78"/>
        <v>0.67674557390093493</v>
      </c>
      <c r="P191" s="35">
        <f t="shared" si="79"/>
        <v>0.71711635750421587</v>
      </c>
      <c r="Q191" s="35">
        <f t="shared" si="80"/>
        <v>0.94370399840859365</v>
      </c>
      <c r="R191" s="20">
        <v>5027</v>
      </c>
      <c r="S191" s="27">
        <f t="shared" si="144"/>
        <v>283</v>
      </c>
      <c r="T191" s="20">
        <v>4744</v>
      </c>
      <c r="U191" s="20">
        <v>3402</v>
      </c>
      <c r="V191" s="20">
        <f t="shared" si="145"/>
        <v>1342</v>
      </c>
      <c r="W191" s="20"/>
      <c r="X191" s="20"/>
      <c r="Y191" s="46"/>
      <c r="Z191" s="47"/>
      <c r="AA191" s="35"/>
      <c r="AB191" s="35"/>
      <c r="AC191" s="35"/>
      <c r="AD191" s="20"/>
      <c r="AE191" s="27"/>
      <c r="AF191" s="20"/>
      <c r="AG191" s="20"/>
      <c r="AH191" s="20"/>
      <c r="AI191" s="20"/>
      <c r="AJ191" s="20"/>
      <c r="AK191" s="46">
        <v>2008</v>
      </c>
      <c r="AL191" s="47" t="s">
        <v>43</v>
      </c>
      <c r="AM191" s="35">
        <f t="shared" si="86"/>
        <v>0.70262938230383976</v>
      </c>
      <c r="AN191" s="35">
        <f t="shared" si="87"/>
        <v>0.76090395480225992</v>
      </c>
      <c r="AO191" s="35">
        <f t="shared" si="88"/>
        <v>0.92341402337228717</v>
      </c>
      <c r="AP191" s="20">
        <v>4792</v>
      </c>
      <c r="AQ191" s="27">
        <f t="shared" si="146"/>
        <v>367</v>
      </c>
      <c r="AR191" s="20">
        <v>4425</v>
      </c>
      <c r="AS191" s="20">
        <v>3367</v>
      </c>
      <c r="AT191" s="20">
        <f t="shared" si="147"/>
        <v>1058</v>
      </c>
      <c r="AU191" s="20"/>
      <c r="AV191" s="20"/>
      <c r="AW191" s="46">
        <v>2008</v>
      </c>
      <c r="AX191" s="47" t="s">
        <v>43</v>
      </c>
      <c r="AY191" s="35">
        <f t="shared" si="91"/>
        <v>0.47931034482758622</v>
      </c>
      <c r="AZ191" s="35">
        <f t="shared" si="92"/>
        <v>0.56850715746421265</v>
      </c>
      <c r="BA191" s="35">
        <f t="shared" si="93"/>
        <v>0.84310344827586203</v>
      </c>
      <c r="BB191" s="20">
        <v>580</v>
      </c>
      <c r="BC191" s="27">
        <f t="shared" si="148"/>
        <v>91</v>
      </c>
      <c r="BD191" s="20">
        <v>489</v>
      </c>
      <c r="BE191" s="20">
        <v>278</v>
      </c>
      <c r="BF191" s="20">
        <f t="shared" si="149"/>
        <v>211</v>
      </c>
      <c r="BG191" s="20"/>
      <c r="BH191" s="20"/>
      <c r="BI191" s="46">
        <v>2008</v>
      </c>
      <c r="BJ191" s="47" t="s">
        <v>43</v>
      </c>
      <c r="BK191" s="35">
        <f t="shared" si="96"/>
        <v>0.83738244514106586</v>
      </c>
      <c r="BL191" s="35">
        <f t="shared" si="97"/>
        <v>0.86134623135832322</v>
      </c>
      <c r="BM191" s="35">
        <f t="shared" si="98"/>
        <v>0.97217868338557989</v>
      </c>
      <c r="BN191" s="20">
        <v>2552</v>
      </c>
      <c r="BO191" s="27">
        <f t="shared" si="150"/>
        <v>71</v>
      </c>
      <c r="BP191" s="20">
        <v>2481</v>
      </c>
      <c r="BQ191" s="20">
        <v>2137</v>
      </c>
      <c r="BR191" s="20">
        <f t="shared" si="151"/>
        <v>344</v>
      </c>
      <c r="BS191" s="20"/>
      <c r="BT191" s="20"/>
      <c r="BU191" s="46">
        <v>2008</v>
      </c>
      <c r="BV191" s="47" t="s">
        <v>43</v>
      </c>
      <c r="BW191" s="35">
        <f t="shared" si="101"/>
        <v>0.74980015987210236</v>
      </c>
      <c r="BX191" s="35">
        <f t="shared" si="102"/>
        <v>0.77713338856669434</v>
      </c>
      <c r="BY191" s="35">
        <f t="shared" si="103"/>
        <v>0.96482813749000795</v>
      </c>
      <c r="BZ191" s="20">
        <v>2502</v>
      </c>
      <c r="CA191" s="27">
        <f t="shared" si="152"/>
        <v>88</v>
      </c>
      <c r="CB191" s="20">
        <v>2414</v>
      </c>
      <c r="CC191" s="20">
        <v>1876</v>
      </c>
      <c r="CD191" s="20">
        <f t="shared" si="153"/>
        <v>538</v>
      </c>
      <c r="CE191" s="20"/>
      <c r="CF191" s="20"/>
      <c r="CG191" s="46">
        <v>2008</v>
      </c>
      <c r="CH191" s="47" t="s">
        <v>43</v>
      </c>
      <c r="CI191" s="35">
        <f t="shared" si="58"/>
        <v>0.9336283185840708</v>
      </c>
      <c r="CJ191" s="35">
        <f t="shared" si="59"/>
        <v>0.95187969924812033</v>
      </c>
      <c r="CK191" s="35">
        <f t="shared" si="60"/>
        <v>0.9808259587020649</v>
      </c>
      <c r="CL191" s="20">
        <v>1356</v>
      </c>
      <c r="CM191" s="20">
        <f t="shared" si="61"/>
        <v>26</v>
      </c>
      <c r="CN191" s="20">
        <v>1330</v>
      </c>
      <c r="CO191" s="20">
        <v>1266</v>
      </c>
      <c r="CP191" s="20">
        <f t="shared" si="62"/>
        <v>64</v>
      </c>
      <c r="CQ191" s="20"/>
      <c r="CR191" s="20"/>
      <c r="CS191" s="46">
        <v>2008</v>
      </c>
      <c r="CT191" s="47" t="s">
        <v>43</v>
      </c>
      <c r="CU191" s="35">
        <f t="shared" si="106"/>
        <v>0.91666666666666663</v>
      </c>
      <c r="CV191" s="35">
        <f t="shared" si="107"/>
        <v>0.94047619047619047</v>
      </c>
      <c r="CW191" s="35">
        <f t="shared" si="108"/>
        <v>0.97468354430379744</v>
      </c>
      <c r="CX191" s="20">
        <v>948</v>
      </c>
      <c r="CY191" s="27">
        <f t="shared" si="154"/>
        <v>24</v>
      </c>
      <c r="CZ191" s="20">
        <v>924</v>
      </c>
      <c r="DA191" s="20">
        <v>869</v>
      </c>
      <c r="DB191" s="20">
        <f t="shared" si="155"/>
        <v>55</v>
      </c>
      <c r="DC191" s="20"/>
      <c r="DD191" s="20"/>
      <c r="DE191" s="46">
        <v>2008</v>
      </c>
      <c r="DF191" s="47" t="s">
        <v>43</v>
      </c>
      <c r="DG191" s="35">
        <f t="shared" si="111"/>
        <v>0.16245791245791247</v>
      </c>
      <c r="DH191" s="35">
        <f t="shared" si="112"/>
        <v>0.1931931931931932</v>
      </c>
      <c r="DI191" s="35">
        <f t="shared" si="113"/>
        <v>0.84090909090909094</v>
      </c>
      <c r="DJ191" s="20">
        <v>1188</v>
      </c>
      <c r="DK191" s="27">
        <f t="shared" si="156"/>
        <v>189</v>
      </c>
      <c r="DL191" s="20">
        <v>999</v>
      </c>
      <c r="DM191" s="20">
        <v>193</v>
      </c>
      <c r="DN191" s="20">
        <f t="shared" si="157"/>
        <v>806</v>
      </c>
      <c r="DO191" s="20"/>
      <c r="DP191" s="20"/>
      <c r="DQ191" s="46"/>
      <c r="DR191" s="47"/>
      <c r="DS191" s="35"/>
      <c r="DT191" s="35"/>
      <c r="DU191" s="35"/>
      <c r="DV191" s="20"/>
      <c r="DW191" s="20"/>
      <c r="DX191" s="20"/>
      <c r="DY191" s="20"/>
      <c r="DZ191" s="20"/>
      <c r="EA191" s="20"/>
      <c r="EB191" s="20"/>
    </row>
    <row r="192" spans="1:132" s="29" customFormat="1" ht="12.75">
      <c r="A192" s="45">
        <v>2008</v>
      </c>
      <c r="B192" s="48" t="s">
        <v>44</v>
      </c>
      <c r="C192" s="35">
        <f t="shared" si="73"/>
        <v>0.68142570281124493</v>
      </c>
      <c r="D192" s="35">
        <f t="shared" si="74"/>
        <v>0.75160575858250278</v>
      </c>
      <c r="E192" s="35">
        <f t="shared" si="75"/>
        <v>0.90662650602409633</v>
      </c>
      <c r="F19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G192" s="20">
        <f t="shared" si="76"/>
        <v>1860</v>
      </c>
      <c r="H19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18060</v>
      </c>
      <c r="I19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J192" s="20">
        <f t="shared" si="77"/>
        <v>4486</v>
      </c>
      <c r="K192" s="27"/>
      <c r="L192" s="27"/>
      <c r="M192" s="45">
        <v>2008</v>
      </c>
      <c r="N192" s="48" t="s">
        <v>44</v>
      </c>
      <c r="O192" s="35">
        <f t="shared" si="78"/>
        <v>0.64561007708215834</v>
      </c>
      <c r="P192" s="35">
        <f t="shared" si="79"/>
        <v>0.74248648648648652</v>
      </c>
      <c r="Q192" s="35">
        <f t="shared" si="80"/>
        <v>0.86952434668170708</v>
      </c>
      <c r="R192" s="20">
        <v>5319</v>
      </c>
      <c r="S192" s="27">
        <f t="shared" si="144"/>
        <v>694</v>
      </c>
      <c r="T192" s="20">
        <v>4625</v>
      </c>
      <c r="U192" s="20">
        <v>3434</v>
      </c>
      <c r="V192" s="20">
        <f t="shared" si="145"/>
        <v>1191</v>
      </c>
      <c r="W192" s="20"/>
      <c r="X192" s="20"/>
      <c r="Y192" s="45"/>
      <c r="Z192" s="48"/>
      <c r="AA192" s="35"/>
      <c r="AB192" s="35"/>
      <c r="AC192" s="35"/>
      <c r="AD192" s="20"/>
      <c r="AE192" s="27"/>
      <c r="AF192" s="20"/>
      <c r="AG192" s="20"/>
      <c r="AH192" s="20"/>
      <c r="AI192" s="20"/>
      <c r="AJ192" s="20"/>
      <c r="AK192" s="45">
        <v>2008</v>
      </c>
      <c r="AL192" s="48" t="s">
        <v>44</v>
      </c>
      <c r="AM192" s="35">
        <f t="shared" si="86"/>
        <v>0.66805061289047052</v>
      </c>
      <c r="AN192" s="35">
        <f t="shared" si="87"/>
        <v>0.76847850807368656</v>
      </c>
      <c r="AO192" s="35">
        <f t="shared" si="88"/>
        <v>0.86931593515223404</v>
      </c>
      <c r="AP192" s="20">
        <v>5058</v>
      </c>
      <c r="AQ192" s="27">
        <f t="shared" si="146"/>
        <v>661</v>
      </c>
      <c r="AR192" s="20">
        <v>4397</v>
      </c>
      <c r="AS192" s="20">
        <v>3379</v>
      </c>
      <c r="AT192" s="20">
        <f t="shared" si="147"/>
        <v>1018</v>
      </c>
      <c r="AU192" s="20"/>
      <c r="AV192" s="20"/>
      <c r="AW192" s="45">
        <v>2008</v>
      </c>
      <c r="AX192" s="48" t="s">
        <v>44</v>
      </c>
      <c r="AY192" s="35">
        <f t="shared" si="91"/>
        <v>0.4843260188087774</v>
      </c>
      <c r="AZ192" s="35">
        <f t="shared" si="92"/>
        <v>0.59652509652509655</v>
      </c>
      <c r="BA192" s="35">
        <f t="shared" si="93"/>
        <v>0.81191222570532917</v>
      </c>
      <c r="BB192" s="20">
        <v>638</v>
      </c>
      <c r="BC192" s="27">
        <f t="shared" si="148"/>
        <v>120</v>
      </c>
      <c r="BD192" s="20">
        <v>518</v>
      </c>
      <c r="BE192" s="20">
        <v>309</v>
      </c>
      <c r="BF192" s="20">
        <f t="shared" si="149"/>
        <v>209</v>
      </c>
      <c r="BG192" s="20"/>
      <c r="BH192" s="20"/>
      <c r="BI192" s="45">
        <v>2008</v>
      </c>
      <c r="BJ192" s="48" t="s">
        <v>44</v>
      </c>
      <c r="BK192" s="35">
        <f t="shared" si="96"/>
        <v>0.83295795795795791</v>
      </c>
      <c r="BL192" s="35">
        <f t="shared" si="97"/>
        <v>0.85741885625965997</v>
      </c>
      <c r="BM192" s="35">
        <f t="shared" si="98"/>
        <v>0.9714714714714715</v>
      </c>
      <c r="BN192" s="20">
        <v>2664</v>
      </c>
      <c r="BO192" s="27">
        <f t="shared" si="150"/>
        <v>76</v>
      </c>
      <c r="BP192" s="20">
        <v>2588</v>
      </c>
      <c r="BQ192" s="20">
        <v>2219</v>
      </c>
      <c r="BR192" s="20">
        <f t="shared" si="151"/>
        <v>369</v>
      </c>
      <c r="BS192" s="20"/>
      <c r="BT192" s="20"/>
      <c r="BU192" s="45">
        <v>2008</v>
      </c>
      <c r="BV192" s="48" t="s">
        <v>44</v>
      </c>
      <c r="BW192" s="35">
        <f t="shared" si="101"/>
        <v>0.71160474913826122</v>
      </c>
      <c r="BX192" s="35">
        <f t="shared" si="102"/>
        <v>0.73496835443037978</v>
      </c>
      <c r="BY192" s="35">
        <f t="shared" si="103"/>
        <v>0.96821141325162774</v>
      </c>
      <c r="BZ192" s="20">
        <v>2611</v>
      </c>
      <c r="CA192" s="27">
        <f t="shared" si="152"/>
        <v>83</v>
      </c>
      <c r="CB192" s="20">
        <v>2528</v>
      </c>
      <c r="CC192" s="20">
        <v>1858</v>
      </c>
      <c r="CD192" s="20">
        <f t="shared" si="153"/>
        <v>670</v>
      </c>
      <c r="CE192" s="20"/>
      <c r="CF192" s="20"/>
      <c r="CG192" s="45">
        <v>2008</v>
      </c>
      <c r="CH192" s="48" t="s">
        <v>44</v>
      </c>
      <c r="CI192" s="35">
        <f t="shared" si="58"/>
        <v>0.92736248236953456</v>
      </c>
      <c r="CJ192" s="35">
        <f t="shared" si="59"/>
        <v>0.93995711222301648</v>
      </c>
      <c r="CK192" s="35">
        <f t="shared" si="60"/>
        <v>0.98660084626234135</v>
      </c>
      <c r="CL192" s="20">
        <v>1418</v>
      </c>
      <c r="CM192" s="20">
        <f t="shared" si="61"/>
        <v>19</v>
      </c>
      <c r="CN192" s="20">
        <v>1399</v>
      </c>
      <c r="CO192" s="20">
        <v>1315</v>
      </c>
      <c r="CP192" s="20">
        <f t="shared" si="62"/>
        <v>84</v>
      </c>
      <c r="CQ192" s="20"/>
      <c r="CR192" s="20"/>
      <c r="CS192" s="45">
        <v>2008</v>
      </c>
      <c r="CT192" s="48" t="s">
        <v>44</v>
      </c>
      <c r="CU192" s="35">
        <f t="shared" si="106"/>
        <v>0.94093686354378814</v>
      </c>
      <c r="CV192" s="35">
        <f t="shared" si="107"/>
        <v>0.94672131147540983</v>
      </c>
      <c r="CW192" s="35">
        <f t="shared" si="108"/>
        <v>0.99389002036659879</v>
      </c>
      <c r="CX192" s="20">
        <v>982</v>
      </c>
      <c r="CY192" s="27">
        <f t="shared" si="154"/>
        <v>6</v>
      </c>
      <c r="CZ192" s="20">
        <v>976</v>
      </c>
      <c r="DA192" s="20">
        <v>924</v>
      </c>
      <c r="DB192" s="20">
        <f t="shared" si="155"/>
        <v>52</v>
      </c>
      <c r="DC192" s="20"/>
      <c r="DD192" s="20"/>
      <c r="DE192" s="45">
        <v>2008</v>
      </c>
      <c r="DF192" s="48" t="s">
        <v>44</v>
      </c>
      <c r="DG192" s="35">
        <f t="shared" si="111"/>
        <v>0.11056910569105691</v>
      </c>
      <c r="DH192" s="35">
        <f t="shared" si="112"/>
        <v>0.13216715257531583</v>
      </c>
      <c r="DI192" s="35">
        <f t="shared" si="113"/>
        <v>0.8365853658536585</v>
      </c>
      <c r="DJ192" s="20">
        <v>1230</v>
      </c>
      <c r="DK192" s="27">
        <f t="shared" si="156"/>
        <v>201</v>
      </c>
      <c r="DL192" s="20">
        <v>1029</v>
      </c>
      <c r="DM192" s="20">
        <v>136</v>
      </c>
      <c r="DN192" s="20">
        <f t="shared" si="157"/>
        <v>893</v>
      </c>
      <c r="DO192" s="20"/>
      <c r="DP192" s="20"/>
      <c r="DQ192" s="45"/>
      <c r="DR192" s="48"/>
      <c r="DS192" s="35"/>
      <c r="DT192" s="35"/>
      <c r="DU192" s="35"/>
      <c r="DV192" s="20"/>
      <c r="DW192" s="20"/>
      <c r="DX192" s="20"/>
      <c r="DY192" s="20"/>
      <c r="DZ192" s="20"/>
      <c r="EA192" s="20"/>
      <c r="EB192" s="20"/>
    </row>
    <row r="193" spans="1:132" s="29" customFormat="1" ht="12.75">
      <c r="A193" s="46">
        <v>2008</v>
      </c>
      <c r="B193" s="47" t="s">
        <v>45</v>
      </c>
      <c r="C193" s="35">
        <f t="shared" si="73"/>
        <v>0.70646715178845954</v>
      </c>
      <c r="D193" s="35">
        <f t="shared" si="74"/>
        <v>0.77562732080567121</v>
      </c>
      <c r="E193" s="35">
        <f t="shared" si="75"/>
        <v>0.91083324792456699</v>
      </c>
      <c r="F19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19514</v>
      </c>
      <c r="G193" s="20">
        <f t="shared" si="76"/>
        <v>1740</v>
      </c>
      <c r="H19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17774</v>
      </c>
      <c r="I19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13786</v>
      </c>
      <c r="J193" s="20">
        <f t="shared" si="77"/>
        <v>3988</v>
      </c>
      <c r="K193" s="27"/>
      <c r="L193" s="27"/>
      <c r="M193" s="46">
        <v>2008</v>
      </c>
      <c r="N193" s="47" t="s">
        <v>45</v>
      </c>
      <c r="O193" s="35">
        <f t="shared" si="78"/>
        <v>0.62881421398223247</v>
      </c>
      <c r="P193" s="35">
        <f t="shared" si="79"/>
        <v>0.71450515690147032</v>
      </c>
      <c r="Q193" s="35">
        <f t="shared" si="80"/>
        <v>0.88006952491309387</v>
      </c>
      <c r="R193" s="20">
        <v>5178</v>
      </c>
      <c r="S193" s="27">
        <f t="shared" si="144"/>
        <v>621</v>
      </c>
      <c r="T193" s="20">
        <v>4557</v>
      </c>
      <c r="U193" s="20">
        <v>3256</v>
      </c>
      <c r="V193" s="20">
        <f t="shared" si="145"/>
        <v>1301</v>
      </c>
      <c r="W193" s="20"/>
      <c r="X193" s="20"/>
      <c r="Y193" s="46"/>
      <c r="Z193" s="47"/>
      <c r="AA193" s="35"/>
      <c r="AB193" s="35"/>
      <c r="AC193" s="35"/>
      <c r="AD193" s="20"/>
      <c r="AE193" s="27"/>
      <c r="AF193" s="20"/>
      <c r="AG193" s="20"/>
      <c r="AH193" s="20"/>
      <c r="AI193" s="20"/>
      <c r="AJ193" s="20"/>
      <c r="AK193" s="46">
        <v>2008</v>
      </c>
      <c r="AL193" s="47" t="s">
        <v>45</v>
      </c>
      <c r="AM193" s="35">
        <f t="shared" si="86"/>
        <v>0.68015375278171153</v>
      </c>
      <c r="AN193" s="35">
        <f t="shared" si="87"/>
        <v>0.78588125292192612</v>
      </c>
      <c r="AO193" s="35">
        <f t="shared" si="88"/>
        <v>0.86546631600242763</v>
      </c>
      <c r="AP193" s="20">
        <v>4943</v>
      </c>
      <c r="AQ193" s="27">
        <f t="shared" si="146"/>
        <v>665</v>
      </c>
      <c r="AR193" s="20">
        <v>4278</v>
      </c>
      <c r="AS193" s="20">
        <v>3362</v>
      </c>
      <c r="AT193" s="20">
        <f t="shared" si="147"/>
        <v>916</v>
      </c>
      <c r="AU193" s="20"/>
      <c r="AV193" s="20"/>
      <c r="AW193" s="46">
        <v>2008</v>
      </c>
      <c r="AX193" s="47" t="s">
        <v>45</v>
      </c>
      <c r="AY193" s="35">
        <f t="shared" si="91"/>
        <v>0.55862068965517242</v>
      </c>
      <c r="AZ193" s="35">
        <f t="shared" si="92"/>
        <v>0.63905325443786987</v>
      </c>
      <c r="BA193" s="35">
        <f t="shared" si="93"/>
        <v>0.87413793103448278</v>
      </c>
      <c r="BB193" s="20">
        <v>580</v>
      </c>
      <c r="BC193" s="27">
        <f t="shared" si="148"/>
        <v>73</v>
      </c>
      <c r="BD193" s="20">
        <v>507</v>
      </c>
      <c r="BE193" s="20">
        <v>324</v>
      </c>
      <c r="BF193" s="20">
        <f t="shared" si="149"/>
        <v>183</v>
      </c>
      <c r="BG193" s="20"/>
      <c r="BH193" s="20"/>
      <c r="BI193" s="46">
        <v>2008</v>
      </c>
      <c r="BJ193" s="47" t="s">
        <v>45</v>
      </c>
      <c r="BK193" s="35">
        <f t="shared" si="96"/>
        <v>0.90684410646387836</v>
      </c>
      <c r="BL193" s="35">
        <f t="shared" si="97"/>
        <v>0.92049401775376305</v>
      </c>
      <c r="BM193" s="35">
        <f t="shared" si="98"/>
        <v>0.98517110266159691</v>
      </c>
      <c r="BN193" s="20">
        <v>2630</v>
      </c>
      <c r="BO193" s="27">
        <f t="shared" si="150"/>
        <v>39</v>
      </c>
      <c r="BP193" s="20">
        <v>2591</v>
      </c>
      <c r="BQ193" s="20">
        <v>2385</v>
      </c>
      <c r="BR193" s="20">
        <f t="shared" si="151"/>
        <v>206</v>
      </c>
      <c r="BS193" s="20"/>
      <c r="BT193" s="20"/>
      <c r="BU193" s="46">
        <v>2008</v>
      </c>
      <c r="BV193" s="47" t="s">
        <v>45</v>
      </c>
      <c r="BW193" s="35">
        <f t="shared" si="101"/>
        <v>0.78984102365257847</v>
      </c>
      <c r="BX193" s="35">
        <f t="shared" si="102"/>
        <v>0.81577893472166596</v>
      </c>
      <c r="BY193" s="35">
        <f t="shared" si="103"/>
        <v>0.96820473051570377</v>
      </c>
      <c r="BZ193" s="20">
        <v>2579</v>
      </c>
      <c r="CA193" s="27">
        <f t="shared" si="152"/>
        <v>82</v>
      </c>
      <c r="CB193" s="20">
        <v>2497</v>
      </c>
      <c r="CC193" s="20">
        <v>2037</v>
      </c>
      <c r="CD193" s="20">
        <f t="shared" si="153"/>
        <v>460</v>
      </c>
      <c r="CE193" s="20"/>
      <c r="CF193" s="20"/>
      <c r="CG193" s="46">
        <v>2008</v>
      </c>
      <c r="CH193" s="47" t="s">
        <v>45</v>
      </c>
      <c r="CI193" s="35">
        <f t="shared" si="58"/>
        <v>0.9484240687679083</v>
      </c>
      <c r="CJ193" s="35">
        <f t="shared" si="59"/>
        <v>0.95872556118754526</v>
      </c>
      <c r="CK193" s="35">
        <f t="shared" si="60"/>
        <v>0.98925501432664753</v>
      </c>
      <c r="CL193" s="20">
        <v>1396</v>
      </c>
      <c r="CM193" s="20">
        <f t="shared" si="61"/>
        <v>15</v>
      </c>
      <c r="CN193" s="20">
        <v>1381</v>
      </c>
      <c r="CO193" s="20">
        <v>1324</v>
      </c>
      <c r="CP193" s="20">
        <f t="shared" si="62"/>
        <v>57</v>
      </c>
      <c r="CQ193" s="20"/>
      <c r="CR193" s="20"/>
      <c r="CS193" s="46">
        <v>2008</v>
      </c>
      <c r="CT193" s="47" t="s">
        <v>45</v>
      </c>
      <c r="CU193" s="35">
        <f t="shared" si="106"/>
        <v>0.94387755102040816</v>
      </c>
      <c r="CV193" s="35">
        <f t="shared" si="107"/>
        <v>0.95557851239669422</v>
      </c>
      <c r="CW193" s="35">
        <f t="shared" si="108"/>
        <v>0.98775510204081629</v>
      </c>
      <c r="CX193" s="20">
        <v>980</v>
      </c>
      <c r="CY193" s="27">
        <f t="shared" si="154"/>
        <v>12</v>
      </c>
      <c r="CZ193" s="20">
        <v>968</v>
      </c>
      <c r="DA193" s="20">
        <v>925</v>
      </c>
      <c r="DB193" s="20">
        <f t="shared" si="155"/>
        <v>43</v>
      </c>
      <c r="DC193" s="20"/>
      <c r="DD193" s="20"/>
      <c r="DE193" s="46">
        <v>2008</v>
      </c>
      <c r="DF193" s="47" t="s">
        <v>45</v>
      </c>
      <c r="DG193" s="35">
        <f t="shared" si="111"/>
        <v>0.14087947882736157</v>
      </c>
      <c r="DH193" s="35">
        <f t="shared" si="112"/>
        <v>0.17386934673366833</v>
      </c>
      <c r="DI193" s="35">
        <f t="shared" si="113"/>
        <v>0.81026058631921827</v>
      </c>
      <c r="DJ193" s="20">
        <v>1228</v>
      </c>
      <c r="DK193" s="27">
        <f t="shared" si="156"/>
        <v>233</v>
      </c>
      <c r="DL193" s="20">
        <v>995</v>
      </c>
      <c r="DM193" s="20">
        <v>173</v>
      </c>
      <c r="DN193" s="20">
        <f t="shared" si="157"/>
        <v>822</v>
      </c>
      <c r="DO193" s="20"/>
      <c r="DP193" s="20"/>
      <c r="DQ193" s="46"/>
      <c r="DR193" s="47"/>
      <c r="DS193" s="35"/>
      <c r="DT193" s="35"/>
      <c r="DU193" s="35"/>
      <c r="DV193" s="20"/>
      <c r="DW193" s="20"/>
      <c r="DX193" s="20"/>
      <c r="DY193" s="20"/>
      <c r="DZ193" s="20"/>
      <c r="EA193" s="20"/>
      <c r="EB193" s="20"/>
    </row>
    <row r="194" spans="1:132" s="29" customFormat="1" ht="12.75">
      <c r="A194" s="45">
        <v>2008</v>
      </c>
      <c r="B194" s="48" t="s">
        <v>46</v>
      </c>
      <c r="C194" s="35">
        <f t="shared" si="73"/>
        <v>0.7342330784625648</v>
      </c>
      <c r="D194" s="35">
        <f t="shared" si="74"/>
        <v>0.79546339022627455</v>
      </c>
      <c r="E194" s="35">
        <f t="shared" si="75"/>
        <v>0.92302560681479962</v>
      </c>
      <c r="F19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19487</v>
      </c>
      <c r="G194" s="20">
        <f t="shared" si="76"/>
        <v>1500</v>
      </c>
      <c r="H19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17987</v>
      </c>
      <c r="I19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14308</v>
      </c>
      <c r="J194" s="20">
        <f t="shared" si="77"/>
        <v>3679</v>
      </c>
      <c r="K194" s="27"/>
      <c r="L194" s="27"/>
      <c r="M194" s="45">
        <v>2008</v>
      </c>
      <c r="N194" s="48" t="s">
        <v>46</v>
      </c>
      <c r="O194" s="35">
        <f t="shared" si="78"/>
        <v>0.65001913509376197</v>
      </c>
      <c r="P194" s="35">
        <f t="shared" si="79"/>
        <v>0.72508004268943438</v>
      </c>
      <c r="Q194" s="35">
        <f t="shared" si="80"/>
        <v>0.8964791427477995</v>
      </c>
      <c r="R194" s="20">
        <v>5226</v>
      </c>
      <c r="S194" s="27">
        <f t="shared" si="144"/>
        <v>541</v>
      </c>
      <c r="T194" s="20">
        <v>4685</v>
      </c>
      <c r="U194" s="20">
        <v>3397</v>
      </c>
      <c r="V194" s="20">
        <f t="shared" si="145"/>
        <v>1288</v>
      </c>
      <c r="W194" s="20"/>
      <c r="X194" s="20"/>
      <c r="Y194" s="45"/>
      <c r="Z194" s="48"/>
      <c r="AA194" s="35"/>
      <c r="AB194" s="35"/>
      <c r="AC194" s="35"/>
      <c r="AD194" s="20"/>
      <c r="AE194" s="27"/>
      <c r="AF194" s="20"/>
      <c r="AG194" s="20"/>
      <c r="AH194" s="20"/>
      <c r="AI194" s="20"/>
      <c r="AJ194" s="20"/>
      <c r="AK194" s="45">
        <v>2008</v>
      </c>
      <c r="AL194" s="48" t="s">
        <v>46</v>
      </c>
      <c r="AM194" s="35">
        <f t="shared" si="86"/>
        <v>0.77403749244104014</v>
      </c>
      <c r="AN194" s="35">
        <f t="shared" si="87"/>
        <v>0.85771722135358497</v>
      </c>
      <c r="AO194" s="35">
        <f t="shared" si="88"/>
        <v>0.90243902439024393</v>
      </c>
      <c r="AP194" s="20">
        <v>4961</v>
      </c>
      <c r="AQ194" s="27">
        <f t="shared" si="146"/>
        <v>484</v>
      </c>
      <c r="AR194" s="20">
        <v>4477</v>
      </c>
      <c r="AS194" s="20">
        <v>3840</v>
      </c>
      <c r="AT194" s="20">
        <f t="shared" si="147"/>
        <v>637</v>
      </c>
      <c r="AU194" s="20"/>
      <c r="AV194" s="20"/>
      <c r="AW194" s="45">
        <v>2008</v>
      </c>
      <c r="AX194" s="48" t="s">
        <v>46</v>
      </c>
      <c r="AY194" s="35">
        <f t="shared" si="91"/>
        <v>0.61598746081504707</v>
      </c>
      <c r="AZ194" s="35">
        <f t="shared" si="92"/>
        <v>0.69928825622775803</v>
      </c>
      <c r="BA194" s="35">
        <f t="shared" si="93"/>
        <v>0.88087774294670851</v>
      </c>
      <c r="BB194" s="20">
        <v>638</v>
      </c>
      <c r="BC194" s="27">
        <f t="shared" si="148"/>
        <v>76</v>
      </c>
      <c r="BD194" s="20">
        <v>562</v>
      </c>
      <c r="BE194" s="20">
        <v>393</v>
      </c>
      <c r="BF194" s="20">
        <f t="shared" si="149"/>
        <v>169</v>
      </c>
      <c r="BG194" s="20"/>
      <c r="BH194" s="20"/>
      <c r="BI194" s="45">
        <v>2008</v>
      </c>
      <c r="BJ194" s="48" t="s">
        <v>46</v>
      </c>
      <c r="BK194" s="35">
        <f t="shared" si="96"/>
        <v>0.90555127216653819</v>
      </c>
      <c r="BL194" s="35">
        <f t="shared" si="97"/>
        <v>0.93622957353527303</v>
      </c>
      <c r="BM194" s="35">
        <f t="shared" si="98"/>
        <v>0.96723207401696221</v>
      </c>
      <c r="BN194" s="20">
        <v>2594</v>
      </c>
      <c r="BO194" s="27">
        <f t="shared" si="150"/>
        <v>85</v>
      </c>
      <c r="BP194" s="20">
        <v>2509</v>
      </c>
      <c r="BQ194" s="20">
        <v>2349</v>
      </c>
      <c r="BR194" s="20">
        <f t="shared" si="151"/>
        <v>160</v>
      </c>
      <c r="BS194" s="20"/>
      <c r="BT194" s="20"/>
      <c r="BU194" s="45">
        <v>2008</v>
      </c>
      <c r="BV194" s="48" t="s">
        <v>46</v>
      </c>
      <c r="BW194" s="35">
        <f t="shared" si="101"/>
        <v>0.80723839496459482</v>
      </c>
      <c r="BX194" s="35">
        <f t="shared" si="102"/>
        <v>0.84132841328413288</v>
      </c>
      <c r="BY194" s="35">
        <f t="shared" si="103"/>
        <v>0.95948072383949645</v>
      </c>
      <c r="BZ194" s="20">
        <v>2542</v>
      </c>
      <c r="CA194" s="27">
        <f t="shared" si="152"/>
        <v>103</v>
      </c>
      <c r="CB194" s="20">
        <v>2439</v>
      </c>
      <c r="CC194" s="20">
        <v>2052</v>
      </c>
      <c r="CD194" s="20">
        <f t="shared" si="153"/>
        <v>387</v>
      </c>
      <c r="CE194" s="20"/>
      <c r="CF194" s="20"/>
      <c r="CG194" s="45">
        <v>2008</v>
      </c>
      <c r="CH194" s="48" t="s">
        <v>46</v>
      </c>
      <c r="CI194" s="35">
        <f t="shared" si="58"/>
        <v>0.91606367583212733</v>
      </c>
      <c r="CJ194" s="35">
        <f t="shared" si="59"/>
        <v>0.9504504504504504</v>
      </c>
      <c r="CK194" s="35">
        <f t="shared" si="60"/>
        <v>0.9638205499276411</v>
      </c>
      <c r="CL194" s="20">
        <v>1382</v>
      </c>
      <c r="CM194" s="20">
        <f t="shared" si="61"/>
        <v>50</v>
      </c>
      <c r="CN194" s="20">
        <v>1332</v>
      </c>
      <c r="CO194" s="20">
        <v>1266</v>
      </c>
      <c r="CP194" s="20">
        <f t="shared" si="62"/>
        <v>66</v>
      </c>
      <c r="CQ194" s="20"/>
      <c r="CR194" s="20"/>
      <c r="CS194" s="45">
        <v>2008</v>
      </c>
      <c r="CT194" s="48" t="s">
        <v>46</v>
      </c>
      <c r="CU194" s="35">
        <f t="shared" si="106"/>
        <v>0.81302521008403361</v>
      </c>
      <c r="CV194" s="35">
        <f t="shared" si="107"/>
        <v>0.84682713347921224</v>
      </c>
      <c r="CW194" s="35">
        <f t="shared" si="108"/>
        <v>0.96008403361344541</v>
      </c>
      <c r="CX194" s="20">
        <v>952</v>
      </c>
      <c r="CY194" s="27">
        <f t="shared" si="154"/>
        <v>38</v>
      </c>
      <c r="CZ194" s="20">
        <v>914</v>
      </c>
      <c r="DA194" s="20">
        <v>774</v>
      </c>
      <c r="DB194" s="20">
        <f t="shared" si="155"/>
        <v>140</v>
      </c>
      <c r="DC194" s="20"/>
      <c r="DD194" s="20"/>
      <c r="DE194" s="45">
        <v>2008</v>
      </c>
      <c r="DF194" s="48" t="s">
        <v>46</v>
      </c>
      <c r="DG194" s="35">
        <f t="shared" si="111"/>
        <v>0.1988255033557047</v>
      </c>
      <c r="DH194" s="35">
        <f t="shared" si="112"/>
        <v>0.22170252572497662</v>
      </c>
      <c r="DI194" s="35">
        <f t="shared" si="113"/>
        <v>0.89681208053691275</v>
      </c>
      <c r="DJ194" s="20">
        <v>1192</v>
      </c>
      <c r="DK194" s="27">
        <f t="shared" si="156"/>
        <v>123</v>
      </c>
      <c r="DL194" s="20">
        <v>1069</v>
      </c>
      <c r="DM194" s="20">
        <v>237</v>
      </c>
      <c r="DN194" s="20">
        <f t="shared" si="157"/>
        <v>832</v>
      </c>
      <c r="DO194" s="20"/>
      <c r="DP194" s="20"/>
      <c r="DQ194" s="45"/>
      <c r="DR194" s="48"/>
      <c r="DS194" s="35"/>
      <c r="DT194" s="35"/>
      <c r="DU194" s="35"/>
      <c r="DV194" s="20"/>
      <c r="DW194" s="20"/>
      <c r="DX194" s="20"/>
      <c r="DY194" s="20"/>
      <c r="DZ194" s="20"/>
      <c r="EA194" s="20"/>
      <c r="EB194" s="20"/>
    </row>
    <row r="195" spans="1:132" s="29" customFormat="1" ht="12.75">
      <c r="A195" s="46">
        <v>2008</v>
      </c>
      <c r="B195" s="47" t="s">
        <v>47</v>
      </c>
      <c r="C195" s="35">
        <f t="shared" si="73"/>
        <v>0.7782741830229406</v>
      </c>
      <c r="D195" s="35">
        <f t="shared" si="74"/>
        <v>0.80813135261923374</v>
      </c>
      <c r="E195" s="35">
        <f t="shared" si="75"/>
        <v>0.96305406355102652</v>
      </c>
      <c r="F19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19921</v>
      </c>
      <c r="G195" s="20">
        <f t="shared" si="76"/>
        <v>736</v>
      </c>
      <c r="H19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19185</v>
      </c>
      <c r="I19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15504</v>
      </c>
      <c r="J195" s="20">
        <f t="shared" si="77"/>
        <v>3681</v>
      </c>
      <c r="K195" s="27"/>
      <c r="L195" s="27"/>
      <c r="M195" s="46">
        <v>2008</v>
      </c>
      <c r="N195" s="47" t="s">
        <v>47</v>
      </c>
      <c r="O195" s="35">
        <f t="shared" si="78"/>
        <v>0.65689039293100204</v>
      </c>
      <c r="P195" s="35">
        <f t="shared" si="79"/>
        <v>0.69726601476751149</v>
      </c>
      <c r="Q195" s="35">
        <f t="shared" si="80"/>
        <v>0.94209437864260204</v>
      </c>
      <c r="R195" s="20">
        <v>5319</v>
      </c>
      <c r="S195" s="27">
        <f t="shared" si="144"/>
        <v>308</v>
      </c>
      <c r="T195" s="20">
        <v>5011</v>
      </c>
      <c r="U195" s="20">
        <v>3494</v>
      </c>
      <c r="V195" s="20">
        <f t="shared" si="145"/>
        <v>1517</v>
      </c>
      <c r="W195" s="20"/>
      <c r="X195" s="20"/>
      <c r="Y195" s="46"/>
      <c r="Z195" s="47"/>
      <c r="AA195" s="35"/>
      <c r="AB195" s="35"/>
      <c r="AC195" s="35"/>
      <c r="AD195" s="20"/>
      <c r="AE195" s="27"/>
      <c r="AF195" s="20"/>
      <c r="AG195" s="20"/>
      <c r="AH195" s="20"/>
      <c r="AI195" s="20"/>
      <c r="AJ195" s="20"/>
      <c r="AK195" s="46">
        <v>2008</v>
      </c>
      <c r="AL195" s="47" t="s">
        <v>47</v>
      </c>
      <c r="AM195" s="35">
        <f t="shared" si="86"/>
        <v>0.82763391974698552</v>
      </c>
      <c r="AN195" s="35">
        <f t="shared" si="87"/>
        <v>0.8581676573068252</v>
      </c>
      <c r="AO195" s="35">
        <f t="shared" si="88"/>
        <v>0.96441984581933193</v>
      </c>
      <c r="AP195" s="20">
        <v>5059</v>
      </c>
      <c r="AQ195" s="27">
        <f t="shared" si="146"/>
        <v>180</v>
      </c>
      <c r="AR195" s="20">
        <v>4879</v>
      </c>
      <c r="AS195" s="20">
        <v>4187</v>
      </c>
      <c r="AT195" s="20">
        <f t="shared" si="147"/>
        <v>692</v>
      </c>
      <c r="AU195" s="20"/>
      <c r="AV195" s="20"/>
      <c r="AW195" s="46">
        <v>2008</v>
      </c>
      <c r="AX195" s="47" t="s">
        <v>47</v>
      </c>
      <c r="AY195" s="35">
        <f t="shared" si="91"/>
        <v>0.68025078369905956</v>
      </c>
      <c r="AZ195" s="35">
        <f t="shared" si="92"/>
        <v>0.73063973063973064</v>
      </c>
      <c r="BA195" s="35">
        <f t="shared" si="93"/>
        <v>0.93103448275862066</v>
      </c>
      <c r="BB195" s="20">
        <v>638</v>
      </c>
      <c r="BC195" s="27">
        <f t="shared" si="148"/>
        <v>44</v>
      </c>
      <c r="BD195" s="20">
        <v>594</v>
      </c>
      <c r="BE195" s="20">
        <v>434</v>
      </c>
      <c r="BF195" s="20">
        <f t="shared" si="149"/>
        <v>160</v>
      </c>
      <c r="BG195" s="20"/>
      <c r="BH195" s="20"/>
      <c r="BI195" s="46">
        <v>2008</v>
      </c>
      <c r="BJ195" s="47" t="s">
        <v>47</v>
      </c>
      <c r="BK195" s="35">
        <f t="shared" si="96"/>
        <v>0.92154654654654655</v>
      </c>
      <c r="BL195" s="35">
        <f t="shared" si="97"/>
        <v>0.9377387318563789</v>
      </c>
      <c r="BM195" s="35">
        <f t="shared" si="98"/>
        <v>0.98273273273273276</v>
      </c>
      <c r="BN195" s="20">
        <v>2664</v>
      </c>
      <c r="BO195" s="27">
        <f t="shared" si="150"/>
        <v>46</v>
      </c>
      <c r="BP195" s="20">
        <v>2618</v>
      </c>
      <c r="BQ195" s="20">
        <v>2455</v>
      </c>
      <c r="BR195" s="20">
        <f t="shared" si="151"/>
        <v>163</v>
      </c>
      <c r="BS195" s="20"/>
      <c r="BT195" s="20"/>
      <c r="BU195" s="46">
        <v>2008</v>
      </c>
      <c r="BV195" s="47" t="s">
        <v>47</v>
      </c>
      <c r="BW195" s="35">
        <f t="shared" si="101"/>
        <v>0.84833397165836844</v>
      </c>
      <c r="BX195" s="35">
        <f t="shared" si="102"/>
        <v>0.86591086786551996</v>
      </c>
      <c r="BY195" s="35">
        <f t="shared" si="103"/>
        <v>0.97970126388356948</v>
      </c>
      <c r="BZ195" s="20">
        <v>2611</v>
      </c>
      <c r="CA195" s="27">
        <f t="shared" si="152"/>
        <v>53</v>
      </c>
      <c r="CB195" s="20">
        <v>2558</v>
      </c>
      <c r="CC195" s="20">
        <v>2215</v>
      </c>
      <c r="CD195" s="20">
        <f t="shared" si="153"/>
        <v>343</v>
      </c>
      <c r="CE195" s="20"/>
      <c r="CF195" s="20"/>
      <c r="CG195" s="46">
        <v>2008</v>
      </c>
      <c r="CH195" s="47" t="s">
        <v>47</v>
      </c>
      <c r="CI195" s="35">
        <f t="shared" si="58"/>
        <v>0.95345557122708036</v>
      </c>
      <c r="CJ195" s="35">
        <f t="shared" si="59"/>
        <v>0.98255813953488369</v>
      </c>
      <c r="CK195" s="35">
        <f t="shared" si="60"/>
        <v>0.97038081805359666</v>
      </c>
      <c r="CL195" s="20">
        <v>1418</v>
      </c>
      <c r="CM195" s="20">
        <f t="shared" si="61"/>
        <v>42</v>
      </c>
      <c r="CN195" s="20">
        <v>1376</v>
      </c>
      <c r="CO195" s="20">
        <v>1352</v>
      </c>
      <c r="CP195" s="20">
        <f t="shared" si="62"/>
        <v>24</v>
      </c>
      <c r="CQ195" s="20"/>
      <c r="CR195" s="20"/>
      <c r="CS195" s="46">
        <v>2008</v>
      </c>
      <c r="CT195" s="47" t="s">
        <v>47</v>
      </c>
      <c r="CU195" s="35">
        <f t="shared" si="106"/>
        <v>0.85641547861507128</v>
      </c>
      <c r="CV195" s="35">
        <f t="shared" si="107"/>
        <v>0.87060041407867494</v>
      </c>
      <c r="CW195" s="35">
        <f t="shared" si="108"/>
        <v>0.9837067209775967</v>
      </c>
      <c r="CX195" s="20">
        <v>982</v>
      </c>
      <c r="CY195" s="27">
        <f t="shared" si="154"/>
        <v>16</v>
      </c>
      <c r="CZ195" s="20">
        <v>966</v>
      </c>
      <c r="DA195" s="20">
        <v>841</v>
      </c>
      <c r="DB195" s="20">
        <f t="shared" si="155"/>
        <v>125</v>
      </c>
      <c r="DC195" s="20"/>
      <c r="DD195" s="20"/>
      <c r="DE195" s="46">
        <v>2008</v>
      </c>
      <c r="DF195" s="47" t="s">
        <v>47</v>
      </c>
      <c r="DG195" s="35">
        <f t="shared" si="111"/>
        <v>0.4276422764227642</v>
      </c>
      <c r="DH195" s="35">
        <f t="shared" si="112"/>
        <v>0.44463229078613692</v>
      </c>
      <c r="DI195" s="35">
        <f t="shared" si="113"/>
        <v>0.96178861788617886</v>
      </c>
      <c r="DJ195" s="20">
        <v>1230</v>
      </c>
      <c r="DK195" s="27">
        <f t="shared" si="156"/>
        <v>47</v>
      </c>
      <c r="DL195" s="20">
        <v>1183</v>
      </c>
      <c r="DM195" s="20">
        <v>526</v>
      </c>
      <c r="DN195" s="20">
        <f t="shared" si="157"/>
        <v>657</v>
      </c>
      <c r="DO195" s="20"/>
      <c r="DP195" s="20"/>
      <c r="DQ195" s="46"/>
      <c r="DR195" s="47"/>
      <c r="DS195" s="35"/>
      <c r="DT195" s="35"/>
      <c r="DU195" s="35"/>
      <c r="DV195" s="20"/>
      <c r="DW195" s="20"/>
      <c r="DX195" s="20"/>
      <c r="DY195" s="20"/>
      <c r="DZ195" s="20"/>
      <c r="EA195" s="20"/>
      <c r="EB195" s="20"/>
    </row>
    <row r="196" spans="1:132" s="29" customFormat="1" ht="12.75">
      <c r="A196" s="45">
        <v>2008</v>
      </c>
      <c r="B196" s="48" t="s">
        <v>48</v>
      </c>
      <c r="C196" s="35">
        <f t="shared" si="73"/>
        <v>0.76652167077197209</v>
      </c>
      <c r="D196" s="35">
        <f t="shared" si="74"/>
        <v>0.82030286034772859</v>
      </c>
      <c r="E196" s="35">
        <f t="shared" si="75"/>
        <v>0.93443739845920026</v>
      </c>
      <c r="F19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19081</v>
      </c>
      <c r="G196" s="20">
        <f t="shared" si="76"/>
        <v>1251</v>
      </c>
      <c r="H19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17830</v>
      </c>
      <c r="I19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14626</v>
      </c>
      <c r="J196" s="20">
        <f t="shared" si="77"/>
        <v>3204</v>
      </c>
      <c r="K196" s="27"/>
      <c r="L196" s="27"/>
      <c r="M196" s="45">
        <v>2008</v>
      </c>
      <c r="N196" s="48" t="s">
        <v>48</v>
      </c>
      <c r="O196" s="35">
        <f t="shared" si="78"/>
        <v>0.65231071779744343</v>
      </c>
      <c r="P196" s="35">
        <f t="shared" si="79"/>
        <v>0.70245658619229145</v>
      </c>
      <c r="Q196" s="35">
        <f t="shared" si="80"/>
        <v>0.92861356932153394</v>
      </c>
      <c r="R196" s="20">
        <v>5085</v>
      </c>
      <c r="S196" s="27">
        <f t="shared" si="144"/>
        <v>363</v>
      </c>
      <c r="T196" s="20">
        <v>4722</v>
      </c>
      <c r="U196" s="20">
        <v>3317</v>
      </c>
      <c r="V196" s="20">
        <f t="shared" si="145"/>
        <v>1405</v>
      </c>
      <c r="W196" s="20"/>
      <c r="X196" s="20"/>
      <c r="Y196" s="45"/>
      <c r="Z196" s="48"/>
      <c r="AA196" s="35"/>
      <c r="AB196" s="35"/>
      <c r="AC196" s="35"/>
      <c r="AD196" s="20"/>
      <c r="AE196" s="27"/>
      <c r="AF196" s="20"/>
      <c r="AG196" s="20"/>
      <c r="AH196" s="20"/>
      <c r="AI196" s="20"/>
      <c r="AJ196" s="20"/>
      <c r="AK196" s="45">
        <v>2008</v>
      </c>
      <c r="AL196" s="48" t="s">
        <v>48</v>
      </c>
      <c r="AM196" s="35">
        <f t="shared" si="86"/>
        <v>0.72761040033016922</v>
      </c>
      <c r="AN196" s="35">
        <f t="shared" si="87"/>
        <v>0.84617230621550277</v>
      </c>
      <c r="AO196" s="35">
        <f t="shared" si="88"/>
        <v>0.85988444077589765</v>
      </c>
      <c r="AP196" s="20">
        <v>4846</v>
      </c>
      <c r="AQ196" s="27">
        <f t="shared" si="146"/>
        <v>679</v>
      </c>
      <c r="AR196" s="20">
        <v>4167</v>
      </c>
      <c r="AS196" s="20">
        <v>3526</v>
      </c>
      <c r="AT196" s="20">
        <f t="shared" si="147"/>
        <v>641</v>
      </c>
      <c r="AU196" s="20"/>
      <c r="AV196" s="20"/>
      <c r="AW196" s="45">
        <v>2008</v>
      </c>
      <c r="AX196" s="48" t="s">
        <v>48</v>
      </c>
      <c r="AY196" s="35">
        <f t="shared" si="91"/>
        <v>0.73103448275862071</v>
      </c>
      <c r="AZ196" s="35">
        <f t="shared" si="92"/>
        <v>0.77513711151736742</v>
      </c>
      <c r="BA196" s="35">
        <f t="shared" si="93"/>
        <v>0.94310344827586212</v>
      </c>
      <c r="BB196" s="20">
        <v>580</v>
      </c>
      <c r="BC196" s="27">
        <f t="shared" si="148"/>
        <v>33</v>
      </c>
      <c r="BD196" s="20">
        <v>547</v>
      </c>
      <c r="BE196" s="20">
        <v>424</v>
      </c>
      <c r="BF196" s="20">
        <f t="shared" si="149"/>
        <v>123</v>
      </c>
      <c r="BG196" s="20"/>
      <c r="BH196" s="20"/>
      <c r="BI196" s="45">
        <v>2008</v>
      </c>
      <c r="BJ196" s="48" t="s">
        <v>48</v>
      </c>
      <c r="BK196" s="35">
        <f t="shared" si="96"/>
        <v>0.92578125</v>
      </c>
      <c r="BL196" s="35">
        <f t="shared" si="97"/>
        <v>0.94422310756972117</v>
      </c>
      <c r="BM196" s="35">
        <f t="shared" si="98"/>
        <v>0.98046875</v>
      </c>
      <c r="BN196" s="20">
        <v>2560</v>
      </c>
      <c r="BO196" s="27">
        <f t="shared" si="150"/>
        <v>50</v>
      </c>
      <c r="BP196" s="20">
        <v>2510</v>
      </c>
      <c r="BQ196" s="20">
        <v>2370</v>
      </c>
      <c r="BR196" s="20">
        <f t="shared" si="151"/>
        <v>140</v>
      </c>
      <c r="BS196" s="20"/>
      <c r="BT196" s="20"/>
      <c r="BU196" s="45">
        <v>2008</v>
      </c>
      <c r="BV196" s="48" t="s">
        <v>48</v>
      </c>
      <c r="BW196" s="35">
        <f t="shared" si="101"/>
        <v>0.8358565737051793</v>
      </c>
      <c r="BX196" s="35">
        <f t="shared" si="102"/>
        <v>0.85353946297803096</v>
      </c>
      <c r="BY196" s="35">
        <f t="shared" si="103"/>
        <v>0.97928286852589641</v>
      </c>
      <c r="BZ196" s="20">
        <v>2510</v>
      </c>
      <c r="CA196" s="27">
        <f t="shared" si="152"/>
        <v>52</v>
      </c>
      <c r="CB196" s="20">
        <v>2458</v>
      </c>
      <c r="CC196" s="20">
        <v>2098</v>
      </c>
      <c r="CD196" s="20">
        <f t="shared" si="153"/>
        <v>360</v>
      </c>
      <c r="CE196" s="20"/>
      <c r="CF196" s="20"/>
      <c r="CG196" s="45">
        <v>2008</v>
      </c>
      <c r="CH196" s="48" t="s">
        <v>48</v>
      </c>
      <c r="CI196" s="35">
        <f t="shared" si="58"/>
        <v>0.96764705882352942</v>
      </c>
      <c r="CJ196" s="35">
        <f t="shared" si="59"/>
        <v>0.98062593144560362</v>
      </c>
      <c r="CK196" s="35">
        <f t="shared" si="60"/>
        <v>0.98676470588235299</v>
      </c>
      <c r="CL196" s="20">
        <v>1360</v>
      </c>
      <c r="CM196" s="20">
        <f t="shared" si="61"/>
        <v>18</v>
      </c>
      <c r="CN196" s="20">
        <v>1342</v>
      </c>
      <c r="CO196" s="20">
        <v>1316</v>
      </c>
      <c r="CP196" s="20">
        <f t="shared" si="62"/>
        <v>26</v>
      </c>
      <c r="CQ196" s="20"/>
      <c r="CR196" s="20"/>
      <c r="CS196" s="45">
        <v>2008</v>
      </c>
      <c r="CT196" s="48" t="s">
        <v>48</v>
      </c>
      <c r="CU196" s="35">
        <f t="shared" si="106"/>
        <v>0.87473684210526315</v>
      </c>
      <c r="CV196" s="35">
        <f t="shared" si="107"/>
        <v>0.88029661016949157</v>
      </c>
      <c r="CW196" s="35">
        <f t="shared" si="108"/>
        <v>0.99368421052631584</v>
      </c>
      <c r="CX196" s="20">
        <v>950</v>
      </c>
      <c r="CY196" s="27">
        <f t="shared" si="154"/>
        <v>6</v>
      </c>
      <c r="CZ196" s="20">
        <v>944</v>
      </c>
      <c r="DA196" s="20">
        <v>831</v>
      </c>
      <c r="DB196" s="20">
        <f t="shared" si="155"/>
        <v>113</v>
      </c>
      <c r="DC196" s="20"/>
      <c r="DD196" s="20"/>
      <c r="DE196" s="45">
        <v>2008</v>
      </c>
      <c r="DF196" s="48" t="s">
        <v>48</v>
      </c>
      <c r="DG196" s="35">
        <f t="shared" si="111"/>
        <v>0.62521008403361344</v>
      </c>
      <c r="DH196" s="35">
        <f t="shared" si="112"/>
        <v>0.65263157894736845</v>
      </c>
      <c r="DI196" s="35">
        <f t="shared" si="113"/>
        <v>0.95798319327731096</v>
      </c>
      <c r="DJ196" s="20">
        <v>1190</v>
      </c>
      <c r="DK196" s="27">
        <f t="shared" si="156"/>
        <v>50</v>
      </c>
      <c r="DL196" s="20">
        <v>1140</v>
      </c>
      <c r="DM196" s="20">
        <v>744</v>
      </c>
      <c r="DN196" s="20">
        <f t="shared" si="157"/>
        <v>396</v>
      </c>
      <c r="DO196" s="20"/>
      <c r="DP196" s="20"/>
      <c r="DQ196" s="45"/>
      <c r="DR196" s="48"/>
      <c r="DS196" s="35"/>
      <c r="DT196" s="35"/>
      <c r="DU196" s="35"/>
      <c r="DV196" s="20"/>
      <c r="DW196" s="20"/>
      <c r="DX196" s="20"/>
      <c r="DY196" s="20"/>
      <c r="DZ196" s="20"/>
      <c r="EA196" s="20"/>
      <c r="EB196" s="20"/>
    </row>
    <row r="197" spans="1:132" s="29" customFormat="1" ht="12.75">
      <c r="A197" s="46">
        <v>2008</v>
      </c>
      <c r="B197" s="47" t="s">
        <v>49</v>
      </c>
      <c r="C197" s="35">
        <f t="shared" si="73"/>
        <v>0.8270558375634518</v>
      </c>
      <c r="D197" s="35">
        <f t="shared" si="74"/>
        <v>0.85734582193222475</v>
      </c>
      <c r="E197" s="35">
        <f t="shared" si="75"/>
        <v>0.96467005076142132</v>
      </c>
      <c r="F19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19700</v>
      </c>
      <c r="G197" s="20">
        <f t="shared" si="76"/>
        <v>696</v>
      </c>
      <c r="H19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I19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16293</v>
      </c>
      <c r="J197" s="20">
        <f t="shared" si="77"/>
        <v>2711</v>
      </c>
      <c r="K197" s="27"/>
      <c r="L197" s="27"/>
      <c r="M197" s="46">
        <v>2008</v>
      </c>
      <c r="N197" s="47" t="s">
        <v>49</v>
      </c>
      <c r="O197" s="35">
        <f t="shared" si="78"/>
        <v>0.82882181110029207</v>
      </c>
      <c r="P197" s="35">
        <f t="shared" si="79"/>
        <v>0.85137027405481092</v>
      </c>
      <c r="Q197" s="35">
        <f t="shared" si="80"/>
        <v>0.97351509250243429</v>
      </c>
      <c r="R197" s="20">
        <v>5135</v>
      </c>
      <c r="S197" s="27">
        <f t="shared" si="144"/>
        <v>136</v>
      </c>
      <c r="T197" s="20">
        <v>4999</v>
      </c>
      <c r="U197" s="20">
        <v>4256</v>
      </c>
      <c r="V197" s="20">
        <f t="shared" si="145"/>
        <v>743</v>
      </c>
      <c r="W197" s="20"/>
      <c r="X197" s="20"/>
      <c r="Y197" s="46"/>
      <c r="Z197" s="47"/>
      <c r="AA197" s="35"/>
      <c r="AB197" s="35"/>
      <c r="AC197" s="35"/>
      <c r="AD197" s="20"/>
      <c r="AE197" s="27"/>
      <c r="AF197" s="20"/>
      <c r="AG197" s="20"/>
      <c r="AH197" s="20"/>
      <c r="AI197" s="20"/>
      <c r="AJ197" s="20"/>
      <c r="AK197" s="46">
        <v>2008</v>
      </c>
      <c r="AL197" s="47" t="s">
        <v>49</v>
      </c>
      <c r="AM197" s="35">
        <f t="shared" si="86"/>
        <v>0.87008755854204844</v>
      </c>
      <c r="AN197" s="35">
        <f t="shared" si="87"/>
        <v>0.9031917142253223</v>
      </c>
      <c r="AO197" s="35">
        <f t="shared" si="88"/>
        <v>0.96334758704948076</v>
      </c>
      <c r="AP197" s="20">
        <v>4911</v>
      </c>
      <c r="AQ197" s="27">
        <f t="shared" si="146"/>
        <v>180</v>
      </c>
      <c r="AR197" s="20">
        <v>4731</v>
      </c>
      <c r="AS197" s="20">
        <v>4273</v>
      </c>
      <c r="AT197" s="20">
        <f t="shared" si="147"/>
        <v>458</v>
      </c>
      <c r="AU197" s="20"/>
      <c r="AV197" s="20"/>
      <c r="AW197" s="46">
        <v>2008</v>
      </c>
      <c r="AX197" s="47" t="s">
        <v>49</v>
      </c>
      <c r="AY197" s="35">
        <f t="shared" si="91"/>
        <v>0.60072595281306718</v>
      </c>
      <c r="AZ197" s="35">
        <f t="shared" si="92"/>
        <v>0.64147286821705429</v>
      </c>
      <c r="BA197" s="35">
        <f t="shared" si="93"/>
        <v>0.93647912885662432</v>
      </c>
      <c r="BB197" s="20">
        <v>551</v>
      </c>
      <c r="BC197" s="27">
        <f t="shared" si="148"/>
        <v>35</v>
      </c>
      <c r="BD197" s="20">
        <v>516</v>
      </c>
      <c r="BE197" s="20">
        <v>331</v>
      </c>
      <c r="BF197" s="20">
        <f t="shared" si="149"/>
        <v>185</v>
      </c>
      <c r="BG197" s="20"/>
      <c r="BH197" s="20"/>
      <c r="BI197" s="46">
        <v>2008</v>
      </c>
      <c r="BJ197" s="47" t="s">
        <v>49</v>
      </c>
      <c r="BK197" s="35">
        <f t="shared" si="96"/>
        <v>0.78472998137802608</v>
      </c>
      <c r="BL197" s="35">
        <f t="shared" si="97"/>
        <v>0.81225905936777176</v>
      </c>
      <c r="BM197" s="35">
        <f t="shared" si="98"/>
        <v>0.96610800744878955</v>
      </c>
      <c r="BN197" s="20">
        <v>2685</v>
      </c>
      <c r="BO197" s="27">
        <f t="shared" si="150"/>
        <v>91</v>
      </c>
      <c r="BP197" s="20">
        <v>2594</v>
      </c>
      <c r="BQ197" s="20">
        <v>2107</v>
      </c>
      <c r="BR197" s="20">
        <f t="shared" si="151"/>
        <v>487</v>
      </c>
      <c r="BS197" s="20"/>
      <c r="BT197" s="20"/>
      <c r="BU197" s="46">
        <v>2008</v>
      </c>
      <c r="BV197" s="47" t="s">
        <v>49</v>
      </c>
      <c r="BW197" s="35">
        <f t="shared" si="101"/>
        <v>0.86137130011240159</v>
      </c>
      <c r="BX197" s="35">
        <f t="shared" si="102"/>
        <v>0.89455252918287942</v>
      </c>
      <c r="BY197" s="35">
        <f t="shared" si="103"/>
        <v>0.96290745597602101</v>
      </c>
      <c r="BZ197" s="20">
        <v>2669</v>
      </c>
      <c r="CA197" s="27">
        <f t="shared" si="152"/>
        <v>99</v>
      </c>
      <c r="CB197" s="20">
        <v>2570</v>
      </c>
      <c r="CC197" s="20">
        <v>2299</v>
      </c>
      <c r="CD197" s="20">
        <f t="shared" si="153"/>
        <v>271</v>
      </c>
      <c r="CE197" s="20"/>
      <c r="CF197" s="20"/>
      <c r="CG197" s="46">
        <v>2008</v>
      </c>
      <c r="CH197" s="47" t="s">
        <v>49</v>
      </c>
      <c r="CI197" s="35">
        <f t="shared" si="58"/>
        <v>0.74706288873531446</v>
      </c>
      <c r="CJ197" s="35">
        <f t="shared" si="59"/>
        <v>0.78106936416184969</v>
      </c>
      <c r="CK197" s="35">
        <f t="shared" si="60"/>
        <v>0.95646164478230822</v>
      </c>
      <c r="CL197" s="20">
        <v>1447</v>
      </c>
      <c r="CM197" s="20">
        <f t="shared" si="61"/>
        <v>63</v>
      </c>
      <c r="CN197" s="20">
        <v>1384</v>
      </c>
      <c r="CO197" s="20">
        <v>1081</v>
      </c>
      <c r="CP197" s="20">
        <f t="shared" si="62"/>
        <v>303</v>
      </c>
      <c r="CQ197" s="20"/>
      <c r="CR197" s="20"/>
      <c r="CS197" s="46">
        <v>2008</v>
      </c>
      <c r="CT197" s="47" t="s">
        <v>49</v>
      </c>
      <c r="CU197" s="35">
        <f t="shared" si="106"/>
        <v>0.8806122448979592</v>
      </c>
      <c r="CV197" s="35">
        <f t="shared" si="107"/>
        <v>0.91419491525423724</v>
      </c>
      <c r="CW197" s="35">
        <f t="shared" si="108"/>
        <v>0.96326530612244898</v>
      </c>
      <c r="CX197" s="20">
        <v>980</v>
      </c>
      <c r="CY197" s="27">
        <f t="shared" si="154"/>
        <v>36</v>
      </c>
      <c r="CZ197" s="20">
        <v>944</v>
      </c>
      <c r="DA197" s="20">
        <v>863</v>
      </c>
      <c r="DB197" s="20">
        <f t="shared" si="155"/>
        <v>81</v>
      </c>
      <c r="DC197" s="20"/>
      <c r="DD197" s="20"/>
      <c r="DE197" s="46">
        <v>2008</v>
      </c>
      <c r="DF197" s="47" t="s">
        <v>49</v>
      </c>
      <c r="DG197" s="35">
        <f t="shared" si="111"/>
        <v>0.81921331316187596</v>
      </c>
      <c r="DH197" s="35">
        <f t="shared" si="112"/>
        <v>0.85545023696682465</v>
      </c>
      <c r="DI197" s="35">
        <f t="shared" si="113"/>
        <v>0.95763993948562787</v>
      </c>
      <c r="DJ197" s="20">
        <v>1322</v>
      </c>
      <c r="DK197" s="27">
        <f t="shared" si="156"/>
        <v>56</v>
      </c>
      <c r="DL197" s="20">
        <v>1266</v>
      </c>
      <c r="DM197" s="20">
        <v>1083</v>
      </c>
      <c r="DN197" s="20">
        <f t="shared" si="157"/>
        <v>183</v>
      </c>
      <c r="DO197" s="20"/>
      <c r="DP197" s="20"/>
      <c r="DQ197" s="46"/>
      <c r="DR197" s="47"/>
      <c r="DS197" s="35"/>
      <c r="DT197" s="35"/>
      <c r="DU197" s="35"/>
      <c r="DV197" s="20"/>
      <c r="DW197" s="20"/>
      <c r="DX197" s="20"/>
      <c r="DY197" s="20"/>
      <c r="DZ197" s="20"/>
      <c r="EA197" s="20"/>
      <c r="EB197" s="20"/>
    </row>
    <row r="198" spans="1:132" s="29" customFormat="1" ht="12.75">
      <c r="A198" s="45">
        <v>2009</v>
      </c>
      <c r="B198" s="48" t="s">
        <v>38</v>
      </c>
      <c r="C198" s="35">
        <f t="shared" si="73"/>
        <v>0.86347493196808267</v>
      </c>
      <c r="D198" s="35">
        <f t="shared" si="74"/>
        <v>0.89415866647561737</v>
      </c>
      <c r="E198" s="35">
        <f t="shared" si="75"/>
        <v>0.96568423965684236</v>
      </c>
      <c r="F19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21681</v>
      </c>
      <c r="G198" s="20">
        <f t="shared" si="76"/>
        <v>744</v>
      </c>
      <c r="H19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20937</v>
      </c>
      <c r="I19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18721</v>
      </c>
      <c r="J198" s="20">
        <f t="shared" si="77"/>
        <v>2216</v>
      </c>
      <c r="K198" s="27"/>
      <c r="L198" s="27"/>
      <c r="M198" s="45">
        <v>2009</v>
      </c>
      <c r="N198" s="48" t="s">
        <v>38</v>
      </c>
      <c r="O198" s="35">
        <f t="shared" ref="O198:O261" si="158">U198/R198</f>
        <v>0.83475459541406105</v>
      </c>
      <c r="P198" s="35">
        <f t="shared" ref="P198:P261" si="159">U198/T198</f>
        <v>0.90433175939232191</v>
      </c>
      <c r="Q198" s="35">
        <f t="shared" ref="Q198:Q261" si="160">T198/R198</f>
        <v>0.92306234602994131</v>
      </c>
      <c r="R198" s="20">
        <v>5277</v>
      </c>
      <c r="S198" s="27">
        <f t="shared" ref="S198:S209" si="161">R198-T198</f>
        <v>406</v>
      </c>
      <c r="T198" s="20">
        <v>4871</v>
      </c>
      <c r="U198" s="20">
        <v>4405</v>
      </c>
      <c r="V198" s="20">
        <f t="shared" ref="V198:V209" si="162">T198-U198</f>
        <v>466</v>
      </c>
      <c r="W198" s="20"/>
      <c r="X198" s="20"/>
      <c r="Y198" s="45"/>
      <c r="Z198" s="48"/>
      <c r="AA198" s="35"/>
      <c r="AB198" s="35"/>
      <c r="AC198" s="35"/>
      <c r="AD198" s="20"/>
      <c r="AE198" s="27"/>
      <c r="AF198" s="20"/>
      <c r="AG198" s="20"/>
      <c r="AH198" s="20"/>
      <c r="AI198" s="20"/>
      <c r="AJ198" s="20"/>
      <c r="AK198" s="45">
        <v>2009</v>
      </c>
      <c r="AL198" s="48" t="s">
        <v>38</v>
      </c>
      <c r="AM198" s="35">
        <f t="shared" ref="AM198:AM261" si="163">AS198/AP198</f>
        <v>0.92102645713149001</v>
      </c>
      <c r="AN198" s="35">
        <f t="shared" ref="AN198:AN261" si="164">AS198/AR198</f>
        <v>0.93743672808260781</v>
      </c>
      <c r="AO198" s="35">
        <f t="shared" ref="AO198:AO261" si="165">AR198/AP198</f>
        <v>0.98249452954048144</v>
      </c>
      <c r="AP198" s="20">
        <v>5027</v>
      </c>
      <c r="AQ198" s="27">
        <f t="shared" ref="AQ198:AQ209" si="166">AP198-AR198</f>
        <v>88</v>
      </c>
      <c r="AR198" s="20">
        <v>4939</v>
      </c>
      <c r="AS198" s="20">
        <v>4630</v>
      </c>
      <c r="AT198" s="20">
        <f t="shared" ref="AT198:AT209" si="167">AR198-AS198</f>
        <v>309</v>
      </c>
      <c r="AU198" s="20"/>
      <c r="AV198" s="20"/>
      <c r="AW198" s="45">
        <v>2009</v>
      </c>
      <c r="AX198" s="48" t="s">
        <v>38</v>
      </c>
      <c r="AY198" s="35">
        <f t="shared" ref="AY198:AY258" si="168">BE198/BB198</f>
        <v>0.60755336617405586</v>
      </c>
      <c r="AZ198" s="35">
        <f t="shared" ref="AZ198:AZ258" si="169">BE198/BD198</f>
        <v>0.65719360568383656</v>
      </c>
      <c r="BA198" s="35">
        <f t="shared" ref="BA198:BA258" si="170">BD198/BB198</f>
        <v>0.92446633825944169</v>
      </c>
      <c r="BB198" s="20">
        <v>609</v>
      </c>
      <c r="BC198" s="27">
        <f t="shared" ref="BC198:BC209" si="171">BB198-BD198</f>
        <v>46</v>
      </c>
      <c r="BD198" s="20">
        <v>563</v>
      </c>
      <c r="BE198" s="20">
        <v>370</v>
      </c>
      <c r="BF198" s="20">
        <f t="shared" ref="BF198:BF209" si="172">BD198-BE198</f>
        <v>193</v>
      </c>
      <c r="BG198" s="20"/>
      <c r="BH198" s="20"/>
      <c r="BI198" s="45">
        <v>2009</v>
      </c>
      <c r="BJ198" s="48" t="s">
        <v>38</v>
      </c>
      <c r="BK198" s="35">
        <f t="shared" ref="BK198:BK261" si="173">BQ198/BN198</f>
        <v>0.81699346405228757</v>
      </c>
      <c r="BL198" s="35">
        <f t="shared" ref="BL198:BL261" si="174">BQ198/BP198</f>
        <v>0.83861349235929927</v>
      </c>
      <c r="BM198" s="35">
        <f t="shared" ref="BM198:BM261" si="175">BP198/BN198</f>
        <v>0.9742193173565723</v>
      </c>
      <c r="BN198" s="20">
        <v>2754</v>
      </c>
      <c r="BO198" s="27">
        <f t="shared" ref="BO198:BO209" si="176">BN198-BP198</f>
        <v>71</v>
      </c>
      <c r="BP198" s="20">
        <v>2683</v>
      </c>
      <c r="BQ198" s="20">
        <v>2250</v>
      </c>
      <c r="BR198" s="20">
        <f t="shared" ref="BR198:BR209" si="177">BP198-BQ198</f>
        <v>433</v>
      </c>
      <c r="BS198" s="20"/>
      <c r="BT198" s="20"/>
      <c r="BU198" s="45">
        <v>2009</v>
      </c>
      <c r="BV198" s="48" t="s">
        <v>38</v>
      </c>
      <c r="BW198" s="35">
        <f t="shared" ref="BW198:BW261" si="178">CC198/BZ198</f>
        <v>0.91373686118158748</v>
      </c>
      <c r="BX198" s="35">
        <f t="shared" ref="BX198:BX261" si="179">CC198/CB198</f>
        <v>0.93128925009235319</v>
      </c>
      <c r="BY198" s="35">
        <f t="shared" ref="BY198:BY261" si="180">CB198/BZ198</f>
        <v>0.98115259151866618</v>
      </c>
      <c r="BZ198" s="20">
        <v>2759</v>
      </c>
      <c r="CA198" s="27">
        <f t="shared" ref="CA198:CA209" si="181">BZ198-CB198</f>
        <v>52</v>
      </c>
      <c r="CB198" s="20">
        <v>2707</v>
      </c>
      <c r="CC198" s="20">
        <v>2521</v>
      </c>
      <c r="CD198" s="20">
        <f t="shared" ref="CD198:CD209" si="182">CB198-CC198</f>
        <v>186</v>
      </c>
      <c r="CE198" s="20"/>
      <c r="CF198" s="20"/>
      <c r="CG198" s="45">
        <v>2009</v>
      </c>
      <c r="CH198" s="48" t="s">
        <v>38</v>
      </c>
      <c r="CI198" s="35">
        <f t="shared" ref="CI198" si="183">CO198/CL198</f>
        <v>0.78903539208882723</v>
      </c>
      <c r="CJ198" s="35">
        <f t="shared" ref="CJ198" si="184">CO198/CN198</f>
        <v>0.80438627520339578</v>
      </c>
      <c r="CK198" s="35">
        <f t="shared" ref="CK198" si="185">CN198/CL198</f>
        <v>0.98091603053435117</v>
      </c>
      <c r="CL198" s="20">
        <v>2882</v>
      </c>
      <c r="CM198" s="20">
        <f t="shared" ref="CM198:CM261" si="186">CL198-CN198</f>
        <v>55</v>
      </c>
      <c r="CN198" s="20">
        <v>2827</v>
      </c>
      <c r="CO198" s="20">
        <v>2274</v>
      </c>
      <c r="CP198" s="20">
        <f t="shared" ref="CP198:CP261" si="187">CN198-CO198</f>
        <v>553</v>
      </c>
      <c r="CQ198" s="20"/>
      <c r="CR198" s="20"/>
      <c r="CS198" s="45">
        <v>2009</v>
      </c>
      <c r="CT198" s="48" t="s">
        <v>38</v>
      </c>
      <c r="CU198" s="35">
        <f t="shared" ref="CU198:CU261" si="188">DA198/CX198</f>
        <v>0.91649694501018331</v>
      </c>
      <c r="CV198" s="35">
        <f t="shared" ref="CV198:CV261" si="189">DA198/CZ198</f>
        <v>0.92975206611570249</v>
      </c>
      <c r="CW198" s="35">
        <f t="shared" ref="CW198:CW261" si="190">CZ198/CX198</f>
        <v>0.98574338085539714</v>
      </c>
      <c r="CX198" s="20">
        <v>982</v>
      </c>
      <c r="CY198" s="27">
        <f t="shared" ref="CY198:CY209" si="191">CX198-CZ198</f>
        <v>14</v>
      </c>
      <c r="CZ198" s="20">
        <v>968</v>
      </c>
      <c r="DA198" s="20">
        <v>900</v>
      </c>
      <c r="DB198" s="20">
        <f t="shared" ref="DB198:DB209" si="192">CZ198-DA198</f>
        <v>68</v>
      </c>
      <c r="DC198" s="20"/>
      <c r="DD198" s="20"/>
      <c r="DE198" s="45">
        <v>2009</v>
      </c>
      <c r="DF198" s="48" t="s">
        <v>38</v>
      </c>
      <c r="DG198" s="35">
        <f t="shared" ref="DG198:DG261" si="193">DM198/DJ198</f>
        <v>0.98562185478073328</v>
      </c>
      <c r="DH198" s="35">
        <f t="shared" ref="DH198:DH261" si="194">DM198/DL198</f>
        <v>0.99419869470630895</v>
      </c>
      <c r="DI198" s="35">
        <f t="shared" ref="DI198:DI261" si="195">DL198/DJ198</f>
        <v>0.99137311286843999</v>
      </c>
      <c r="DJ198" s="20">
        <v>1391</v>
      </c>
      <c r="DK198" s="27">
        <f t="shared" ref="DK198:DK209" si="196">DJ198-DL198</f>
        <v>12</v>
      </c>
      <c r="DL198" s="20">
        <v>1379</v>
      </c>
      <c r="DM198" s="20">
        <v>1371</v>
      </c>
      <c r="DN198" s="20">
        <f t="shared" ref="DN198:DN209" si="197">DL198-DM198</f>
        <v>8</v>
      </c>
      <c r="DO198" s="20"/>
      <c r="DP198" s="20"/>
      <c r="DQ198" s="45"/>
      <c r="DR198" s="48"/>
      <c r="DS198" s="35"/>
      <c r="DT198" s="35"/>
      <c r="DU198" s="35"/>
      <c r="DV198" s="20"/>
      <c r="DW198" s="20"/>
      <c r="DX198" s="20"/>
      <c r="DY198" s="20"/>
      <c r="DZ198" s="20"/>
      <c r="EA198" s="20"/>
      <c r="EB198" s="20"/>
    </row>
    <row r="199" spans="1:132" s="29" customFormat="1" ht="12.75">
      <c r="A199" s="46">
        <v>2009</v>
      </c>
      <c r="B199" s="47" t="s">
        <v>39</v>
      </c>
      <c r="C199" s="35">
        <f t="shared" ref="C199:C262" si="198">I199/F199</f>
        <v>0.88188142770719902</v>
      </c>
      <c r="D199" s="35">
        <f t="shared" ref="D199:D262" si="199">I199/H199</f>
        <v>0.90384416658055178</v>
      </c>
      <c r="E199" s="35">
        <f t="shared" ref="E199:E262" si="200">H199/F199</f>
        <v>0.97570074611816904</v>
      </c>
      <c r="F19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G199" s="20">
        <f t="shared" ref="G199:G262" si="201">F199-H199</f>
        <v>482</v>
      </c>
      <c r="H19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19354</v>
      </c>
      <c r="I19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17493</v>
      </c>
      <c r="J199" s="20">
        <f t="shared" ref="J199:J262" si="202">H199-I199</f>
        <v>1861</v>
      </c>
      <c r="K199" s="27"/>
      <c r="L199" s="27"/>
      <c r="M199" s="46">
        <v>2009</v>
      </c>
      <c r="N199" s="47" t="s">
        <v>39</v>
      </c>
      <c r="O199" s="35">
        <f t="shared" si="158"/>
        <v>0.90371900826446283</v>
      </c>
      <c r="P199" s="35">
        <f t="shared" si="159"/>
        <v>0.91832878437959264</v>
      </c>
      <c r="Q199" s="35">
        <f t="shared" si="160"/>
        <v>0.98409090909090913</v>
      </c>
      <c r="R199" s="20">
        <v>4840</v>
      </c>
      <c r="S199" s="27">
        <f t="shared" si="161"/>
        <v>77</v>
      </c>
      <c r="T199" s="20">
        <v>4763</v>
      </c>
      <c r="U199" s="20">
        <v>4374</v>
      </c>
      <c r="V199" s="20">
        <f t="shared" si="162"/>
        <v>389</v>
      </c>
      <c r="W199" s="20"/>
      <c r="X199" s="20"/>
      <c r="Y199" s="46"/>
      <c r="Z199" s="47"/>
      <c r="AA199" s="35"/>
      <c r="AB199" s="35"/>
      <c r="AC199" s="35"/>
      <c r="AD199" s="20"/>
      <c r="AE199" s="27"/>
      <c r="AF199" s="20"/>
      <c r="AG199" s="20"/>
      <c r="AH199" s="20"/>
      <c r="AI199" s="20"/>
      <c r="AJ199" s="20"/>
      <c r="AK199" s="46">
        <v>2009</v>
      </c>
      <c r="AL199" s="47" t="s">
        <v>39</v>
      </c>
      <c r="AM199" s="35">
        <f t="shared" si="163"/>
        <v>0.90695652173913044</v>
      </c>
      <c r="AN199" s="35">
        <f t="shared" si="164"/>
        <v>0.93626570915619389</v>
      </c>
      <c r="AO199" s="35">
        <f t="shared" si="165"/>
        <v>0.96869565217391307</v>
      </c>
      <c r="AP199" s="20">
        <v>4600</v>
      </c>
      <c r="AQ199" s="27">
        <f t="shared" si="166"/>
        <v>144</v>
      </c>
      <c r="AR199" s="20">
        <v>4456</v>
      </c>
      <c r="AS199" s="20">
        <v>4172</v>
      </c>
      <c r="AT199" s="20">
        <f t="shared" si="167"/>
        <v>284</v>
      </c>
      <c r="AU199" s="20"/>
      <c r="AV199" s="20"/>
      <c r="AW199" s="46">
        <v>2009</v>
      </c>
      <c r="AX199" s="47" t="s">
        <v>39</v>
      </c>
      <c r="AY199" s="35">
        <f t="shared" si="168"/>
        <v>0.68793103448275861</v>
      </c>
      <c r="AZ199" s="35">
        <f t="shared" si="169"/>
        <v>0.72677595628415304</v>
      </c>
      <c r="BA199" s="35">
        <f t="shared" si="170"/>
        <v>0.94655172413793098</v>
      </c>
      <c r="BB199" s="20">
        <v>580</v>
      </c>
      <c r="BC199" s="27">
        <f t="shared" si="171"/>
        <v>31</v>
      </c>
      <c r="BD199" s="20">
        <v>549</v>
      </c>
      <c r="BE199" s="20">
        <v>399</v>
      </c>
      <c r="BF199" s="20">
        <f t="shared" si="172"/>
        <v>150</v>
      </c>
      <c r="BG199" s="20"/>
      <c r="BH199" s="20"/>
      <c r="BI199" s="46">
        <v>2009</v>
      </c>
      <c r="BJ199" s="47" t="s">
        <v>39</v>
      </c>
      <c r="BK199" s="35">
        <f t="shared" si="173"/>
        <v>0.81948881789137384</v>
      </c>
      <c r="BL199" s="35">
        <f t="shared" si="174"/>
        <v>0.83448556323708822</v>
      </c>
      <c r="BM199" s="35">
        <f t="shared" si="175"/>
        <v>0.98202875399361023</v>
      </c>
      <c r="BN199" s="20">
        <v>2504</v>
      </c>
      <c r="BO199" s="27">
        <f t="shared" si="176"/>
        <v>45</v>
      </c>
      <c r="BP199" s="20">
        <v>2459</v>
      </c>
      <c r="BQ199" s="20">
        <v>2052</v>
      </c>
      <c r="BR199" s="20">
        <f t="shared" si="177"/>
        <v>407</v>
      </c>
      <c r="BS199" s="20"/>
      <c r="BT199" s="20"/>
      <c r="BU199" s="46">
        <v>2009</v>
      </c>
      <c r="BV199" s="47" t="s">
        <v>39</v>
      </c>
      <c r="BW199" s="35">
        <f t="shared" si="178"/>
        <v>0.91347687400318978</v>
      </c>
      <c r="BX199" s="35">
        <f t="shared" si="179"/>
        <v>0.93472052223582214</v>
      </c>
      <c r="BY199" s="35">
        <f t="shared" si="180"/>
        <v>0.97727272727272729</v>
      </c>
      <c r="BZ199" s="20">
        <v>2508</v>
      </c>
      <c r="CA199" s="27">
        <f t="shared" si="181"/>
        <v>57</v>
      </c>
      <c r="CB199" s="20">
        <v>2451</v>
      </c>
      <c r="CC199" s="20">
        <v>2291</v>
      </c>
      <c r="CD199" s="20">
        <f t="shared" si="182"/>
        <v>160</v>
      </c>
      <c r="CE199" s="20"/>
      <c r="CF199" s="20"/>
      <c r="CG199" s="46">
        <v>2009</v>
      </c>
      <c r="CH199" s="47" t="s">
        <v>39</v>
      </c>
      <c r="CI199" s="35">
        <f t="shared" ref="CI199:CI261" si="203">CO199/CL199</f>
        <v>0.83019578313253017</v>
      </c>
      <c r="CJ199" s="35">
        <f t="shared" ref="CJ199:CJ261" si="204">CO199/CN199</f>
        <v>0.85498255137650248</v>
      </c>
      <c r="CK199" s="35">
        <f t="shared" ref="CK199:CK261" si="205">CN199/CL199</f>
        <v>0.97100903614457834</v>
      </c>
      <c r="CL199" s="20">
        <v>2656</v>
      </c>
      <c r="CM199" s="20">
        <f t="shared" si="186"/>
        <v>77</v>
      </c>
      <c r="CN199" s="20">
        <v>2579</v>
      </c>
      <c r="CO199" s="20">
        <v>2205</v>
      </c>
      <c r="CP199" s="20">
        <f t="shared" si="187"/>
        <v>374</v>
      </c>
      <c r="CQ199" s="20"/>
      <c r="CR199" s="20"/>
      <c r="CS199" s="46">
        <v>2009</v>
      </c>
      <c r="CT199" s="47" t="s">
        <v>39</v>
      </c>
      <c r="CU199" s="35">
        <f t="shared" si="188"/>
        <v>0.88288288288288286</v>
      </c>
      <c r="CV199" s="35">
        <f t="shared" si="189"/>
        <v>0.90740740740740744</v>
      </c>
      <c r="CW199" s="35">
        <f t="shared" si="190"/>
        <v>0.97297297297297303</v>
      </c>
      <c r="CX199" s="20">
        <v>888</v>
      </c>
      <c r="CY199" s="27">
        <f t="shared" si="191"/>
        <v>24</v>
      </c>
      <c r="CZ199" s="20">
        <v>864</v>
      </c>
      <c r="DA199" s="20">
        <v>784</v>
      </c>
      <c r="DB199" s="20">
        <f t="shared" si="192"/>
        <v>80</v>
      </c>
      <c r="DC199" s="20"/>
      <c r="DD199" s="20"/>
      <c r="DE199" s="46">
        <v>2009</v>
      </c>
      <c r="DF199" s="47" t="s">
        <v>39</v>
      </c>
      <c r="DG199" s="35">
        <f t="shared" si="193"/>
        <v>0.96507936507936509</v>
      </c>
      <c r="DH199" s="35">
        <f t="shared" si="194"/>
        <v>0.98621248986212495</v>
      </c>
      <c r="DI199" s="35">
        <f t="shared" si="195"/>
        <v>0.97857142857142854</v>
      </c>
      <c r="DJ199" s="20">
        <v>1260</v>
      </c>
      <c r="DK199" s="27">
        <f t="shared" si="196"/>
        <v>27</v>
      </c>
      <c r="DL199" s="20">
        <v>1233</v>
      </c>
      <c r="DM199" s="20">
        <v>1216</v>
      </c>
      <c r="DN199" s="20">
        <f t="shared" si="197"/>
        <v>17</v>
      </c>
      <c r="DO199" s="20"/>
      <c r="DP199" s="20"/>
      <c r="DQ199" s="46"/>
      <c r="DR199" s="47"/>
      <c r="DS199" s="35"/>
      <c r="DT199" s="35"/>
      <c r="DU199" s="35"/>
      <c r="DV199" s="20"/>
      <c r="DW199" s="20"/>
      <c r="DX199" s="20"/>
      <c r="DY199" s="20"/>
      <c r="DZ199" s="20"/>
      <c r="EA199" s="20"/>
      <c r="EB199" s="20"/>
    </row>
    <row r="200" spans="1:132" s="29" customFormat="1" ht="12.75">
      <c r="A200" s="45">
        <v>2009</v>
      </c>
      <c r="B200" s="48" t="s">
        <v>40</v>
      </c>
      <c r="C200" s="35">
        <f t="shared" si="198"/>
        <v>0.84908197329376855</v>
      </c>
      <c r="D200" s="35">
        <f t="shared" si="199"/>
        <v>0.87764784817406305</v>
      </c>
      <c r="E200" s="35">
        <f t="shared" si="200"/>
        <v>0.96745178041543023</v>
      </c>
      <c r="F20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21568</v>
      </c>
      <c r="G200" s="20">
        <f t="shared" si="201"/>
        <v>702</v>
      </c>
      <c r="H20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20866</v>
      </c>
      <c r="I20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18313</v>
      </c>
      <c r="J200" s="20">
        <f t="shared" si="202"/>
        <v>2553</v>
      </c>
      <c r="K200" s="27"/>
      <c r="L200" s="27"/>
      <c r="M200" s="45">
        <v>2009</v>
      </c>
      <c r="N200" s="48" t="s">
        <v>40</v>
      </c>
      <c r="O200" s="35">
        <f t="shared" si="158"/>
        <v>0.87856732426738171</v>
      </c>
      <c r="P200" s="35">
        <f t="shared" si="159"/>
        <v>0.899941141848146</v>
      </c>
      <c r="Q200" s="35">
        <f t="shared" si="160"/>
        <v>0.97624976058226398</v>
      </c>
      <c r="R200" s="20">
        <v>5221</v>
      </c>
      <c r="S200" s="27">
        <f t="shared" si="161"/>
        <v>124</v>
      </c>
      <c r="T200" s="20">
        <v>5097</v>
      </c>
      <c r="U200" s="20">
        <v>4587</v>
      </c>
      <c r="V200" s="20">
        <f t="shared" si="162"/>
        <v>510</v>
      </c>
      <c r="W200" s="20"/>
      <c r="X200" s="20"/>
      <c r="Y200" s="45"/>
      <c r="Z200" s="48"/>
      <c r="AA200" s="35"/>
      <c r="AB200" s="35"/>
      <c r="AC200" s="35"/>
      <c r="AD200" s="20"/>
      <c r="AE200" s="27"/>
      <c r="AF200" s="20"/>
      <c r="AG200" s="20"/>
      <c r="AH200" s="20"/>
      <c r="AI200" s="20"/>
      <c r="AJ200" s="20"/>
      <c r="AK200" s="45">
        <v>2009</v>
      </c>
      <c r="AL200" s="48" t="s">
        <v>40</v>
      </c>
      <c r="AM200" s="35">
        <f t="shared" si="163"/>
        <v>0.87769060551196942</v>
      </c>
      <c r="AN200" s="35">
        <f t="shared" si="164"/>
        <v>0.92632696390658176</v>
      </c>
      <c r="AO200" s="35">
        <f t="shared" si="165"/>
        <v>0.9474954737477369</v>
      </c>
      <c r="AP200" s="20">
        <v>4971</v>
      </c>
      <c r="AQ200" s="27">
        <f t="shared" si="166"/>
        <v>261</v>
      </c>
      <c r="AR200" s="20">
        <v>4710</v>
      </c>
      <c r="AS200" s="20">
        <v>4363</v>
      </c>
      <c r="AT200" s="20">
        <f t="shared" si="167"/>
        <v>347</v>
      </c>
      <c r="AU200" s="20"/>
      <c r="AV200" s="20"/>
      <c r="AW200" s="45">
        <v>2009</v>
      </c>
      <c r="AX200" s="48" t="s">
        <v>40</v>
      </c>
      <c r="AY200" s="35">
        <f t="shared" si="168"/>
        <v>0.63875205254515599</v>
      </c>
      <c r="AZ200" s="35">
        <f t="shared" si="169"/>
        <v>0.67068965517241375</v>
      </c>
      <c r="BA200" s="35">
        <f t="shared" si="170"/>
        <v>0.95238095238095233</v>
      </c>
      <c r="BB200" s="20">
        <v>609</v>
      </c>
      <c r="BC200" s="27">
        <f t="shared" si="171"/>
        <v>29</v>
      </c>
      <c r="BD200" s="20">
        <v>580</v>
      </c>
      <c r="BE200" s="20">
        <v>389</v>
      </c>
      <c r="BF200" s="20">
        <f t="shared" si="172"/>
        <v>191</v>
      </c>
      <c r="BG200" s="20"/>
      <c r="BH200" s="20"/>
      <c r="BI200" s="45">
        <v>2009</v>
      </c>
      <c r="BJ200" s="48" t="s">
        <v>40</v>
      </c>
      <c r="BK200" s="35">
        <f t="shared" si="173"/>
        <v>0.74471188913202047</v>
      </c>
      <c r="BL200" s="35">
        <f t="shared" si="174"/>
        <v>0.76565429321334832</v>
      </c>
      <c r="BM200" s="35">
        <f t="shared" si="175"/>
        <v>0.97264770240700216</v>
      </c>
      <c r="BN200" s="20">
        <v>2742</v>
      </c>
      <c r="BO200" s="27">
        <f t="shared" si="176"/>
        <v>75</v>
      </c>
      <c r="BP200" s="20">
        <v>2667</v>
      </c>
      <c r="BQ200" s="20">
        <v>2042</v>
      </c>
      <c r="BR200" s="20">
        <f t="shared" si="177"/>
        <v>625</v>
      </c>
      <c r="BS200" s="20"/>
      <c r="BT200" s="20"/>
      <c r="BU200" s="45">
        <v>2009</v>
      </c>
      <c r="BV200" s="48" t="s">
        <v>40</v>
      </c>
      <c r="BW200" s="35">
        <f t="shared" si="178"/>
        <v>0.86817188638018938</v>
      </c>
      <c r="BX200" s="35">
        <f t="shared" si="179"/>
        <v>0.89590379556557687</v>
      </c>
      <c r="BY200" s="35">
        <f t="shared" si="180"/>
        <v>0.96904588492352517</v>
      </c>
      <c r="BZ200" s="20">
        <v>2746</v>
      </c>
      <c r="CA200" s="27">
        <f t="shared" si="181"/>
        <v>85</v>
      </c>
      <c r="CB200" s="20">
        <v>2661</v>
      </c>
      <c r="CC200" s="20">
        <v>2384</v>
      </c>
      <c r="CD200" s="20">
        <f t="shared" si="182"/>
        <v>277</v>
      </c>
      <c r="CE200" s="20"/>
      <c r="CF200" s="20"/>
      <c r="CG200" s="45">
        <v>2009</v>
      </c>
      <c r="CH200" s="48" t="s">
        <v>40</v>
      </c>
      <c r="CI200" s="35">
        <f t="shared" si="203"/>
        <v>0.80205831903945113</v>
      </c>
      <c r="CJ200" s="35">
        <f t="shared" si="204"/>
        <v>0.81891418563922946</v>
      </c>
      <c r="CK200" s="35">
        <f t="shared" si="205"/>
        <v>0.97941680960548883</v>
      </c>
      <c r="CL200" s="20">
        <v>2915</v>
      </c>
      <c r="CM200" s="20">
        <f t="shared" si="186"/>
        <v>60</v>
      </c>
      <c r="CN200" s="20">
        <v>2855</v>
      </c>
      <c r="CO200" s="20">
        <v>2338</v>
      </c>
      <c r="CP200" s="20">
        <f t="shared" si="187"/>
        <v>517</v>
      </c>
      <c r="CQ200" s="20"/>
      <c r="CR200" s="20"/>
      <c r="CS200" s="45">
        <v>2009</v>
      </c>
      <c r="CT200" s="48" t="s">
        <v>40</v>
      </c>
      <c r="CU200" s="35">
        <f t="shared" si="188"/>
        <v>0.92755102040816328</v>
      </c>
      <c r="CV200" s="35">
        <f t="shared" si="189"/>
        <v>0.9380804953560371</v>
      </c>
      <c r="CW200" s="35">
        <f t="shared" si="190"/>
        <v>0.98877551020408161</v>
      </c>
      <c r="CX200" s="20">
        <v>980</v>
      </c>
      <c r="CY200" s="27">
        <f t="shared" si="191"/>
        <v>11</v>
      </c>
      <c r="CZ200" s="20">
        <v>969</v>
      </c>
      <c r="DA200" s="20">
        <v>909</v>
      </c>
      <c r="DB200" s="20">
        <f t="shared" si="192"/>
        <v>60</v>
      </c>
      <c r="DC200" s="20"/>
      <c r="DD200" s="20"/>
      <c r="DE200" s="45">
        <v>2009</v>
      </c>
      <c r="DF200" s="48" t="s">
        <v>40</v>
      </c>
      <c r="DG200" s="35">
        <f t="shared" si="193"/>
        <v>0.94002890173410403</v>
      </c>
      <c r="DH200" s="35">
        <f t="shared" si="194"/>
        <v>0.98040693293142422</v>
      </c>
      <c r="DI200" s="35">
        <f t="shared" si="195"/>
        <v>0.95881502890173409</v>
      </c>
      <c r="DJ200" s="20">
        <v>1384</v>
      </c>
      <c r="DK200" s="27">
        <f t="shared" si="196"/>
        <v>57</v>
      </c>
      <c r="DL200" s="20">
        <v>1327</v>
      </c>
      <c r="DM200" s="20">
        <v>1301</v>
      </c>
      <c r="DN200" s="20">
        <f t="shared" si="197"/>
        <v>26</v>
      </c>
      <c r="DO200" s="20"/>
      <c r="DP200" s="20"/>
      <c r="DQ200" s="45"/>
      <c r="DR200" s="48"/>
      <c r="DS200" s="35"/>
      <c r="DT200" s="35"/>
      <c r="DU200" s="35"/>
      <c r="DV200" s="20"/>
      <c r="DW200" s="20"/>
      <c r="DX200" s="20"/>
      <c r="DY200" s="20"/>
      <c r="DZ200" s="20"/>
      <c r="EA200" s="20"/>
      <c r="EB200" s="20"/>
    </row>
    <row r="201" spans="1:132" s="29" customFormat="1" ht="12.75">
      <c r="A201" s="46">
        <v>2009</v>
      </c>
      <c r="B201" s="47" t="s">
        <v>41</v>
      </c>
      <c r="C201" s="35">
        <f t="shared" si="198"/>
        <v>0.83445406608291806</v>
      </c>
      <c r="D201" s="35">
        <f t="shared" si="199"/>
        <v>0.87129363034803253</v>
      </c>
      <c r="E201" s="35">
        <f t="shared" si="200"/>
        <v>0.95771854288616898</v>
      </c>
      <c r="F20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20671</v>
      </c>
      <c r="G201" s="20">
        <f t="shared" si="201"/>
        <v>874</v>
      </c>
      <c r="H20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19797</v>
      </c>
      <c r="I20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17249</v>
      </c>
      <c r="J201" s="20">
        <f t="shared" si="202"/>
        <v>2548</v>
      </c>
      <c r="K201" s="27"/>
      <c r="L201" s="27"/>
      <c r="M201" s="46">
        <v>2009</v>
      </c>
      <c r="N201" s="47" t="s">
        <v>41</v>
      </c>
      <c r="O201" s="35">
        <f t="shared" si="158"/>
        <v>0.81728840754111509</v>
      </c>
      <c r="P201" s="35">
        <f t="shared" si="159"/>
        <v>0.85699263932702419</v>
      </c>
      <c r="Q201" s="35">
        <f t="shared" si="160"/>
        <v>0.95367027677496996</v>
      </c>
      <c r="R201" s="20">
        <v>4986</v>
      </c>
      <c r="S201" s="27">
        <f t="shared" si="161"/>
        <v>231</v>
      </c>
      <c r="T201" s="20">
        <v>4755</v>
      </c>
      <c r="U201" s="20">
        <v>4075</v>
      </c>
      <c r="V201" s="20">
        <f t="shared" si="162"/>
        <v>680</v>
      </c>
      <c r="W201" s="20"/>
      <c r="X201" s="20"/>
      <c r="Y201" s="46"/>
      <c r="Z201" s="47"/>
      <c r="AA201" s="35"/>
      <c r="AB201" s="35"/>
      <c r="AC201" s="35"/>
      <c r="AD201" s="20"/>
      <c r="AE201" s="27"/>
      <c r="AF201" s="20"/>
      <c r="AG201" s="20"/>
      <c r="AH201" s="20"/>
      <c r="AI201" s="20"/>
      <c r="AJ201" s="20"/>
      <c r="AK201" s="46">
        <v>2009</v>
      </c>
      <c r="AL201" s="47" t="s">
        <v>41</v>
      </c>
      <c r="AM201" s="35">
        <f t="shared" si="163"/>
        <v>0.84162990968283979</v>
      </c>
      <c r="AN201" s="35">
        <f t="shared" si="164"/>
        <v>0.8946193346729181</v>
      </c>
      <c r="AO201" s="35">
        <f t="shared" si="165"/>
        <v>0.94076874606175176</v>
      </c>
      <c r="AP201" s="20">
        <v>4761</v>
      </c>
      <c r="AQ201" s="27">
        <f t="shared" si="166"/>
        <v>282</v>
      </c>
      <c r="AR201" s="20">
        <v>4479</v>
      </c>
      <c r="AS201" s="20">
        <v>4007</v>
      </c>
      <c r="AT201" s="20">
        <f t="shared" si="167"/>
        <v>472</v>
      </c>
      <c r="AU201" s="20"/>
      <c r="AV201" s="20"/>
      <c r="AW201" s="46">
        <v>2009</v>
      </c>
      <c r="AX201" s="47" t="s">
        <v>41</v>
      </c>
      <c r="AY201" s="35">
        <f t="shared" si="168"/>
        <v>0.4627949183303085</v>
      </c>
      <c r="AZ201" s="35">
        <f t="shared" si="169"/>
        <v>0.5368421052631579</v>
      </c>
      <c r="BA201" s="35">
        <f t="shared" si="170"/>
        <v>0.86206896551724133</v>
      </c>
      <c r="BB201" s="20">
        <v>551</v>
      </c>
      <c r="BC201" s="27">
        <f t="shared" si="171"/>
        <v>76</v>
      </c>
      <c r="BD201" s="20">
        <v>475</v>
      </c>
      <c r="BE201" s="20">
        <v>255</v>
      </c>
      <c r="BF201" s="20">
        <f t="shared" si="172"/>
        <v>220</v>
      </c>
      <c r="BG201" s="20"/>
      <c r="BH201" s="20"/>
      <c r="BI201" s="46">
        <v>2009</v>
      </c>
      <c r="BJ201" s="47" t="s">
        <v>41</v>
      </c>
      <c r="BK201" s="35">
        <f t="shared" si="173"/>
        <v>0.83206974981046244</v>
      </c>
      <c r="BL201" s="35">
        <f t="shared" si="174"/>
        <v>0.85242718446601939</v>
      </c>
      <c r="BM201" s="35">
        <f t="shared" si="175"/>
        <v>0.97611827141774066</v>
      </c>
      <c r="BN201" s="20">
        <v>2638</v>
      </c>
      <c r="BO201" s="27">
        <f t="shared" si="176"/>
        <v>63</v>
      </c>
      <c r="BP201" s="20">
        <v>2575</v>
      </c>
      <c r="BQ201" s="20">
        <v>2195</v>
      </c>
      <c r="BR201" s="20">
        <f t="shared" si="177"/>
        <v>380</v>
      </c>
      <c r="BS201" s="20"/>
      <c r="BT201" s="20"/>
      <c r="BU201" s="46">
        <v>2009</v>
      </c>
      <c r="BV201" s="47" t="s">
        <v>41</v>
      </c>
      <c r="BW201" s="35">
        <f t="shared" si="178"/>
        <v>0.91184260310253495</v>
      </c>
      <c r="BX201" s="35">
        <f t="shared" si="179"/>
        <v>0.93701399688958009</v>
      </c>
      <c r="BY201" s="35">
        <f t="shared" si="180"/>
        <v>0.97313658721150209</v>
      </c>
      <c r="BZ201" s="20">
        <v>2643</v>
      </c>
      <c r="CA201" s="27">
        <f t="shared" si="181"/>
        <v>71</v>
      </c>
      <c r="CB201" s="20">
        <v>2572</v>
      </c>
      <c r="CC201" s="20">
        <v>2410</v>
      </c>
      <c r="CD201" s="20">
        <f t="shared" si="182"/>
        <v>162</v>
      </c>
      <c r="CE201" s="20"/>
      <c r="CF201" s="20"/>
      <c r="CG201" s="46">
        <v>2009</v>
      </c>
      <c r="CH201" s="47" t="s">
        <v>41</v>
      </c>
      <c r="CI201" s="35">
        <f t="shared" si="203"/>
        <v>0.7637205987170349</v>
      </c>
      <c r="CJ201" s="35">
        <f t="shared" si="204"/>
        <v>0.79517625231910949</v>
      </c>
      <c r="CK201" s="35">
        <f t="shared" si="205"/>
        <v>0.96044191019244474</v>
      </c>
      <c r="CL201" s="20">
        <v>2806</v>
      </c>
      <c r="CM201" s="20">
        <f t="shared" si="186"/>
        <v>111</v>
      </c>
      <c r="CN201" s="20">
        <v>2695</v>
      </c>
      <c r="CO201" s="20">
        <v>2143</v>
      </c>
      <c r="CP201" s="20">
        <f t="shared" si="187"/>
        <v>552</v>
      </c>
      <c r="CQ201" s="20"/>
      <c r="CR201" s="20"/>
      <c r="CS201" s="46">
        <v>2009</v>
      </c>
      <c r="CT201" s="47" t="s">
        <v>41</v>
      </c>
      <c r="CU201" s="35">
        <f t="shared" si="188"/>
        <v>0.91455696202531644</v>
      </c>
      <c r="CV201" s="35">
        <f t="shared" si="189"/>
        <v>0.93025751072961371</v>
      </c>
      <c r="CW201" s="35">
        <f t="shared" si="190"/>
        <v>0.9831223628691983</v>
      </c>
      <c r="CX201" s="20">
        <v>948</v>
      </c>
      <c r="CY201" s="27">
        <f t="shared" si="191"/>
        <v>16</v>
      </c>
      <c r="CZ201" s="20">
        <v>932</v>
      </c>
      <c r="DA201" s="20">
        <v>867</v>
      </c>
      <c r="DB201" s="20">
        <f t="shared" si="192"/>
        <v>65</v>
      </c>
      <c r="DC201" s="20"/>
      <c r="DD201" s="20"/>
      <c r="DE201" s="46">
        <v>2009</v>
      </c>
      <c r="DF201" s="47" t="s">
        <v>41</v>
      </c>
      <c r="DG201" s="35">
        <f t="shared" si="193"/>
        <v>0.96935724962630787</v>
      </c>
      <c r="DH201" s="35">
        <f t="shared" si="194"/>
        <v>0.98706240487062402</v>
      </c>
      <c r="DI201" s="35">
        <f t="shared" si="195"/>
        <v>0.98206278026905824</v>
      </c>
      <c r="DJ201" s="20">
        <v>1338</v>
      </c>
      <c r="DK201" s="27">
        <f t="shared" si="196"/>
        <v>24</v>
      </c>
      <c r="DL201" s="20">
        <v>1314</v>
      </c>
      <c r="DM201" s="20">
        <v>1297</v>
      </c>
      <c r="DN201" s="20">
        <f t="shared" si="197"/>
        <v>17</v>
      </c>
      <c r="DO201" s="20"/>
      <c r="DP201" s="20"/>
      <c r="DQ201" s="46"/>
      <c r="DR201" s="47"/>
      <c r="DS201" s="35"/>
      <c r="DT201" s="35"/>
      <c r="DU201" s="35"/>
      <c r="DV201" s="20"/>
      <c r="DW201" s="20"/>
      <c r="DX201" s="20"/>
      <c r="DY201" s="20"/>
      <c r="DZ201" s="20"/>
      <c r="EA201" s="20"/>
      <c r="EB201" s="20"/>
    </row>
    <row r="202" spans="1:132" s="29" customFormat="1" ht="12.75">
      <c r="A202" s="45">
        <v>2009</v>
      </c>
      <c r="B202" s="48" t="s">
        <v>42</v>
      </c>
      <c r="C202" s="35">
        <f t="shared" si="198"/>
        <v>0.83072559678562985</v>
      </c>
      <c r="D202" s="35">
        <f t="shared" si="199"/>
        <v>0.86083761939750181</v>
      </c>
      <c r="E202" s="35">
        <f t="shared" si="200"/>
        <v>0.96502008981328291</v>
      </c>
      <c r="F20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21155</v>
      </c>
      <c r="G202" s="20">
        <f t="shared" si="201"/>
        <v>740</v>
      </c>
      <c r="H20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I20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17574</v>
      </c>
      <c r="J202" s="20">
        <f t="shared" si="202"/>
        <v>2841</v>
      </c>
      <c r="K202" s="27"/>
      <c r="L202" s="27"/>
      <c r="M202" s="45">
        <v>2009</v>
      </c>
      <c r="N202" s="48" t="s">
        <v>42</v>
      </c>
      <c r="O202" s="35">
        <f t="shared" si="158"/>
        <v>0.82007874015748028</v>
      </c>
      <c r="P202" s="35">
        <f t="shared" si="159"/>
        <v>0.84812703583061888</v>
      </c>
      <c r="Q202" s="35">
        <f t="shared" si="160"/>
        <v>0.96692913385826773</v>
      </c>
      <c r="R202" s="20">
        <v>5080</v>
      </c>
      <c r="S202" s="27">
        <f t="shared" si="161"/>
        <v>168</v>
      </c>
      <c r="T202" s="20">
        <v>4912</v>
      </c>
      <c r="U202" s="20">
        <v>4166</v>
      </c>
      <c r="V202" s="20">
        <f t="shared" si="162"/>
        <v>746</v>
      </c>
      <c r="W202" s="20"/>
      <c r="X202" s="20"/>
      <c r="Y202" s="45"/>
      <c r="Z202" s="48"/>
      <c r="AA202" s="35"/>
      <c r="AB202" s="35"/>
      <c r="AC202" s="35"/>
      <c r="AD202" s="20"/>
      <c r="AE202" s="27"/>
      <c r="AF202" s="20"/>
      <c r="AG202" s="20"/>
      <c r="AH202" s="20"/>
      <c r="AI202" s="20"/>
      <c r="AJ202" s="20"/>
      <c r="AK202" s="45">
        <v>2009</v>
      </c>
      <c r="AL202" s="48" t="s">
        <v>42</v>
      </c>
      <c r="AM202" s="35">
        <f t="shared" si="163"/>
        <v>0.83985179086043638</v>
      </c>
      <c r="AN202" s="35">
        <f t="shared" si="164"/>
        <v>0.88388214904679374</v>
      </c>
      <c r="AO202" s="35">
        <f t="shared" si="165"/>
        <v>0.95018526142445447</v>
      </c>
      <c r="AP202" s="20">
        <v>4858</v>
      </c>
      <c r="AQ202" s="27">
        <f t="shared" si="166"/>
        <v>242</v>
      </c>
      <c r="AR202" s="20">
        <v>4616</v>
      </c>
      <c r="AS202" s="20">
        <v>4080</v>
      </c>
      <c r="AT202" s="20">
        <f t="shared" si="167"/>
        <v>536</v>
      </c>
      <c r="AU202" s="20"/>
      <c r="AV202" s="20"/>
      <c r="AW202" s="45">
        <v>2009</v>
      </c>
      <c r="AX202" s="48" t="s">
        <v>42</v>
      </c>
      <c r="AY202" s="35">
        <f t="shared" si="168"/>
        <v>0.44827586206896552</v>
      </c>
      <c r="AZ202" s="35">
        <f t="shared" si="169"/>
        <v>0.49598393574297189</v>
      </c>
      <c r="BA202" s="35">
        <f t="shared" si="170"/>
        <v>0.90381125226860259</v>
      </c>
      <c r="BB202" s="20">
        <v>551</v>
      </c>
      <c r="BC202" s="27">
        <f t="shared" si="171"/>
        <v>53</v>
      </c>
      <c r="BD202" s="20">
        <v>498</v>
      </c>
      <c r="BE202" s="20">
        <v>247</v>
      </c>
      <c r="BF202" s="20">
        <f t="shared" si="172"/>
        <v>251</v>
      </c>
      <c r="BG202" s="20"/>
      <c r="BH202" s="20"/>
      <c r="BI202" s="45">
        <v>2009</v>
      </c>
      <c r="BJ202" s="48" t="s">
        <v>42</v>
      </c>
      <c r="BK202" s="35">
        <f t="shared" si="173"/>
        <v>0.7944649446494465</v>
      </c>
      <c r="BL202" s="35">
        <f t="shared" si="174"/>
        <v>0.8106174698795181</v>
      </c>
      <c r="BM202" s="35">
        <f t="shared" si="175"/>
        <v>0.98007380073800743</v>
      </c>
      <c r="BN202" s="20">
        <v>2710</v>
      </c>
      <c r="BO202" s="27">
        <f t="shared" si="176"/>
        <v>54</v>
      </c>
      <c r="BP202" s="20">
        <v>2656</v>
      </c>
      <c r="BQ202" s="20">
        <v>2153</v>
      </c>
      <c r="BR202" s="20">
        <f t="shared" si="177"/>
        <v>503</v>
      </c>
      <c r="BS202" s="20"/>
      <c r="BT202" s="20"/>
      <c r="BU202" s="45">
        <v>2009</v>
      </c>
      <c r="BV202" s="48" t="s">
        <v>42</v>
      </c>
      <c r="BW202" s="35">
        <f t="shared" si="178"/>
        <v>0.91344383057090239</v>
      </c>
      <c r="BX202" s="35">
        <f t="shared" si="179"/>
        <v>0.93058161350844282</v>
      </c>
      <c r="BY202" s="35">
        <f t="shared" si="180"/>
        <v>0.98158379373848992</v>
      </c>
      <c r="BZ202" s="20">
        <v>2715</v>
      </c>
      <c r="CA202" s="27">
        <f t="shared" si="181"/>
        <v>50</v>
      </c>
      <c r="CB202" s="20">
        <v>2665</v>
      </c>
      <c r="CC202" s="20">
        <v>2480</v>
      </c>
      <c r="CD202" s="20">
        <f t="shared" si="182"/>
        <v>185</v>
      </c>
      <c r="CE202" s="20"/>
      <c r="CF202" s="20"/>
      <c r="CG202" s="45">
        <v>2009</v>
      </c>
      <c r="CH202" s="48" t="s">
        <v>42</v>
      </c>
      <c r="CI202" s="35">
        <f t="shared" si="203"/>
        <v>0.81566181566181561</v>
      </c>
      <c r="CJ202" s="35">
        <f t="shared" si="204"/>
        <v>0.82451838879159367</v>
      </c>
      <c r="CK202" s="35">
        <f t="shared" si="205"/>
        <v>0.98925848925848925</v>
      </c>
      <c r="CL202" s="20">
        <v>2886</v>
      </c>
      <c r="CM202" s="20">
        <f t="shared" si="186"/>
        <v>31</v>
      </c>
      <c r="CN202" s="20">
        <v>2855</v>
      </c>
      <c r="CO202" s="20">
        <v>2354</v>
      </c>
      <c r="CP202" s="20">
        <f t="shared" si="187"/>
        <v>501</v>
      </c>
      <c r="CQ202" s="20"/>
      <c r="CR202" s="20"/>
      <c r="CS202" s="45">
        <v>2009</v>
      </c>
      <c r="CT202" s="48" t="s">
        <v>42</v>
      </c>
      <c r="CU202" s="35">
        <f t="shared" si="188"/>
        <v>0.77811860940695299</v>
      </c>
      <c r="CV202" s="35">
        <f t="shared" si="189"/>
        <v>0.89214536928487687</v>
      </c>
      <c r="CW202" s="35">
        <f t="shared" si="190"/>
        <v>0.8721881390593047</v>
      </c>
      <c r="CX202" s="20">
        <v>978</v>
      </c>
      <c r="CY202" s="27">
        <f t="shared" si="191"/>
        <v>125</v>
      </c>
      <c r="CZ202" s="20">
        <v>853</v>
      </c>
      <c r="DA202" s="20">
        <v>761</v>
      </c>
      <c r="DB202" s="20">
        <f t="shared" si="192"/>
        <v>92</v>
      </c>
      <c r="DC202" s="20"/>
      <c r="DD202" s="20"/>
      <c r="DE202" s="45">
        <v>2009</v>
      </c>
      <c r="DF202" s="48" t="s">
        <v>42</v>
      </c>
      <c r="DG202" s="35">
        <f t="shared" si="193"/>
        <v>0.96804647785039943</v>
      </c>
      <c r="DH202" s="35">
        <f t="shared" si="194"/>
        <v>0.98014705882352937</v>
      </c>
      <c r="DI202" s="35">
        <f t="shared" si="195"/>
        <v>0.98765432098765427</v>
      </c>
      <c r="DJ202" s="20">
        <v>1377</v>
      </c>
      <c r="DK202" s="27">
        <f t="shared" si="196"/>
        <v>17</v>
      </c>
      <c r="DL202" s="20">
        <v>1360</v>
      </c>
      <c r="DM202" s="20">
        <v>1333</v>
      </c>
      <c r="DN202" s="20">
        <f t="shared" si="197"/>
        <v>27</v>
      </c>
      <c r="DO202" s="20"/>
      <c r="DP202" s="20"/>
      <c r="DQ202" s="45"/>
      <c r="DR202" s="48"/>
      <c r="DS202" s="35"/>
      <c r="DT202" s="35"/>
      <c r="DU202" s="35"/>
      <c r="DV202" s="20"/>
      <c r="DW202" s="20"/>
      <c r="DX202" s="20"/>
      <c r="DY202" s="20"/>
      <c r="DZ202" s="20"/>
      <c r="EA202" s="20"/>
      <c r="EB202" s="20"/>
    </row>
    <row r="203" spans="1:132" s="29" customFormat="1" ht="12.75">
      <c r="A203" s="46">
        <v>2009</v>
      </c>
      <c r="B203" s="47" t="s">
        <v>43</v>
      </c>
      <c r="C203" s="35">
        <f t="shared" si="198"/>
        <v>0.85094375414967272</v>
      </c>
      <c r="D203" s="35">
        <f t="shared" si="199"/>
        <v>0.87335118033584813</v>
      </c>
      <c r="E203" s="35">
        <f t="shared" si="200"/>
        <v>0.97434316608176041</v>
      </c>
      <c r="F20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G203" s="20">
        <f t="shared" si="201"/>
        <v>541</v>
      </c>
      <c r="H20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20545</v>
      </c>
      <c r="I20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17943</v>
      </c>
      <c r="J203" s="20">
        <f t="shared" si="202"/>
        <v>2602</v>
      </c>
      <c r="K203" s="27"/>
      <c r="L203" s="27"/>
      <c r="M203" s="46">
        <v>2009</v>
      </c>
      <c r="N203" s="47" t="s">
        <v>43</v>
      </c>
      <c r="O203" s="35">
        <f t="shared" si="158"/>
        <v>0.86385800663155843</v>
      </c>
      <c r="P203" s="35">
        <f t="shared" si="159"/>
        <v>0.88104237119554407</v>
      </c>
      <c r="Q203" s="35">
        <f t="shared" si="160"/>
        <v>0.98049541642285942</v>
      </c>
      <c r="R203" s="20">
        <v>5127</v>
      </c>
      <c r="S203" s="27">
        <f t="shared" si="161"/>
        <v>100</v>
      </c>
      <c r="T203" s="20">
        <v>5027</v>
      </c>
      <c r="U203" s="20">
        <v>4429</v>
      </c>
      <c r="V203" s="20">
        <f t="shared" si="162"/>
        <v>598</v>
      </c>
      <c r="W203" s="20"/>
      <c r="X203" s="20"/>
      <c r="Y203" s="46"/>
      <c r="Z203" s="47"/>
      <c r="AA203" s="35"/>
      <c r="AB203" s="35"/>
      <c r="AC203" s="35"/>
      <c r="AD203" s="20"/>
      <c r="AE203" s="27"/>
      <c r="AF203" s="20"/>
      <c r="AG203" s="20"/>
      <c r="AH203" s="20"/>
      <c r="AI203" s="20"/>
      <c r="AJ203" s="20"/>
      <c r="AK203" s="46">
        <v>2009</v>
      </c>
      <c r="AL203" s="47" t="s">
        <v>43</v>
      </c>
      <c r="AM203" s="35">
        <f t="shared" si="163"/>
        <v>0.85643970467596386</v>
      </c>
      <c r="AN203" s="35">
        <f t="shared" si="164"/>
        <v>0.89211706900234988</v>
      </c>
      <c r="AO203" s="35">
        <f t="shared" si="165"/>
        <v>0.96000820344544713</v>
      </c>
      <c r="AP203" s="20">
        <v>4876</v>
      </c>
      <c r="AQ203" s="27">
        <f t="shared" si="166"/>
        <v>195</v>
      </c>
      <c r="AR203" s="20">
        <v>4681</v>
      </c>
      <c r="AS203" s="20">
        <v>4176</v>
      </c>
      <c r="AT203" s="20">
        <f t="shared" si="167"/>
        <v>505</v>
      </c>
      <c r="AU203" s="20"/>
      <c r="AV203" s="20"/>
      <c r="AW203" s="46">
        <v>2009</v>
      </c>
      <c r="AX203" s="47" t="s">
        <v>43</v>
      </c>
      <c r="AY203" s="35">
        <f t="shared" si="168"/>
        <v>0.54351395730706076</v>
      </c>
      <c r="AZ203" s="35">
        <f t="shared" si="169"/>
        <v>0.57766143106457246</v>
      </c>
      <c r="BA203" s="35">
        <f t="shared" si="170"/>
        <v>0.94088669950738912</v>
      </c>
      <c r="BB203" s="20">
        <v>609</v>
      </c>
      <c r="BC203" s="27">
        <f t="shared" si="171"/>
        <v>36</v>
      </c>
      <c r="BD203" s="20">
        <v>573</v>
      </c>
      <c r="BE203" s="20">
        <v>331</v>
      </c>
      <c r="BF203" s="20">
        <f t="shared" si="172"/>
        <v>242</v>
      </c>
      <c r="BG203" s="20"/>
      <c r="BH203" s="20"/>
      <c r="BI203" s="46">
        <v>2009</v>
      </c>
      <c r="BJ203" s="47" t="s">
        <v>43</v>
      </c>
      <c r="BK203" s="35">
        <f t="shared" si="173"/>
        <v>0.81235955056179776</v>
      </c>
      <c r="BL203" s="35">
        <f t="shared" si="174"/>
        <v>0.83358954650269024</v>
      </c>
      <c r="BM203" s="35">
        <f t="shared" si="175"/>
        <v>0.97453183520599251</v>
      </c>
      <c r="BN203" s="20">
        <v>2670</v>
      </c>
      <c r="BO203" s="27">
        <f t="shared" si="176"/>
        <v>68</v>
      </c>
      <c r="BP203" s="20">
        <v>2602</v>
      </c>
      <c r="BQ203" s="20">
        <v>2169</v>
      </c>
      <c r="BR203" s="20">
        <f t="shared" si="177"/>
        <v>433</v>
      </c>
      <c r="BS203" s="20"/>
      <c r="BT203" s="20"/>
      <c r="BU203" s="46">
        <v>2009</v>
      </c>
      <c r="BV203" s="47" t="s">
        <v>43</v>
      </c>
      <c r="BW203" s="35">
        <f t="shared" si="178"/>
        <v>0.90949887808526553</v>
      </c>
      <c r="BX203" s="35">
        <f t="shared" si="179"/>
        <v>0.92401215805471126</v>
      </c>
      <c r="BY203" s="35">
        <f t="shared" si="180"/>
        <v>0.98429319371727753</v>
      </c>
      <c r="BZ203" s="20">
        <v>2674</v>
      </c>
      <c r="CA203" s="27">
        <f t="shared" si="181"/>
        <v>42</v>
      </c>
      <c r="CB203" s="20">
        <v>2632</v>
      </c>
      <c r="CC203" s="20">
        <v>2432</v>
      </c>
      <c r="CD203" s="20">
        <f t="shared" si="182"/>
        <v>200</v>
      </c>
      <c r="CE203" s="20"/>
      <c r="CF203" s="20"/>
      <c r="CG203" s="46">
        <v>2009</v>
      </c>
      <c r="CH203" s="47" t="s">
        <v>43</v>
      </c>
      <c r="CI203" s="35">
        <f t="shared" si="203"/>
        <v>0.81552028218694883</v>
      </c>
      <c r="CJ203" s="35">
        <f t="shared" si="204"/>
        <v>0.82926829268292679</v>
      </c>
      <c r="CK203" s="35">
        <f t="shared" si="205"/>
        <v>0.98342151675485012</v>
      </c>
      <c r="CL203" s="20">
        <v>2835</v>
      </c>
      <c r="CM203" s="20">
        <f t="shared" si="186"/>
        <v>47</v>
      </c>
      <c r="CN203" s="20">
        <v>2788</v>
      </c>
      <c r="CO203" s="20">
        <v>2312</v>
      </c>
      <c r="CP203" s="20">
        <f t="shared" si="187"/>
        <v>476</v>
      </c>
      <c r="CQ203" s="20"/>
      <c r="CR203" s="20"/>
      <c r="CS203" s="46">
        <v>2009</v>
      </c>
      <c r="CT203" s="47" t="s">
        <v>43</v>
      </c>
      <c r="CU203" s="35">
        <f t="shared" si="188"/>
        <v>0.82842105263157895</v>
      </c>
      <c r="CV203" s="35">
        <f t="shared" si="189"/>
        <v>0.87153931339977853</v>
      </c>
      <c r="CW203" s="35">
        <f t="shared" si="190"/>
        <v>0.95052631578947366</v>
      </c>
      <c r="CX203" s="20">
        <v>950</v>
      </c>
      <c r="CY203" s="27">
        <f t="shared" si="191"/>
        <v>47</v>
      </c>
      <c r="CZ203" s="20">
        <v>903</v>
      </c>
      <c r="DA203" s="20">
        <v>787</v>
      </c>
      <c r="DB203" s="20">
        <f t="shared" si="192"/>
        <v>116</v>
      </c>
      <c r="DC203" s="20"/>
      <c r="DD203" s="20"/>
      <c r="DE203" s="46">
        <v>2009</v>
      </c>
      <c r="DF203" s="47" t="s">
        <v>43</v>
      </c>
      <c r="DG203" s="35">
        <f t="shared" si="193"/>
        <v>0.97174721189591073</v>
      </c>
      <c r="DH203" s="35">
        <f t="shared" si="194"/>
        <v>0.97610156833457806</v>
      </c>
      <c r="DI203" s="35">
        <f t="shared" si="195"/>
        <v>0.99553903345724903</v>
      </c>
      <c r="DJ203" s="20">
        <v>1345</v>
      </c>
      <c r="DK203" s="27">
        <f t="shared" si="196"/>
        <v>6</v>
      </c>
      <c r="DL203" s="20">
        <v>1339</v>
      </c>
      <c r="DM203" s="20">
        <v>1307</v>
      </c>
      <c r="DN203" s="20">
        <f t="shared" si="197"/>
        <v>32</v>
      </c>
      <c r="DO203" s="20"/>
      <c r="DP203" s="20"/>
      <c r="DQ203" s="46"/>
      <c r="DR203" s="47"/>
      <c r="DS203" s="35"/>
      <c r="DT203" s="35"/>
      <c r="DU203" s="35"/>
      <c r="DV203" s="20"/>
      <c r="DW203" s="20"/>
      <c r="DX203" s="20"/>
      <c r="DY203" s="20"/>
      <c r="DZ203" s="20"/>
      <c r="EA203" s="20"/>
      <c r="EB203" s="20"/>
    </row>
    <row r="204" spans="1:132" s="29" customFormat="1" ht="12.75">
      <c r="A204" s="45">
        <v>2009</v>
      </c>
      <c r="B204" s="48" t="s">
        <v>44</v>
      </c>
      <c r="C204" s="35">
        <f t="shared" si="198"/>
        <v>0.88805008285766895</v>
      </c>
      <c r="D204" s="35">
        <f t="shared" si="199"/>
        <v>0.91884168413031053</v>
      </c>
      <c r="E204" s="35">
        <f t="shared" si="200"/>
        <v>0.96648867611857858</v>
      </c>
      <c r="F20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21724</v>
      </c>
      <c r="G204" s="20">
        <f t="shared" si="201"/>
        <v>728</v>
      </c>
      <c r="H20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20996</v>
      </c>
      <c r="I20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J204" s="20">
        <f t="shared" si="202"/>
        <v>1704</v>
      </c>
      <c r="K204" s="27"/>
      <c r="L204" s="27"/>
      <c r="M204" s="45">
        <v>2009</v>
      </c>
      <c r="N204" s="48" t="s">
        <v>44</v>
      </c>
      <c r="O204" s="35">
        <f t="shared" si="158"/>
        <v>0.88044713906782868</v>
      </c>
      <c r="P204" s="35">
        <f t="shared" si="159"/>
        <v>0.91458374335760673</v>
      </c>
      <c r="Q204" s="35">
        <f t="shared" si="160"/>
        <v>0.96267525577870405</v>
      </c>
      <c r="R204" s="20">
        <v>5278</v>
      </c>
      <c r="S204" s="27">
        <f t="shared" si="161"/>
        <v>197</v>
      </c>
      <c r="T204" s="20">
        <v>5081</v>
      </c>
      <c r="U204" s="20">
        <v>4647</v>
      </c>
      <c r="V204" s="20">
        <f t="shared" si="162"/>
        <v>434</v>
      </c>
      <c r="W204" s="20"/>
      <c r="X204" s="20"/>
      <c r="Y204" s="45"/>
      <c r="Z204" s="48"/>
      <c r="AA204" s="35"/>
      <c r="AB204" s="35"/>
      <c r="AC204" s="35"/>
      <c r="AD204" s="20"/>
      <c r="AE204" s="27"/>
      <c r="AF204" s="20"/>
      <c r="AG204" s="20"/>
      <c r="AH204" s="20"/>
      <c r="AI204" s="20"/>
      <c r="AJ204" s="20"/>
      <c r="AK204" s="45">
        <v>2009</v>
      </c>
      <c r="AL204" s="48" t="s">
        <v>44</v>
      </c>
      <c r="AM204" s="35">
        <f t="shared" si="163"/>
        <v>0.90371991247264771</v>
      </c>
      <c r="AN204" s="35">
        <f t="shared" si="164"/>
        <v>0.94508009153318073</v>
      </c>
      <c r="AO204" s="35">
        <f t="shared" si="165"/>
        <v>0.9562363238512035</v>
      </c>
      <c r="AP204" s="20">
        <v>5027</v>
      </c>
      <c r="AQ204" s="27">
        <f t="shared" si="166"/>
        <v>220</v>
      </c>
      <c r="AR204" s="20">
        <v>4807</v>
      </c>
      <c r="AS204" s="20">
        <v>4543</v>
      </c>
      <c r="AT204" s="20">
        <f t="shared" si="167"/>
        <v>264</v>
      </c>
      <c r="AU204" s="20"/>
      <c r="AV204" s="20"/>
      <c r="AW204" s="45">
        <v>2009</v>
      </c>
      <c r="AX204" s="48" t="s">
        <v>44</v>
      </c>
      <c r="AY204" s="35">
        <f t="shared" si="168"/>
        <v>0.68637110016420366</v>
      </c>
      <c r="AZ204" s="35">
        <f t="shared" si="169"/>
        <v>0.78277153558052437</v>
      </c>
      <c r="BA204" s="35">
        <f t="shared" si="170"/>
        <v>0.87684729064039413</v>
      </c>
      <c r="BB204" s="20">
        <v>609</v>
      </c>
      <c r="BC204" s="27">
        <f t="shared" si="171"/>
        <v>75</v>
      </c>
      <c r="BD204" s="20">
        <v>534</v>
      </c>
      <c r="BE204" s="20">
        <v>418</v>
      </c>
      <c r="BF204" s="20">
        <f t="shared" si="172"/>
        <v>116</v>
      </c>
      <c r="BG204" s="20"/>
      <c r="BH204" s="20"/>
      <c r="BI204" s="45">
        <v>2009</v>
      </c>
      <c r="BJ204" s="48" t="s">
        <v>44</v>
      </c>
      <c r="BK204" s="35">
        <f t="shared" si="173"/>
        <v>0.88271604938271608</v>
      </c>
      <c r="BL204" s="35">
        <f t="shared" si="174"/>
        <v>0.89970392301998514</v>
      </c>
      <c r="BM204" s="35">
        <f t="shared" si="175"/>
        <v>0.98111837327523599</v>
      </c>
      <c r="BN204" s="20">
        <v>2754</v>
      </c>
      <c r="BO204" s="27">
        <f t="shared" si="176"/>
        <v>52</v>
      </c>
      <c r="BP204" s="20">
        <v>2702</v>
      </c>
      <c r="BQ204" s="20">
        <v>2431</v>
      </c>
      <c r="BR204" s="20">
        <f t="shared" si="177"/>
        <v>271</v>
      </c>
      <c r="BS204" s="20"/>
      <c r="BT204" s="20"/>
      <c r="BU204" s="45">
        <v>2009</v>
      </c>
      <c r="BV204" s="48" t="s">
        <v>44</v>
      </c>
      <c r="BW204" s="35">
        <f t="shared" si="178"/>
        <v>0.9423704240666908</v>
      </c>
      <c r="BX204" s="35">
        <f t="shared" si="179"/>
        <v>0.95729013254786455</v>
      </c>
      <c r="BY204" s="35">
        <f t="shared" si="180"/>
        <v>0.98441464298658932</v>
      </c>
      <c r="BZ204" s="20">
        <v>2759</v>
      </c>
      <c r="CA204" s="27">
        <f t="shared" si="181"/>
        <v>43</v>
      </c>
      <c r="CB204" s="20">
        <v>2716</v>
      </c>
      <c r="CC204" s="20">
        <v>2600</v>
      </c>
      <c r="CD204" s="20">
        <f t="shared" si="182"/>
        <v>116</v>
      </c>
      <c r="CE204" s="20"/>
      <c r="CF204" s="20"/>
      <c r="CG204" s="45">
        <v>2009</v>
      </c>
      <c r="CH204" s="48" t="s">
        <v>44</v>
      </c>
      <c r="CI204" s="35">
        <f t="shared" si="203"/>
        <v>0.84336525307797539</v>
      </c>
      <c r="CJ204" s="35">
        <f t="shared" si="204"/>
        <v>0.8772678762006404</v>
      </c>
      <c r="CK204" s="35">
        <f t="shared" si="205"/>
        <v>0.96135430916552667</v>
      </c>
      <c r="CL204" s="20">
        <v>2924</v>
      </c>
      <c r="CM204" s="20">
        <f t="shared" si="186"/>
        <v>113</v>
      </c>
      <c r="CN204" s="20">
        <v>2811</v>
      </c>
      <c r="CO204" s="20">
        <v>2466</v>
      </c>
      <c r="CP204" s="20">
        <f t="shared" si="187"/>
        <v>345</v>
      </c>
      <c r="CQ204" s="20"/>
      <c r="CR204" s="20"/>
      <c r="CS204" s="45">
        <v>2009</v>
      </c>
      <c r="CT204" s="48" t="s">
        <v>44</v>
      </c>
      <c r="CU204" s="35">
        <f t="shared" si="188"/>
        <v>0.84928716904276991</v>
      </c>
      <c r="CV204" s="35">
        <f t="shared" si="189"/>
        <v>0.86694386694386694</v>
      </c>
      <c r="CW204" s="35">
        <f t="shared" si="190"/>
        <v>0.97963340122199594</v>
      </c>
      <c r="CX204" s="20">
        <v>982</v>
      </c>
      <c r="CY204" s="27">
        <f t="shared" si="191"/>
        <v>20</v>
      </c>
      <c r="CZ204" s="20">
        <v>962</v>
      </c>
      <c r="DA204" s="20">
        <v>834</v>
      </c>
      <c r="DB204" s="20">
        <f t="shared" si="192"/>
        <v>128</v>
      </c>
      <c r="DC204" s="20"/>
      <c r="DD204" s="20"/>
      <c r="DE204" s="45">
        <v>2009</v>
      </c>
      <c r="DF204" s="48" t="s">
        <v>44</v>
      </c>
      <c r="DG204" s="35">
        <f t="shared" si="193"/>
        <v>0.97268152408339326</v>
      </c>
      <c r="DH204" s="35">
        <f t="shared" si="194"/>
        <v>0.97830802603036882</v>
      </c>
      <c r="DI204" s="35">
        <f t="shared" si="195"/>
        <v>0.99424874191229329</v>
      </c>
      <c r="DJ204" s="20">
        <v>1391</v>
      </c>
      <c r="DK204" s="27">
        <f t="shared" si="196"/>
        <v>8</v>
      </c>
      <c r="DL204" s="20">
        <v>1383</v>
      </c>
      <c r="DM204" s="20">
        <v>1353</v>
      </c>
      <c r="DN204" s="20">
        <f t="shared" si="197"/>
        <v>30</v>
      </c>
      <c r="DO204" s="20"/>
      <c r="DP204" s="20"/>
      <c r="DQ204" s="45"/>
      <c r="DR204" s="48"/>
      <c r="DS204" s="35"/>
      <c r="DT204" s="35"/>
      <c r="DU204" s="35"/>
      <c r="DV204" s="20"/>
      <c r="DW204" s="20"/>
      <c r="DX204" s="20"/>
      <c r="DY204" s="20"/>
      <c r="DZ204" s="20"/>
      <c r="EA204" s="20"/>
      <c r="EB204" s="20"/>
    </row>
    <row r="205" spans="1:132" s="29" customFormat="1" ht="12.75">
      <c r="A205" s="46">
        <v>2009</v>
      </c>
      <c r="B205" s="47" t="s">
        <v>45</v>
      </c>
      <c r="C205" s="35">
        <f t="shared" si="198"/>
        <v>0.88628200942208124</v>
      </c>
      <c r="D205" s="35">
        <f t="shared" si="199"/>
        <v>0.90679583850338841</v>
      </c>
      <c r="E205" s="35">
        <f t="shared" si="200"/>
        <v>0.97737767619758387</v>
      </c>
      <c r="F20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21439</v>
      </c>
      <c r="G205" s="20">
        <f t="shared" si="201"/>
        <v>485</v>
      </c>
      <c r="H20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20954</v>
      </c>
      <c r="I20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19001</v>
      </c>
      <c r="J205" s="20">
        <f t="shared" si="202"/>
        <v>1953</v>
      </c>
      <c r="K205" s="27"/>
      <c r="L205" s="27"/>
      <c r="M205" s="46">
        <v>2009</v>
      </c>
      <c r="N205" s="47" t="s">
        <v>45</v>
      </c>
      <c r="O205" s="35">
        <f t="shared" si="158"/>
        <v>0.89283645491407604</v>
      </c>
      <c r="P205" s="35">
        <f t="shared" si="159"/>
        <v>0.91185170577795305</v>
      </c>
      <c r="Q205" s="35">
        <f t="shared" si="160"/>
        <v>0.97914655338868506</v>
      </c>
      <c r="R205" s="20">
        <v>5179</v>
      </c>
      <c r="S205" s="27">
        <f t="shared" si="161"/>
        <v>108</v>
      </c>
      <c r="T205" s="20">
        <v>5071</v>
      </c>
      <c r="U205" s="20">
        <v>4624</v>
      </c>
      <c r="V205" s="20">
        <f t="shared" si="162"/>
        <v>447</v>
      </c>
      <c r="W205" s="20"/>
      <c r="X205" s="20"/>
      <c r="Y205" s="46"/>
      <c r="Z205" s="47"/>
      <c r="AA205" s="35"/>
      <c r="AB205" s="35"/>
      <c r="AC205" s="35"/>
      <c r="AD205" s="20"/>
      <c r="AE205" s="27"/>
      <c r="AF205" s="20"/>
      <c r="AG205" s="20"/>
      <c r="AH205" s="20"/>
      <c r="AI205" s="20"/>
      <c r="AJ205" s="20"/>
      <c r="AK205" s="46">
        <v>2009</v>
      </c>
      <c r="AL205" s="47" t="s">
        <v>45</v>
      </c>
      <c r="AM205" s="35">
        <f t="shared" si="163"/>
        <v>0.91056252529340354</v>
      </c>
      <c r="AN205" s="35">
        <f t="shared" si="164"/>
        <v>0.9384775808133472</v>
      </c>
      <c r="AO205" s="35">
        <f t="shared" si="165"/>
        <v>0.97025495750708213</v>
      </c>
      <c r="AP205" s="20">
        <v>4942</v>
      </c>
      <c r="AQ205" s="27">
        <f t="shared" si="166"/>
        <v>147</v>
      </c>
      <c r="AR205" s="20">
        <v>4795</v>
      </c>
      <c r="AS205" s="20">
        <v>4500</v>
      </c>
      <c r="AT205" s="20">
        <f t="shared" si="167"/>
        <v>295</v>
      </c>
      <c r="AU205" s="20"/>
      <c r="AV205" s="20"/>
      <c r="AW205" s="46">
        <v>2009</v>
      </c>
      <c r="AX205" s="47" t="s">
        <v>45</v>
      </c>
      <c r="AY205" s="35">
        <f t="shared" si="168"/>
        <v>0.73793103448275865</v>
      </c>
      <c r="AZ205" s="35">
        <f t="shared" si="169"/>
        <v>0.81060606060606055</v>
      </c>
      <c r="BA205" s="35">
        <f t="shared" si="170"/>
        <v>0.91034482758620694</v>
      </c>
      <c r="BB205" s="20">
        <v>580</v>
      </c>
      <c r="BC205" s="27">
        <f t="shared" si="171"/>
        <v>52</v>
      </c>
      <c r="BD205" s="20">
        <v>528</v>
      </c>
      <c r="BE205" s="20">
        <v>428</v>
      </c>
      <c r="BF205" s="20">
        <f t="shared" si="172"/>
        <v>100</v>
      </c>
      <c r="BG205" s="20"/>
      <c r="BH205" s="20"/>
      <c r="BI205" s="46">
        <v>2009</v>
      </c>
      <c r="BJ205" s="47" t="s">
        <v>45</v>
      </c>
      <c r="BK205" s="35">
        <f t="shared" si="173"/>
        <v>0.85688140556368964</v>
      </c>
      <c r="BL205" s="35">
        <f t="shared" si="174"/>
        <v>0.87415982076176246</v>
      </c>
      <c r="BM205" s="35">
        <f t="shared" si="175"/>
        <v>0.98023426061493413</v>
      </c>
      <c r="BN205" s="20">
        <v>2732</v>
      </c>
      <c r="BO205" s="27">
        <f t="shared" si="176"/>
        <v>54</v>
      </c>
      <c r="BP205" s="20">
        <v>2678</v>
      </c>
      <c r="BQ205" s="20">
        <v>2341</v>
      </c>
      <c r="BR205" s="20">
        <f t="shared" si="177"/>
        <v>337</v>
      </c>
      <c r="BS205" s="20"/>
      <c r="BT205" s="20"/>
      <c r="BU205" s="46">
        <v>2009</v>
      </c>
      <c r="BV205" s="47" t="s">
        <v>45</v>
      </c>
      <c r="BW205" s="35">
        <f t="shared" si="178"/>
        <v>0.92838874680306904</v>
      </c>
      <c r="BX205" s="35">
        <f t="shared" si="179"/>
        <v>0.94250741839762608</v>
      </c>
      <c r="BY205" s="35">
        <f t="shared" si="180"/>
        <v>0.98502009499451959</v>
      </c>
      <c r="BZ205" s="20">
        <v>2737</v>
      </c>
      <c r="CA205" s="27">
        <f t="shared" si="181"/>
        <v>41</v>
      </c>
      <c r="CB205" s="20">
        <v>2696</v>
      </c>
      <c r="CC205" s="20">
        <v>2541</v>
      </c>
      <c r="CD205" s="20">
        <f t="shared" si="182"/>
        <v>155</v>
      </c>
      <c r="CE205" s="20"/>
      <c r="CF205" s="20"/>
      <c r="CG205" s="46">
        <v>2009</v>
      </c>
      <c r="CH205" s="47" t="s">
        <v>45</v>
      </c>
      <c r="CI205" s="35">
        <f t="shared" si="203"/>
        <v>0.83063683304647162</v>
      </c>
      <c r="CJ205" s="35">
        <f t="shared" si="204"/>
        <v>0.8451838879159369</v>
      </c>
      <c r="CK205" s="35">
        <f t="shared" si="205"/>
        <v>0.98278829604130813</v>
      </c>
      <c r="CL205" s="20">
        <v>2905</v>
      </c>
      <c r="CM205" s="20">
        <f t="shared" si="186"/>
        <v>50</v>
      </c>
      <c r="CN205" s="20">
        <v>2855</v>
      </c>
      <c r="CO205" s="20">
        <v>2413</v>
      </c>
      <c r="CP205" s="20">
        <f t="shared" si="187"/>
        <v>442</v>
      </c>
      <c r="CQ205" s="20"/>
      <c r="CR205" s="20"/>
      <c r="CS205" s="46">
        <v>2009</v>
      </c>
      <c r="CT205" s="47" t="s">
        <v>45</v>
      </c>
      <c r="CU205" s="35">
        <f t="shared" si="188"/>
        <v>0.83061224489795915</v>
      </c>
      <c r="CV205" s="35">
        <f t="shared" si="189"/>
        <v>0.84703433922996874</v>
      </c>
      <c r="CW205" s="35">
        <f t="shared" si="190"/>
        <v>0.98061224489795917</v>
      </c>
      <c r="CX205" s="20">
        <v>980</v>
      </c>
      <c r="CY205" s="27">
        <f t="shared" si="191"/>
        <v>19</v>
      </c>
      <c r="CZ205" s="20">
        <v>961</v>
      </c>
      <c r="DA205" s="20">
        <v>814</v>
      </c>
      <c r="DB205" s="20">
        <f t="shared" si="192"/>
        <v>147</v>
      </c>
      <c r="DC205" s="20"/>
      <c r="DD205" s="20"/>
      <c r="DE205" s="46">
        <v>2009</v>
      </c>
      <c r="DF205" s="47" t="s">
        <v>45</v>
      </c>
      <c r="DG205" s="35">
        <f t="shared" si="193"/>
        <v>0.96820809248554918</v>
      </c>
      <c r="DH205" s="35">
        <f t="shared" si="194"/>
        <v>0.97810218978102192</v>
      </c>
      <c r="DI205" s="35">
        <f t="shared" si="195"/>
        <v>0.98988439306358378</v>
      </c>
      <c r="DJ205" s="20">
        <v>1384</v>
      </c>
      <c r="DK205" s="27">
        <f t="shared" si="196"/>
        <v>14</v>
      </c>
      <c r="DL205" s="20">
        <v>1370</v>
      </c>
      <c r="DM205" s="20">
        <v>1340</v>
      </c>
      <c r="DN205" s="20">
        <f t="shared" si="197"/>
        <v>30</v>
      </c>
      <c r="DO205" s="20"/>
      <c r="DP205" s="20"/>
      <c r="DQ205" s="46"/>
      <c r="DR205" s="47"/>
      <c r="DS205" s="35"/>
      <c r="DT205" s="35"/>
      <c r="DU205" s="35"/>
      <c r="DV205" s="20"/>
      <c r="DW205" s="20"/>
      <c r="DX205" s="20"/>
      <c r="DY205" s="20"/>
      <c r="DZ205" s="20"/>
      <c r="EA205" s="20"/>
      <c r="EB205" s="20"/>
    </row>
    <row r="206" spans="1:132" s="29" customFormat="1" ht="12.75">
      <c r="A206" s="45">
        <v>2009</v>
      </c>
      <c r="B206" s="48" t="s">
        <v>46</v>
      </c>
      <c r="C206" s="35">
        <f t="shared" si="198"/>
        <v>0.87160771102376944</v>
      </c>
      <c r="D206" s="35">
        <f t="shared" si="199"/>
        <v>0.89855771549852881</v>
      </c>
      <c r="E206" s="35">
        <f t="shared" si="200"/>
        <v>0.97000748643084411</v>
      </c>
      <c r="F20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21372</v>
      </c>
      <c r="G206" s="20">
        <f t="shared" si="201"/>
        <v>641</v>
      </c>
      <c r="H20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I20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18628</v>
      </c>
      <c r="J206" s="20">
        <f t="shared" si="202"/>
        <v>2103</v>
      </c>
      <c r="K206" s="27"/>
      <c r="L206" s="27"/>
      <c r="M206" s="45">
        <v>2009</v>
      </c>
      <c r="N206" s="48" t="s">
        <v>46</v>
      </c>
      <c r="O206" s="35">
        <f t="shared" si="158"/>
        <v>0.86414083429008803</v>
      </c>
      <c r="P206" s="35">
        <f t="shared" si="159"/>
        <v>0.88775309612738351</v>
      </c>
      <c r="Q206" s="35">
        <f t="shared" si="160"/>
        <v>0.97340221967087637</v>
      </c>
      <c r="R206" s="20">
        <v>5226</v>
      </c>
      <c r="S206" s="27">
        <f t="shared" si="161"/>
        <v>139</v>
      </c>
      <c r="T206" s="20">
        <v>5087</v>
      </c>
      <c r="U206" s="20">
        <v>4516</v>
      </c>
      <c r="V206" s="20">
        <f t="shared" si="162"/>
        <v>571</v>
      </c>
      <c r="W206" s="20"/>
      <c r="X206" s="20"/>
      <c r="Y206" s="45"/>
      <c r="Z206" s="48"/>
      <c r="AA206" s="35"/>
      <c r="AB206" s="35"/>
      <c r="AC206" s="35"/>
      <c r="AD206" s="20"/>
      <c r="AE206" s="27"/>
      <c r="AF206" s="20"/>
      <c r="AG206" s="20"/>
      <c r="AH206" s="20"/>
      <c r="AI206" s="20"/>
      <c r="AJ206" s="20"/>
      <c r="AK206" s="45">
        <v>2009</v>
      </c>
      <c r="AL206" s="48" t="s">
        <v>46</v>
      </c>
      <c r="AM206" s="35">
        <f t="shared" si="163"/>
        <v>0.8766626360338573</v>
      </c>
      <c r="AN206" s="35">
        <f t="shared" si="164"/>
        <v>0.91907880836678635</v>
      </c>
      <c r="AO206" s="35">
        <f t="shared" si="165"/>
        <v>0.95384925433293022</v>
      </c>
      <c r="AP206" s="20">
        <v>4962</v>
      </c>
      <c r="AQ206" s="27">
        <f t="shared" si="166"/>
        <v>229</v>
      </c>
      <c r="AR206" s="20">
        <v>4733</v>
      </c>
      <c r="AS206" s="20">
        <v>4350</v>
      </c>
      <c r="AT206" s="20">
        <f t="shared" si="167"/>
        <v>383</v>
      </c>
      <c r="AU206" s="20"/>
      <c r="AV206" s="20"/>
      <c r="AW206" s="45">
        <v>2009</v>
      </c>
      <c r="AX206" s="48" t="s">
        <v>46</v>
      </c>
      <c r="AY206" s="35">
        <f t="shared" si="168"/>
        <v>0.72257053291536055</v>
      </c>
      <c r="AZ206" s="35">
        <f t="shared" si="169"/>
        <v>0.81592920353982301</v>
      </c>
      <c r="BA206" s="35">
        <f t="shared" si="170"/>
        <v>0.88557993730407525</v>
      </c>
      <c r="BB206" s="20">
        <v>638</v>
      </c>
      <c r="BC206" s="27">
        <f t="shared" si="171"/>
        <v>73</v>
      </c>
      <c r="BD206" s="20">
        <v>565</v>
      </c>
      <c r="BE206" s="20">
        <v>461</v>
      </c>
      <c r="BF206" s="20">
        <f t="shared" si="172"/>
        <v>104</v>
      </c>
      <c r="BG206" s="20"/>
      <c r="BH206" s="20"/>
      <c r="BI206" s="45">
        <v>2009</v>
      </c>
      <c r="BJ206" s="48" t="s">
        <v>46</v>
      </c>
      <c r="BK206" s="35">
        <f t="shared" si="173"/>
        <v>0.82132243684992567</v>
      </c>
      <c r="BL206" s="35">
        <f t="shared" si="174"/>
        <v>0.84647779479326191</v>
      </c>
      <c r="BM206" s="35">
        <f t="shared" si="175"/>
        <v>0.97028231797919762</v>
      </c>
      <c r="BN206" s="20">
        <v>2692</v>
      </c>
      <c r="BO206" s="27">
        <f t="shared" si="176"/>
        <v>80</v>
      </c>
      <c r="BP206" s="20">
        <v>2612</v>
      </c>
      <c r="BQ206" s="20">
        <v>2211</v>
      </c>
      <c r="BR206" s="20">
        <f t="shared" si="177"/>
        <v>401</v>
      </c>
      <c r="BS206" s="20"/>
      <c r="BT206" s="20"/>
      <c r="BU206" s="45">
        <v>2009</v>
      </c>
      <c r="BV206" s="48" t="s">
        <v>46</v>
      </c>
      <c r="BW206" s="35">
        <f t="shared" si="178"/>
        <v>0.9228486646884273</v>
      </c>
      <c r="BX206" s="35">
        <f t="shared" si="179"/>
        <v>0.94528875379939215</v>
      </c>
      <c r="BY206" s="35">
        <f t="shared" si="180"/>
        <v>0.97626112759643913</v>
      </c>
      <c r="BZ206" s="20">
        <v>2696</v>
      </c>
      <c r="CA206" s="27">
        <f t="shared" si="181"/>
        <v>64</v>
      </c>
      <c r="CB206" s="20">
        <v>2632</v>
      </c>
      <c r="CC206" s="20">
        <v>2488</v>
      </c>
      <c r="CD206" s="20">
        <f t="shared" si="182"/>
        <v>144</v>
      </c>
      <c r="CE206" s="20"/>
      <c r="CF206" s="20"/>
      <c r="CG206" s="45">
        <v>2009</v>
      </c>
      <c r="CH206" s="48" t="s">
        <v>46</v>
      </c>
      <c r="CI206" s="35">
        <f t="shared" si="203"/>
        <v>0.86054660126138749</v>
      </c>
      <c r="CJ206" s="35">
        <f t="shared" si="204"/>
        <v>0.86753797244789832</v>
      </c>
      <c r="CK206" s="35">
        <f t="shared" si="205"/>
        <v>0.9919411352487737</v>
      </c>
      <c r="CL206" s="20">
        <v>2854</v>
      </c>
      <c r="CM206" s="20">
        <f t="shared" si="186"/>
        <v>23</v>
      </c>
      <c r="CN206" s="20">
        <v>2831</v>
      </c>
      <c r="CO206" s="20">
        <v>2456</v>
      </c>
      <c r="CP206" s="20">
        <f t="shared" si="187"/>
        <v>375</v>
      </c>
      <c r="CQ206" s="20"/>
      <c r="CR206" s="20"/>
      <c r="CS206" s="45">
        <v>2009</v>
      </c>
      <c r="CT206" s="48" t="s">
        <v>46</v>
      </c>
      <c r="CU206" s="35">
        <f t="shared" si="188"/>
        <v>0.88025210084033612</v>
      </c>
      <c r="CV206" s="35">
        <f t="shared" si="189"/>
        <v>0.88583509513742076</v>
      </c>
      <c r="CW206" s="35">
        <f t="shared" si="190"/>
        <v>0.99369747899159666</v>
      </c>
      <c r="CX206" s="20">
        <v>952</v>
      </c>
      <c r="CY206" s="27">
        <f t="shared" si="191"/>
        <v>6</v>
      </c>
      <c r="CZ206" s="20">
        <v>946</v>
      </c>
      <c r="DA206" s="20">
        <v>838</v>
      </c>
      <c r="DB206" s="20">
        <f t="shared" si="192"/>
        <v>108</v>
      </c>
      <c r="DC206" s="20"/>
      <c r="DD206" s="20"/>
      <c r="DE206" s="45">
        <v>2009</v>
      </c>
      <c r="DF206" s="48" t="s">
        <v>46</v>
      </c>
      <c r="DG206" s="35">
        <f t="shared" si="193"/>
        <v>0.96745562130177509</v>
      </c>
      <c r="DH206" s="35">
        <f t="shared" si="194"/>
        <v>0.98716981132075476</v>
      </c>
      <c r="DI206" s="35">
        <f t="shared" si="195"/>
        <v>0.9800295857988166</v>
      </c>
      <c r="DJ206" s="20">
        <v>1352</v>
      </c>
      <c r="DK206" s="27">
        <f t="shared" si="196"/>
        <v>27</v>
      </c>
      <c r="DL206" s="20">
        <v>1325</v>
      </c>
      <c r="DM206" s="20">
        <v>1308</v>
      </c>
      <c r="DN206" s="20">
        <f t="shared" si="197"/>
        <v>17</v>
      </c>
      <c r="DO206" s="20"/>
      <c r="DP206" s="20"/>
      <c r="DQ206" s="45"/>
      <c r="DR206" s="48"/>
      <c r="DS206" s="35"/>
      <c r="DT206" s="35"/>
      <c r="DU206" s="35"/>
      <c r="DV206" s="20"/>
      <c r="DW206" s="20"/>
      <c r="DX206" s="20"/>
      <c r="DY206" s="20"/>
      <c r="DZ206" s="20"/>
      <c r="EA206" s="20"/>
      <c r="EB206" s="20"/>
    </row>
    <row r="207" spans="1:132" s="29" customFormat="1" ht="12.75">
      <c r="A207" s="46">
        <v>2009</v>
      </c>
      <c r="B207" s="47" t="s">
        <v>47</v>
      </c>
      <c r="C207" s="35">
        <f t="shared" si="198"/>
        <v>0.8832681242807825</v>
      </c>
      <c r="D207" s="35">
        <f t="shared" si="199"/>
        <v>0.91055328841226157</v>
      </c>
      <c r="E207" s="35">
        <f t="shared" si="200"/>
        <v>0.97003452243958577</v>
      </c>
      <c r="F20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21725</v>
      </c>
      <c r="G207" s="20">
        <f t="shared" si="201"/>
        <v>651</v>
      </c>
      <c r="H20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21074</v>
      </c>
      <c r="I20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19189</v>
      </c>
      <c r="J207" s="20">
        <f t="shared" si="202"/>
        <v>1885</v>
      </c>
      <c r="K207" s="27"/>
      <c r="L207" s="27"/>
      <c r="M207" s="46">
        <v>2009</v>
      </c>
      <c r="N207" s="47" t="s">
        <v>47</v>
      </c>
      <c r="O207" s="35">
        <f t="shared" si="158"/>
        <v>0.87741568776051537</v>
      </c>
      <c r="P207" s="35">
        <f t="shared" si="159"/>
        <v>0.91485578822599767</v>
      </c>
      <c r="Q207" s="35">
        <f t="shared" si="160"/>
        <v>0.95907540735126939</v>
      </c>
      <c r="R207" s="20">
        <v>5278</v>
      </c>
      <c r="S207" s="27">
        <f t="shared" si="161"/>
        <v>216</v>
      </c>
      <c r="T207" s="20">
        <v>5062</v>
      </c>
      <c r="U207" s="20">
        <v>4631</v>
      </c>
      <c r="V207" s="20">
        <f t="shared" si="162"/>
        <v>431</v>
      </c>
      <c r="W207" s="20"/>
      <c r="X207" s="20"/>
      <c r="Y207" s="46"/>
      <c r="Z207" s="47"/>
      <c r="AA207" s="35"/>
      <c r="AB207" s="35"/>
      <c r="AC207" s="35"/>
      <c r="AD207" s="20"/>
      <c r="AE207" s="27"/>
      <c r="AF207" s="20"/>
      <c r="AG207" s="20"/>
      <c r="AH207" s="20"/>
      <c r="AI207" s="20"/>
      <c r="AJ207" s="20"/>
      <c r="AK207" s="46">
        <v>2009</v>
      </c>
      <c r="AL207" s="47" t="s">
        <v>47</v>
      </c>
      <c r="AM207" s="35">
        <f t="shared" si="163"/>
        <v>0.9138822593476531</v>
      </c>
      <c r="AN207" s="35">
        <f t="shared" si="164"/>
        <v>0.94198441984419845</v>
      </c>
      <c r="AO207" s="35">
        <f t="shared" si="165"/>
        <v>0.9701670644391408</v>
      </c>
      <c r="AP207" s="20">
        <v>5028</v>
      </c>
      <c r="AQ207" s="27">
        <f t="shared" si="166"/>
        <v>150</v>
      </c>
      <c r="AR207" s="20">
        <v>4878</v>
      </c>
      <c r="AS207" s="20">
        <v>4595</v>
      </c>
      <c r="AT207" s="20">
        <f t="shared" si="167"/>
        <v>283</v>
      </c>
      <c r="AU207" s="20"/>
      <c r="AV207" s="20"/>
      <c r="AW207" s="46">
        <v>2009</v>
      </c>
      <c r="AX207" s="47" t="s">
        <v>47</v>
      </c>
      <c r="AY207" s="35">
        <f t="shared" si="168"/>
        <v>0.75697865353037763</v>
      </c>
      <c r="AZ207" s="35">
        <f t="shared" si="169"/>
        <v>0.78268251273344647</v>
      </c>
      <c r="BA207" s="35">
        <f t="shared" si="170"/>
        <v>0.96715927750410513</v>
      </c>
      <c r="BB207" s="20">
        <v>609</v>
      </c>
      <c r="BC207" s="27">
        <f t="shared" si="171"/>
        <v>20</v>
      </c>
      <c r="BD207" s="20">
        <v>589</v>
      </c>
      <c r="BE207" s="20">
        <v>461</v>
      </c>
      <c r="BF207" s="20">
        <f t="shared" si="172"/>
        <v>128</v>
      </c>
      <c r="BG207" s="20"/>
      <c r="BH207" s="20"/>
      <c r="BI207" s="46">
        <v>2009</v>
      </c>
      <c r="BJ207" s="47" t="s">
        <v>47</v>
      </c>
      <c r="BK207" s="35">
        <f t="shared" si="173"/>
        <v>0.81299927378358749</v>
      </c>
      <c r="BL207" s="35">
        <f t="shared" si="174"/>
        <v>0.83544776119402986</v>
      </c>
      <c r="BM207" s="35">
        <f t="shared" si="175"/>
        <v>0.97312999273783585</v>
      </c>
      <c r="BN207" s="20">
        <v>2754</v>
      </c>
      <c r="BO207" s="27">
        <f t="shared" si="176"/>
        <v>74</v>
      </c>
      <c r="BP207" s="20">
        <v>2680</v>
      </c>
      <c r="BQ207" s="20">
        <v>2239</v>
      </c>
      <c r="BR207" s="20">
        <f t="shared" si="177"/>
        <v>441</v>
      </c>
      <c r="BS207" s="20"/>
      <c r="BT207" s="20"/>
      <c r="BU207" s="46">
        <v>2009</v>
      </c>
      <c r="BV207" s="47" t="s">
        <v>47</v>
      </c>
      <c r="BW207" s="35">
        <f t="shared" si="178"/>
        <v>0.91736136281261327</v>
      </c>
      <c r="BX207" s="35">
        <f t="shared" si="179"/>
        <v>0.94054254923820146</v>
      </c>
      <c r="BY207" s="35">
        <f t="shared" si="180"/>
        <v>0.97535338890902501</v>
      </c>
      <c r="BZ207" s="20">
        <v>2759</v>
      </c>
      <c r="CA207" s="27">
        <f t="shared" si="181"/>
        <v>68</v>
      </c>
      <c r="CB207" s="20">
        <v>2691</v>
      </c>
      <c r="CC207" s="20">
        <v>2531</v>
      </c>
      <c r="CD207" s="20">
        <f t="shared" si="182"/>
        <v>160</v>
      </c>
      <c r="CE207" s="20"/>
      <c r="CF207" s="20"/>
      <c r="CG207" s="46">
        <v>2009</v>
      </c>
      <c r="CH207" s="47" t="s">
        <v>47</v>
      </c>
      <c r="CI207" s="35">
        <f t="shared" si="203"/>
        <v>0.84268125854993159</v>
      </c>
      <c r="CJ207" s="35">
        <f t="shared" si="204"/>
        <v>0.87437899219304471</v>
      </c>
      <c r="CK207" s="35">
        <f t="shared" si="205"/>
        <v>0.9637482900136799</v>
      </c>
      <c r="CL207" s="20">
        <v>2924</v>
      </c>
      <c r="CM207" s="20">
        <f t="shared" si="186"/>
        <v>106</v>
      </c>
      <c r="CN207" s="20">
        <v>2818</v>
      </c>
      <c r="CO207" s="20">
        <v>2464</v>
      </c>
      <c r="CP207" s="20">
        <f t="shared" si="187"/>
        <v>354</v>
      </c>
      <c r="CQ207" s="20"/>
      <c r="CR207" s="20"/>
      <c r="CS207" s="46">
        <v>2009</v>
      </c>
      <c r="CT207" s="47" t="s">
        <v>47</v>
      </c>
      <c r="CU207" s="35">
        <f t="shared" si="188"/>
        <v>0.92566191446028512</v>
      </c>
      <c r="CV207" s="35">
        <f t="shared" si="189"/>
        <v>0.93326488706365507</v>
      </c>
      <c r="CW207" s="35">
        <f t="shared" si="190"/>
        <v>0.99185336048879835</v>
      </c>
      <c r="CX207" s="20">
        <v>982</v>
      </c>
      <c r="CY207" s="27">
        <f t="shared" si="191"/>
        <v>8</v>
      </c>
      <c r="CZ207" s="20">
        <v>974</v>
      </c>
      <c r="DA207" s="20">
        <v>909</v>
      </c>
      <c r="DB207" s="20">
        <f t="shared" si="192"/>
        <v>65</v>
      </c>
      <c r="DC207" s="20"/>
      <c r="DD207" s="20"/>
      <c r="DE207" s="46">
        <v>2009</v>
      </c>
      <c r="DF207" s="47" t="s">
        <v>47</v>
      </c>
      <c r="DG207" s="35">
        <f t="shared" si="193"/>
        <v>0.97699496764917326</v>
      </c>
      <c r="DH207" s="35">
        <f t="shared" si="194"/>
        <v>0.98335745296671495</v>
      </c>
      <c r="DI207" s="35">
        <f t="shared" si="195"/>
        <v>0.99352983465132994</v>
      </c>
      <c r="DJ207" s="20">
        <v>1391</v>
      </c>
      <c r="DK207" s="27">
        <f t="shared" si="196"/>
        <v>9</v>
      </c>
      <c r="DL207" s="20">
        <v>1382</v>
      </c>
      <c r="DM207" s="20">
        <v>1359</v>
      </c>
      <c r="DN207" s="20">
        <f t="shared" si="197"/>
        <v>23</v>
      </c>
      <c r="DO207" s="20"/>
      <c r="DP207" s="20"/>
      <c r="DQ207" s="46"/>
      <c r="DR207" s="47"/>
      <c r="DS207" s="35"/>
      <c r="DT207" s="35"/>
      <c r="DU207" s="35"/>
      <c r="DV207" s="20"/>
      <c r="DW207" s="20"/>
      <c r="DX207" s="20"/>
      <c r="DY207" s="20"/>
      <c r="DZ207" s="20"/>
      <c r="EA207" s="20"/>
      <c r="EB207" s="20"/>
    </row>
    <row r="208" spans="1:132" s="29" customFormat="1" ht="12.75">
      <c r="A208" s="45">
        <v>2009</v>
      </c>
      <c r="B208" s="48" t="s">
        <v>48</v>
      </c>
      <c r="C208" s="35">
        <f t="shared" si="198"/>
        <v>0.89623446836763732</v>
      </c>
      <c r="D208" s="35">
        <f t="shared" si="199"/>
        <v>0.91600019388299159</v>
      </c>
      <c r="E208" s="35">
        <f t="shared" si="200"/>
        <v>0.97842170160295927</v>
      </c>
      <c r="F20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G208" s="20">
        <f t="shared" si="201"/>
        <v>455</v>
      </c>
      <c r="H20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20631</v>
      </c>
      <c r="I20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18898</v>
      </c>
      <c r="J208" s="20">
        <f t="shared" si="202"/>
        <v>1733</v>
      </c>
      <c r="K208" s="27"/>
      <c r="L208" s="27"/>
      <c r="M208" s="45">
        <v>2009</v>
      </c>
      <c r="N208" s="48" t="s">
        <v>48</v>
      </c>
      <c r="O208" s="35">
        <f t="shared" si="158"/>
        <v>0.91925102399063785</v>
      </c>
      <c r="P208" s="35">
        <f t="shared" si="159"/>
        <v>0.93679189028026233</v>
      </c>
      <c r="Q208" s="35">
        <f t="shared" si="160"/>
        <v>0.98127559976594503</v>
      </c>
      <c r="R208" s="20">
        <v>5127</v>
      </c>
      <c r="S208" s="27">
        <f t="shared" si="161"/>
        <v>96</v>
      </c>
      <c r="T208" s="20">
        <v>5031</v>
      </c>
      <c r="U208" s="20">
        <v>4713</v>
      </c>
      <c r="V208" s="20">
        <f t="shared" si="162"/>
        <v>318</v>
      </c>
      <c r="W208" s="20"/>
      <c r="X208" s="20"/>
      <c r="Y208" s="45"/>
      <c r="Z208" s="48"/>
      <c r="AA208" s="35"/>
      <c r="AB208" s="35"/>
      <c r="AC208" s="35"/>
      <c r="AD208" s="20"/>
      <c r="AE208" s="27"/>
      <c r="AF208" s="20"/>
      <c r="AG208" s="20"/>
      <c r="AH208" s="20"/>
      <c r="AI208" s="20"/>
      <c r="AJ208" s="20"/>
      <c r="AK208" s="45">
        <v>2009</v>
      </c>
      <c r="AL208" s="48" t="s">
        <v>48</v>
      </c>
      <c r="AM208" s="35">
        <f t="shared" si="163"/>
        <v>0.92555373256767848</v>
      </c>
      <c r="AN208" s="35">
        <f t="shared" si="164"/>
        <v>0.94751207222338862</v>
      </c>
      <c r="AO208" s="35">
        <f t="shared" si="165"/>
        <v>0.97682526661197699</v>
      </c>
      <c r="AP208" s="20">
        <v>4876</v>
      </c>
      <c r="AQ208" s="27">
        <f t="shared" si="166"/>
        <v>113</v>
      </c>
      <c r="AR208" s="20">
        <v>4763</v>
      </c>
      <c r="AS208" s="20">
        <v>4513</v>
      </c>
      <c r="AT208" s="20">
        <f t="shared" si="167"/>
        <v>250</v>
      </c>
      <c r="AU208" s="20"/>
      <c r="AV208" s="20"/>
      <c r="AW208" s="45">
        <v>2009</v>
      </c>
      <c r="AX208" s="48" t="s">
        <v>48</v>
      </c>
      <c r="AY208" s="35">
        <f t="shared" si="168"/>
        <v>0.82922824302134646</v>
      </c>
      <c r="AZ208" s="35">
        <f t="shared" si="169"/>
        <v>0.858843537414966</v>
      </c>
      <c r="BA208" s="35">
        <f t="shared" si="170"/>
        <v>0.96551724137931039</v>
      </c>
      <c r="BB208" s="20">
        <v>609</v>
      </c>
      <c r="BC208" s="27">
        <f t="shared" si="171"/>
        <v>21</v>
      </c>
      <c r="BD208" s="20">
        <v>588</v>
      </c>
      <c r="BE208" s="20">
        <v>505</v>
      </c>
      <c r="BF208" s="20">
        <f t="shared" si="172"/>
        <v>83</v>
      </c>
      <c r="BG208" s="20"/>
      <c r="BH208" s="20"/>
      <c r="BI208" s="45">
        <v>2009</v>
      </c>
      <c r="BJ208" s="48" t="s">
        <v>48</v>
      </c>
      <c r="BK208" s="35">
        <f t="shared" si="173"/>
        <v>0.79288389513108615</v>
      </c>
      <c r="BL208" s="35">
        <f t="shared" si="174"/>
        <v>0.81800618238021638</v>
      </c>
      <c r="BM208" s="35">
        <f t="shared" si="175"/>
        <v>0.96928838951310858</v>
      </c>
      <c r="BN208" s="20">
        <v>2670</v>
      </c>
      <c r="BO208" s="27">
        <f t="shared" si="176"/>
        <v>82</v>
      </c>
      <c r="BP208" s="20">
        <v>2588</v>
      </c>
      <c r="BQ208" s="20">
        <v>2117</v>
      </c>
      <c r="BR208" s="20">
        <f t="shared" si="177"/>
        <v>471</v>
      </c>
      <c r="BS208" s="20"/>
      <c r="BT208" s="20"/>
      <c r="BU208" s="45">
        <v>2009</v>
      </c>
      <c r="BV208" s="48" t="s">
        <v>48</v>
      </c>
      <c r="BW208" s="35">
        <f t="shared" si="178"/>
        <v>0.89865370231862374</v>
      </c>
      <c r="BX208" s="35">
        <f t="shared" si="179"/>
        <v>0.92959381044487432</v>
      </c>
      <c r="BY208" s="35">
        <f t="shared" si="180"/>
        <v>0.96671652954375464</v>
      </c>
      <c r="BZ208" s="20">
        <v>2674</v>
      </c>
      <c r="CA208" s="27">
        <f t="shared" si="181"/>
        <v>89</v>
      </c>
      <c r="CB208" s="20">
        <v>2585</v>
      </c>
      <c r="CC208" s="20">
        <v>2403</v>
      </c>
      <c r="CD208" s="20">
        <f t="shared" si="182"/>
        <v>182</v>
      </c>
      <c r="CE208" s="20"/>
      <c r="CF208" s="20"/>
      <c r="CG208" s="45">
        <v>2009</v>
      </c>
      <c r="CH208" s="48" t="s">
        <v>48</v>
      </c>
      <c r="CI208" s="35">
        <f t="shared" si="203"/>
        <v>0.8666666666666667</v>
      </c>
      <c r="CJ208" s="35">
        <f t="shared" si="204"/>
        <v>0.87624821683309562</v>
      </c>
      <c r="CK208" s="35">
        <f t="shared" si="205"/>
        <v>0.98906525573192239</v>
      </c>
      <c r="CL208" s="20">
        <v>2835</v>
      </c>
      <c r="CM208" s="20">
        <f t="shared" si="186"/>
        <v>31</v>
      </c>
      <c r="CN208" s="20">
        <v>2804</v>
      </c>
      <c r="CO208" s="20">
        <v>2457</v>
      </c>
      <c r="CP208" s="20">
        <f t="shared" si="187"/>
        <v>347</v>
      </c>
      <c r="CQ208" s="20"/>
      <c r="CR208" s="20"/>
      <c r="CS208" s="45">
        <v>2009</v>
      </c>
      <c r="CT208" s="48" t="s">
        <v>48</v>
      </c>
      <c r="CU208" s="35">
        <f t="shared" si="188"/>
        <v>0.92105263157894735</v>
      </c>
      <c r="CV208" s="35">
        <f t="shared" si="189"/>
        <v>0.9288747346072187</v>
      </c>
      <c r="CW208" s="35">
        <f t="shared" si="190"/>
        <v>0.991578947368421</v>
      </c>
      <c r="CX208" s="20">
        <v>950</v>
      </c>
      <c r="CY208" s="27">
        <f t="shared" si="191"/>
        <v>8</v>
      </c>
      <c r="CZ208" s="20">
        <v>942</v>
      </c>
      <c r="DA208" s="20">
        <v>875</v>
      </c>
      <c r="DB208" s="20">
        <f t="shared" si="192"/>
        <v>67</v>
      </c>
      <c r="DC208" s="20"/>
      <c r="DD208" s="20"/>
      <c r="DE208" s="45">
        <v>2009</v>
      </c>
      <c r="DF208" s="48" t="s">
        <v>48</v>
      </c>
      <c r="DG208" s="35">
        <f t="shared" si="193"/>
        <v>0.97769516728624539</v>
      </c>
      <c r="DH208" s="35">
        <f t="shared" si="194"/>
        <v>0.98872180451127822</v>
      </c>
      <c r="DI208" s="35">
        <f t="shared" si="195"/>
        <v>0.98884758364312264</v>
      </c>
      <c r="DJ208" s="20">
        <v>1345</v>
      </c>
      <c r="DK208" s="27">
        <f t="shared" si="196"/>
        <v>15</v>
      </c>
      <c r="DL208" s="20">
        <v>1330</v>
      </c>
      <c r="DM208" s="20">
        <v>1315</v>
      </c>
      <c r="DN208" s="20">
        <f t="shared" si="197"/>
        <v>15</v>
      </c>
      <c r="DO208" s="20"/>
      <c r="DP208" s="20"/>
      <c r="DQ208" s="45"/>
      <c r="DR208" s="48"/>
      <c r="DS208" s="35"/>
      <c r="DT208" s="35"/>
      <c r="DU208" s="35"/>
      <c r="DV208" s="20"/>
      <c r="DW208" s="20"/>
      <c r="DX208" s="20"/>
      <c r="DY208" s="20"/>
      <c r="DZ208" s="20"/>
      <c r="EA208" s="20"/>
      <c r="EB208" s="20"/>
    </row>
    <row r="209" spans="1:142" s="29" customFormat="1" ht="12.75">
      <c r="A209" s="46">
        <v>2009</v>
      </c>
      <c r="B209" s="47" t="s">
        <v>49</v>
      </c>
      <c r="C209" s="35">
        <f t="shared" si="198"/>
        <v>0.90389429763560503</v>
      </c>
      <c r="D209" s="35">
        <f t="shared" si="199"/>
        <v>0.93515276512062928</v>
      </c>
      <c r="E209" s="35">
        <f t="shared" si="200"/>
        <v>0.96657394529439034</v>
      </c>
      <c r="F20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21570</v>
      </c>
      <c r="G209" s="20">
        <f t="shared" si="201"/>
        <v>721</v>
      </c>
      <c r="H20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20849</v>
      </c>
      <c r="I20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19497</v>
      </c>
      <c r="J209" s="20">
        <f t="shared" si="202"/>
        <v>1352</v>
      </c>
      <c r="K209" s="27"/>
      <c r="L209" s="27"/>
      <c r="M209" s="46">
        <v>2009</v>
      </c>
      <c r="N209" s="47" t="s">
        <v>49</v>
      </c>
      <c r="O209" s="35">
        <f t="shared" si="158"/>
        <v>0.90729745259528827</v>
      </c>
      <c r="P209" s="35">
        <f t="shared" si="159"/>
        <v>0.94381350866706515</v>
      </c>
      <c r="Q209" s="35">
        <f t="shared" si="160"/>
        <v>0.96131009385175259</v>
      </c>
      <c r="R209" s="20">
        <v>5221</v>
      </c>
      <c r="S209" s="27">
        <f t="shared" si="161"/>
        <v>202</v>
      </c>
      <c r="T209" s="20">
        <v>5019</v>
      </c>
      <c r="U209" s="20">
        <v>4737</v>
      </c>
      <c r="V209" s="20">
        <f t="shared" si="162"/>
        <v>282</v>
      </c>
      <c r="W209" s="20"/>
      <c r="X209" s="20"/>
      <c r="Y209" s="46"/>
      <c r="Z209" s="47"/>
      <c r="AA209" s="35"/>
      <c r="AB209" s="35"/>
      <c r="AC209" s="35"/>
      <c r="AD209" s="20"/>
      <c r="AE209" s="27"/>
      <c r="AF209" s="20"/>
      <c r="AG209" s="20"/>
      <c r="AH209" s="20"/>
      <c r="AI209" s="20"/>
      <c r="AJ209" s="20"/>
      <c r="AK209" s="46">
        <v>2009</v>
      </c>
      <c r="AL209" s="47" t="s">
        <v>49</v>
      </c>
      <c r="AM209" s="35">
        <f t="shared" si="163"/>
        <v>0.93263623567263221</v>
      </c>
      <c r="AN209" s="35">
        <f t="shared" si="164"/>
        <v>0.96766117254329231</v>
      </c>
      <c r="AO209" s="35">
        <f t="shared" si="165"/>
        <v>0.96380454454051878</v>
      </c>
      <c r="AP209" s="20">
        <v>4973</v>
      </c>
      <c r="AQ209" s="27">
        <f t="shared" si="166"/>
        <v>180</v>
      </c>
      <c r="AR209" s="20">
        <v>4793</v>
      </c>
      <c r="AS209" s="20">
        <v>4638</v>
      </c>
      <c r="AT209" s="20">
        <f t="shared" si="167"/>
        <v>155</v>
      </c>
      <c r="AU209" s="20"/>
      <c r="AV209" s="20"/>
      <c r="AW209" s="46">
        <v>2009</v>
      </c>
      <c r="AX209" s="47" t="s">
        <v>49</v>
      </c>
      <c r="AY209" s="35">
        <f t="shared" si="168"/>
        <v>0.73563218390804597</v>
      </c>
      <c r="AZ209" s="35">
        <f t="shared" si="169"/>
        <v>0.84848484848484851</v>
      </c>
      <c r="BA209" s="35">
        <f t="shared" si="170"/>
        <v>0.86699507389162567</v>
      </c>
      <c r="BB209" s="20">
        <v>609</v>
      </c>
      <c r="BC209" s="27">
        <f t="shared" si="171"/>
        <v>81</v>
      </c>
      <c r="BD209" s="20">
        <v>528</v>
      </c>
      <c r="BE209" s="20">
        <v>448</v>
      </c>
      <c r="BF209" s="20">
        <f t="shared" si="172"/>
        <v>80</v>
      </c>
      <c r="BG209" s="20"/>
      <c r="BH209" s="20"/>
      <c r="BI209" s="46">
        <v>2009</v>
      </c>
      <c r="BJ209" s="47" t="s">
        <v>49</v>
      </c>
      <c r="BK209" s="35">
        <f t="shared" si="173"/>
        <v>0.84427425237053244</v>
      </c>
      <c r="BL209" s="35">
        <f t="shared" si="174"/>
        <v>0.86606808829031057</v>
      </c>
      <c r="BM209" s="35">
        <f t="shared" si="175"/>
        <v>0.97483588621444206</v>
      </c>
      <c r="BN209" s="20">
        <v>2742</v>
      </c>
      <c r="BO209" s="27">
        <f t="shared" si="176"/>
        <v>69</v>
      </c>
      <c r="BP209" s="20">
        <v>2673</v>
      </c>
      <c r="BQ209" s="20">
        <v>2315</v>
      </c>
      <c r="BR209" s="20">
        <f t="shared" si="177"/>
        <v>358</v>
      </c>
      <c r="BS209" s="20"/>
      <c r="BT209" s="20"/>
      <c r="BU209" s="46">
        <v>2009</v>
      </c>
      <c r="BV209" s="47" t="s">
        <v>49</v>
      </c>
      <c r="BW209" s="35">
        <f t="shared" si="178"/>
        <v>0.92789512017479969</v>
      </c>
      <c r="BX209" s="35">
        <f t="shared" si="179"/>
        <v>0.94897579143389199</v>
      </c>
      <c r="BY209" s="35">
        <f t="shared" si="180"/>
        <v>0.97778587035688269</v>
      </c>
      <c r="BZ209" s="20">
        <v>2746</v>
      </c>
      <c r="CA209" s="27">
        <f t="shared" si="181"/>
        <v>61</v>
      </c>
      <c r="CB209" s="20">
        <v>2685</v>
      </c>
      <c r="CC209" s="20">
        <v>2548</v>
      </c>
      <c r="CD209" s="20">
        <f t="shared" si="182"/>
        <v>137</v>
      </c>
      <c r="CE209" s="20"/>
      <c r="CF209" s="20"/>
      <c r="CG209" s="46">
        <v>2009</v>
      </c>
      <c r="CH209" s="47" t="s">
        <v>49</v>
      </c>
      <c r="CI209" s="35">
        <f t="shared" si="203"/>
        <v>0.869639794168096</v>
      </c>
      <c r="CJ209" s="35">
        <f t="shared" si="204"/>
        <v>0.89989350372736954</v>
      </c>
      <c r="CK209" s="35">
        <f t="shared" si="205"/>
        <v>0.9663807890222984</v>
      </c>
      <c r="CL209" s="20">
        <v>2915</v>
      </c>
      <c r="CM209" s="20">
        <f t="shared" si="186"/>
        <v>98</v>
      </c>
      <c r="CN209" s="20">
        <v>2817</v>
      </c>
      <c r="CO209" s="20">
        <v>2535</v>
      </c>
      <c r="CP209" s="20">
        <f t="shared" si="187"/>
        <v>282</v>
      </c>
      <c r="CQ209" s="20"/>
      <c r="CR209" s="20"/>
      <c r="CS209" s="46">
        <v>2009</v>
      </c>
      <c r="CT209" s="47" t="s">
        <v>49</v>
      </c>
      <c r="CU209" s="35">
        <f t="shared" si="188"/>
        <v>0.93877551020408168</v>
      </c>
      <c r="CV209" s="35">
        <f t="shared" si="189"/>
        <v>0.95041322314049592</v>
      </c>
      <c r="CW209" s="35">
        <f t="shared" si="190"/>
        <v>0.98775510204081629</v>
      </c>
      <c r="CX209" s="20">
        <v>980</v>
      </c>
      <c r="CY209" s="27">
        <f t="shared" si="191"/>
        <v>12</v>
      </c>
      <c r="CZ209" s="20">
        <v>968</v>
      </c>
      <c r="DA209" s="20">
        <v>920</v>
      </c>
      <c r="DB209" s="20">
        <f t="shared" si="192"/>
        <v>48</v>
      </c>
      <c r="DC209" s="20"/>
      <c r="DD209" s="20"/>
      <c r="DE209" s="46">
        <v>2009</v>
      </c>
      <c r="DF209" s="47" t="s">
        <v>49</v>
      </c>
      <c r="DG209" s="35">
        <f t="shared" si="193"/>
        <v>0.97976878612716767</v>
      </c>
      <c r="DH209" s="35">
        <f t="shared" si="194"/>
        <v>0.9926793557833089</v>
      </c>
      <c r="DI209" s="35">
        <f t="shared" si="195"/>
        <v>0.98699421965317924</v>
      </c>
      <c r="DJ209" s="20">
        <v>1384</v>
      </c>
      <c r="DK209" s="27">
        <f t="shared" si="196"/>
        <v>18</v>
      </c>
      <c r="DL209" s="20">
        <v>1366</v>
      </c>
      <c r="DM209" s="20">
        <v>1356</v>
      </c>
      <c r="DN209" s="20">
        <f t="shared" si="197"/>
        <v>10</v>
      </c>
      <c r="DO209" s="20"/>
      <c r="DP209" s="20"/>
      <c r="DQ209" s="46"/>
      <c r="DR209" s="47"/>
      <c r="DS209" s="35"/>
      <c r="DT209" s="35"/>
      <c r="DU209" s="35"/>
      <c r="DV209" s="20"/>
      <c r="DW209" s="20"/>
      <c r="DX209" s="20"/>
      <c r="DY209" s="20"/>
      <c r="DZ209" s="20"/>
      <c r="EA209" s="20"/>
      <c r="EB209" s="20"/>
    </row>
    <row r="210" spans="1:142" s="29" customFormat="1" ht="12.75">
      <c r="A210" s="45">
        <v>2010</v>
      </c>
      <c r="B210" s="48" t="s">
        <v>38</v>
      </c>
      <c r="C210" s="35">
        <f t="shared" si="198"/>
        <v>0.89246057665391432</v>
      </c>
      <c r="D210" s="35">
        <f t="shared" si="199"/>
        <v>0.92881767419276529</v>
      </c>
      <c r="E210" s="35">
        <f t="shared" si="200"/>
        <v>0.96085658299897359</v>
      </c>
      <c r="F21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21434</v>
      </c>
      <c r="G210" s="20">
        <f t="shared" si="201"/>
        <v>839</v>
      </c>
      <c r="H21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20595</v>
      </c>
      <c r="I21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19129</v>
      </c>
      <c r="J210" s="20">
        <f t="shared" si="202"/>
        <v>1466</v>
      </c>
      <c r="K210" s="27"/>
      <c r="L210" s="27"/>
      <c r="M210" s="45">
        <v>2010</v>
      </c>
      <c r="N210" s="48" t="s">
        <v>38</v>
      </c>
      <c r="O210" s="35">
        <f t="shared" si="158"/>
        <v>0.90568225744105146</v>
      </c>
      <c r="P210" s="35">
        <f t="shared" si="159"/>
        <v>0.95887047268262737</v>
      </c>
      <c r="Q210" s="35">
        <f t="shared" si="160"/>
        <v>0.94453034402783143</v>
      </c>
      <c r="R210" s="20">
        <v>5174</v>
      </c>
      <c r="S210" s="27">
        <f t="shared" ref="S210:S221" si="206">R210-T210</f>
        <v>287</v>
      </c>
      <c r="T210" s="20">
        <v>4887</v>
      </c>
      <c r="U210" s="20">
        <v>4686</v>
      </c>
      <c r="V210" s="20">
        <f t="shared" ref="V210:V221" si="207">T210-U210</f>
        <v>201</v>
      </c>
      <c r="W210" s="20"/>
      <c r="X210" s="20"/>
      <c r="Y210" s="45"/>
      <c r="Z210" s="48"/>
      <c r="AA210" s="35"/>
      <c r="AB210" s="35"/>
      <c r="AC210" s="35"/>
      <c r="AD210" s="20"/>
      <c r="AE210" s="27"/>
      <c r="AF210" s="20"/>
      <c r="AG210" s="20"/>
      <c r="AH210" s="20"/>
      <c r="AI210" s="20"/>
      <c r="AJ210" s="20"/>
      <c r="AK210" s="45">
        <v>2010</v>
      </c>
      <c r="AL210" s="48" t="s">
        <v>38</v>
      </c>
      <c r="AM210" s="35">
        <f t="shared" si="163"/>
        <v>0.91906110886280856</v>
      </c>
      <c r="AN210" s="35">
        <f t="shared" si="164"/>
        <v>0.96310432569974558</v>
      </c>
      <c r="AO210" s="35">
        <f t="shared" si="165"/>
        <v>0.95426952650748686</v>
      </c>
      <c r="AP210" s="20">
        <v>4942</v>
      </c>
      <c r="AQ210" s="27">
        <f t="shared" ref="AQ210:AQ221" si="208">AP210-AR210</f>
        <v>226</v>
      </c>
      <c r="AR210" s="20">
        <v>4716</v>
      </c>
      <c r="AS210" s="20">
        <v>4542</v>
      </c>
      <c r="AT210" s="20">
        <f t="shared" ref="AT210:AT221" si="209">AR210-AS210</f>
        <v>174</v>
      </c>
      <c r="AU210" s="20"/>
      <c r="AV210" s="20"/>
      <c r="AW210" s="45">
        <v>2010</v>
      </c>
      <c r="AX210" s="48" t="s">
        <v>38</v>
      </c>
      <c r="AY210" s="35">
        <f t="shared" si="168"/>
        <v>0.75344827586206897</v>
      </c>
      <c r="AZ210" s="35">
        <f t="shared" si="169"/>
        <v>0.85686274509803917</v>
      </c>
      <c r="BA210" s="35">
        <f t="shared" si="170"/>
        <v>0.87931034482758619</v>
      </c>
      <c r="BB210" s="20">
        <v>580</v>
      </c>
      <c r="BC210" s="27">
        <f t="shared" ref="BC210:BC221" si="210">BB210-BD210</f>
        <v>70</v>
      </c>
      <c r="BD210" s="20">
        <v>510</v>
      </c>
      <c r="BE210" s="20">
        <v>437</v>
      </c>
      <c r="BF210" s="20">
        <f t="shared" ref="BF210:BF221" si="211">BD210-BE210</f>
        <v>73</v>
      </c>
      <c r="BG210" s="20"/>
      <c r="BH210" s="20"/>
      <c r="BI210" s="45">
        <v>2010</v>
      </c>
      <c r="BJ210" s="48" t="s">
        <v>38</v>
      </c>
      <c r="BK210" s="35">
        <f t="shared" si="173"/>
        <v>0.81808199121522696</v>
      </c>
      <c r="BL210" s="35">
        <f t="shared" si="174"/>
        <v>0.83364416262588581</v>
      </c>
      <c r="BM210" s="35">
        <f t="shared" si="175"/>
        <v>0.98133235724743773</v>
      </c>
      <c r="BN210" s="20">
        <v>2732</v>
      </c>
      <c r="BO210" s="27">
        <f t="shared" ref="BO210:BO221" si="212">BN210-BP210</f>
        <v>51</v>
      </c>
      <c r="BP210" s="20">
        <v>2681</v>
      </c>
      <c r="BQ210" s="20">
        <v>2235</v>
      </c>
      <c r="BR210" s="20">
        <f t="shared" ref="BR210:BR221" si="213">BP210-BQ210</f>
        <v>446</v>
      </c>
      <c r="BS210" s="20"/>
      <c r="BT210" s="20"/>
      <c r="BU210" s="45">
        <v>2010</v>
      </c>
      <c r="BV210" s="48" t="s">
        <v>38</v>
      </c>
      <c r="BW210" s="35">
        <f t="shared" si="178"/>
        <v>0.91487029594446478</v>
      </c>
      <c r="BX210" s="35">
        <f t="shared" si="179"/>
        <v>0.93224125093075205</v>
      </c>
      <c r="BY210" s="35">
        <f t="shared" si="180"/>
        <v>0.98136645962732916</v>
      </c>
      <c r="BZ210" s="20">
        <v>2737</v>
      </c>
      <c r="CA210" s="27">
        <f t="shared" ref="CA210:CA221" si="214">BZ210-CB210</f>
        <v>51</v>
      </c>
      <c r="CB210" s="20">
        <v>2686</v>
      </c>
      <c r="CC210" s="20">
        <v>2504</v>
      </c>
      <c r="CD210" s="20">
        <f t="shared" ref="CD210:CD221" si="215">CB210-CC210</f>
        <v>182</v>
      </c>
      <c r="CE210" s="20"/>
      <c r="CF210" s="20"/>
      <c r="CG210" s="45">
        <v>2010</v>
      </c>
      <c r="CH210" s="48" t="s">
        <v>38</v>
      </c>
      <c r="CI210" s="35">
        <f t="shared" si="203"/>
        <v>0.85060240963855427</v>
      </c>
      <c r="CJ210" s="35">
        <f t="shared" si="204"/>
        <v>0.8878907653611211</v>
      </c>
      <c r="CK210" s="35">
        <f t="shared" si="205"/>
        <v>0.95800344234079171</v>
      </c>
      <c r="CL210" s="20">
        <v>2905</v>
      </c>
      <c r="CM210" s="20">
        <f t="shared" si="186"/>
        <v>122</v>
      </c>
      <c r="CN210" s="20">
        <v>2783</v>
      </c>
      <c r="CO210" s="20">
        <v>2471</v>
      </c>
      <c r="CP210" s="20">
        <f t="shared" si="187"/>
        <v>312</v>
      </c>
      <c r="CQ210" s="20"/>
      <c r="CR210" s="20"/>
      <c r="CS210" s="45">
        <v>2010</v>
      </c>
      <c r="CT210" s="48" t="s">
        <v>38</v>
      </c>
      <c r="CU210" s="35">
        <f t="shared" si="188"/>
        <v>0.92244897959183669</v>
      </c>
      <c r="CV210" s="35">
        <f t="shared" si="189"/>
        <v>0.93581780538302273</v>
      </c>
      <c r="CW210" s="35">
        <f t="shared" si="190"/>
        <v>0.98571428571428577</v>
      </c>
      <c r="CX210" s="20">
        <v>980</v>
      </c>
      <c r="CY210" s="27">
        <f t="shared" ref="CY210:CY221" si="216">CX210-CZ210</f>
        <v>14</v>
      </c>
      <c r="CZ210" s="20">
        <v>966</v>
      </c>
      <c r="DA210" s="20">
        <v>904</v>
      </c>
      <c r="DB210" s="20">
        <f t="shared" ref="DB210:DB221" si="217">CZ210-DA210</f>
        <v>62</v>
      </c>
      <c r="DC210" s="20"/>
      <c r="DD210" s="20"/>
      <c r="DE210" s="45">
        <v>2010</v>
      </c>
      <c r="DF210" s="48" t="s">
        <v>38</v>
      </c>
      <c r="DG210" s="35">
        <f t="shared" si="193"/>
        <v>0.97543352601156075</v>
      </c>
      <c r="DH210" s="35">
        <f t="shared" si="194"/>
        <v>0.98828696925329429</v>
      </c>
      <c r="DI210" s="35">
        <f t="shared" si="195"/>
        <v>0.98699421965317924</v>
      </c>
      <c r="DJ210" s="20">
        <v>1384</v>
      </c>
      <c r="DK210" s="27">
        <f t="shared" ref="DK210:DK221" si="218">DJ210-DL210</f>
        <v>18</v>
      </c>
      <c r="DL210" s="20">
        <v>1366</v>
      </c>
      <c r="DM210" s="20">
        <v>1350</v>
      </c>
      <c r="DN210" s="20">
        <f t="shared" ref="DN210:DN221" si="219">DL210-DM210</f>
        <v>16</v>
      </c>
      <c r="DO210" s="20"/>
      <c r="DP210" s="20"/>
      <c r="DQ210" s="45"/>
      <c r="DR210" s="48"/>
      <c r="DS210" s="35"/>
      <c r="DT210" s="35"/>
      <c r="DU210" s="35"/>
      <c r="DV210" s="20"/>
      <c r="DW210" s="20"/>
      <c r="DX210" s="20"/>
      <c r="DY210" s="20"/>
      <c r="DZ210" s="20"/>
      <c r="EA210" s="20"/>
      <c r="EB210" s="20"/>
    </row>
    <row r="211" spans="1:142" s="29" customFormat="1" ht="12.75">
      <c r="A211" s="46">
        <v>2010</v>
      </c>
      <c r="B211" s="47" t="s">
        <v>39</v>
      </c>
      <c r="C211" s="35">
        <f t="shared" si="198"/>
        <v>0.90774349667271625</v>
      </c>
      <c r="D211" s="35">
        <f t="shared" si="199"/>
        <v>0.93247022268254787</v>
      </c>
      <c r="E211" s="35">
        <f t="shared" si="200"/>
        <v>0.97348255696713049</v>
      </c>
      <c r="F21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G211" s="20">
        <f t="shared" si="201"/>
        <v>526</v>
      </c>
      <c r="H21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19310</v>
      </c>
      <c r="I21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18006</v>
      </c>
      <c r="J211" s="20">
        <f t="shared" si="202"/>
        <v>1304</v>
      </c>
      <c r="K211" s="27"/>
      <c r="L211" s="27"/>
      <c r="M211" s="46">
        <v>2010</v>
      </c>
      <c r="N211" s="47" t="s">
        <v>39</v>
      </c>
      <c r="O211" s="35">
        <f t="shared" si="158"/>
        <v>0.92293388429752066</v>
      </c>
      <c r="P211" s="35">
        <f t="shared" si="159"/>
        <v>0.95714591814870364</v>
      </c>
      <c r="Q211" s="35">
        <f t="shared" si="160"/>
        <v>0.96425619834710741</v>
      </c>
      <c r="R211" s="20">
        <v>4840</v>
      </c>
      <c r="S211" s="27">
        <f t="shared" si="206"/>
        <v>173</v>
      </c>
      <c r="T211" s="20">
        <v>4667</v>
      </c>
      <c r="U211" s="20">
        <v>4467</v>
      </c>
      <c r="V211" s="20">
        <f t="shared" si="207"/>
        <v>200</v>
      </c>
      <c r="W211" s="20"/>
      <c r="X211" s="20"/>
      <c r="Y211" s="46"/>
      <c r="Z211" s="47"/>
      <c r="AA211" s="35"/>
      <c r="AB211" s="35"/>
      <c r="AC211" s="35"/>
      <c r="AD211" s="20"/>
      <c r="AE211" s="27"/>
      <c r="AF211" s="20"/>
      <c r="AG211" s="20"/>
      <c r="AH211" s="20"/>
      <c r="AI211" s="20"/>
      <c r="AJ211" s="20"/>
      <c r="AK211" s="46">
        <v>2010</v>
      </c>
      <c r="AL211" s="47" t="s">
        <v>39</v>
      </c>
      <c r="AM211" s="35">
        <f t="shared" si="163"/>
        <v>0.9378260869565217</v>
      </c>
      <c r="AN211" s="35">
        <f t="shared" si="164"/>
        <v>0.96251673360107093</v>
      </c>
      <c r="AO211" s="35">
        <f t="shared" si="165"/>
        <v>0.97434782608695647</v>
      </c>
      <c r="AP211" s="20">
        <v>4600</v>
      </c>
      <c r="AQ211" s="27">
        <f t="shared" si="208"/>
        <v>118</v>
      </c>
      <c r="AR211" s="20">
        <v>4482</v>
      </c>
      <c r="AS211" s="20">
        <v>4314</v>
      </c>
      <c r="AT211" s="20">
        <f t="shared" si="209"/>
        <v>168</v>
      </c>
      <c r="AU211" s="20"/>
      <c r="AV211" s="20"/>
      <c r="AW211" s="46">
        <v>2010</v>
      </c>
      <c r="AX211" s="47" t="s">
        <v>39</v>
      </c>
      <c r="AY211" s="35">
        <f t="shared" si="168"/>
        <v>0.84827586206896555</v>
      </c>
      <c r="AZ211" s="35">
        <f t="shared" si="169"/>
        <v>0.89292196007259528</v>
      </c>
      <c r="BA211" s="35">
        <f t="shared" si="170"/>
        <v>0.95</v>
      </c>
      <c r="BB211" s="20">
        <v>580</v>
      </c>
      <c r="BC211" s="27">
        <f t="shared" si="210"/>
        <v>29</v>
      </c>
      <c r="BD211" s="20">
        <v>551</v>
      </c>
      <c r="BE211" s="20">
        <v>492</v>
      </c>
      <c r="BF211" s="20">
        <f t="shared" si="211"/>
        <v>59</v>
      </c>
      <c r="BG211" s="20"/>
      <c r="BH211" s="20"/>
      <c r="BI211" s="46">
        <v>2010</v>
      </c>
      <c r="BJ211" s="47" t="s">
        <v>39</v>
      </c>
      <c r="BK211" s="35">
        <f t="shared" si="173"/>
        <v>0.81030351437699677</v>
      </c>
      <c r="BL211" s="35">
        <f t="shared" si="174"/>
        <v>0.83429276315789469</v>
      </c>
      <c r="BM211" s="35">
        <f t="shared" si="175"/>
        <v>0.97124600638977632</v>
      </c>
      <c r="BN211" s="20">
        <v>2504</v>
      </c>
      <c r="BO211" s="27">
        <f t="shared" si="212"/>
        <v>72</v>
      </c>
      <c r="BP211" s="20">
        <v>2432</v>
      </c>
      <c r="BQ211" s="20">
        <v>2029</v>
      </c>
      <c r="BR211" s="20">
        <f t="shared" si="213"/>
        <v>403</v>
      </c>
      <c r="BS211" s="20"/>
      <c r="BT211" s="20"/>
      <c r="BU211" s="46">
        <v>2010</v>
      </c>
      <c r="BV211" s="47" t="s">
        <v>39</v>
      </c>
      <c r="BW211" s="35">
        <f t="shared" si="178"/>
        <v>0.92304625199362045</v>
      </c>
      <c r="BX211" s="35">
        <f t="shared" si="179"/>
        <v>0.94067452255180817</v>
      </c>
      <c r="BY211" s="35">
        <f t="shared" si="180"/>
        <v>0.98125996810207339</v>
      </c>
      <c r="BZ211" s="20">
        <v>2508</v>
      </c>
      <c r="CA211" s="27">
        <f t="shared" si="214"/>
        <v>47</v>
      </c>
      <c r="CB211" s="20">
        <v>2461</v>
      </c>
      <c r="CC211" s="20">
        <v>2315</v>
      </c>
      <c r="CD211" s="20">
        <f t="shared" si="215"/>
        <v>146</v>
      </c>
      <c r="CE211" s="20"/>
      <c r="CF211" s="20"/>
      <c r="CG211" s="46">
        <v>2010</v>
      </c>
      <c r="CH211" s="47" t="s">
        <v>39</v>
      </c>
      <c r="CI211" s="35">
        <f t="shared" si="203"/>
        <v>0.88177710843373491</v>
      </c>
      <c r="CJ211" s="35">
        <f t="shared" si="204"/>
        <v>0.8959449120122418</v>
      </c>
      <c r="CK211" s="35">
        <f t="shared" si="205"/>
        <v>0.98418674698795183</v>
      </c>
      <c r="CL211" s="20">
        <v>2656</v>
      </c>
      <c r="CM211" s="20">
        <f t="shared" si="186"/>
        <v>42</v>
      </c>
      <c r="CN211" s="20">
        <v>2614</v>
      </c>
      <c r="CO211" s="20">
        <v>2342</v>
      </c>
      <c r="CP211" s="20">
        <f t="shared" si="187"/>
        <v>272</v>
      </c>
      <c r="CQ211" s="20"/>
      <c r="CR211" s="20"/>
      <c r="CS211" s="46">
        <v>2010</v>
      </c>
      <c r="CT211" s="47" t="s">
        <v>39</v>
      </c>
      <c r="CU211" s="35">
        <f t="shared" si="188"/>
        <v>0.93355855855855852</v>
      </c>
      <c r="CV211" s="35">
        <f t="shared" si="189"/>
        <v>0.95397008055235899</v>
      </c>
      <c r="CW211" s="35">
        <f t="shared" si="190"/>
        <v>0.97860360360360366</v>
      </c>
      <c r="CX211" s="20">
        <v>888</v>
      </c>
      <c r="CY211" s="27">
        <f t="shared" si="216"/>
        <v>19</v>
      </c>
      <c r="CZ211" s="20">
        <v>869</v>
      </c>
      <c r="DA211" s="20">
        <v>829</v>
      </c>
      <c r="DB211" s="20">
        <f t="shared" si="217"/>
        <v>40</v>
      </c>
      <c r="DC211" s="20"/>
      <c r="DD211" s="20"/>
      <c r="DE211" s="46">
        <v>2010</v>
      </c>
      <c r="DF211" s="47" t="s">
        <v>39</v>
      </c>
      <c r="DG211" s="35">
        <f t="shared" si="193"/>
        <v>0.96666666666666667</v>
      </c>
      <c r="DH211" s="35">
        <f t="shared" si="194"/>
        <v>0.98703403565640191</v>
      </c>
      <c r="DI211" s="35">
        <f t="shared" si="195"/>
        <v>0.97936507936507933</v>
      </c>
      <c r="DJ211" s="20">
        <v>1260</v>
      </c>
      <c r="DK211" s="27">
        <f t="shared" si="218"/>
        <v>26</v>
      </c>
      <c r="DL211" s="20">
        <v>1234</v>
      </c>
      <c r="DM211" s="20">
        <v>1218</v>
      </c>
      <c r="DN211" s="20">
        <f t="shared" si="219"/>
        <v>16</v>
      </c>
      <c r="DO211" s="20"/>
      <c r="DP211" s="20"/>
      <c r="DQ211" s="46"/>
      <c r="DR211" s="47"/>
      <c r="DS211" s="35"/>
      <c r="DT211" s="35"/>
      <c r="DU211" s="35"/>
      <c r="DV211" s="20"/>
      <c r="DW211" s="20"/>
      <c r="DX211" s="20"/>
      <c r="DY211" s="20"/>
      <c r="DZ211" s="20"/>
      <c r="EA211" s="20"/>
      <c r="EB211" s="20"/>
    </row>
    <row r="212" spans="1:142" s="29" customFormat="1" ht="12.75">
      <c r="A212" s="45">
        <v>2010</v>
      </c>
      <c r="B212" s="48" t="s">
        <v>40</v>
      </c>
      <c r="C212" s="35">
        <f t="shared" si="198"/>
        <v>0.92321771758030569</v>
      </c>
      <c r="D212" s="35">
        <f t="shared" si="199"/>
        <v>0.93763360907147508</v>
      </c>
      <c r="E212" s="35">
        <f t="shared" si="200"/>
        <v>0.98462524023062137</v>
      </c>
      <c r="F21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21854</v>
      </c>
      <c r="G212" s="20">
        <f t="shared" si="201"/>
        <v>336</v>
      </c>
      <c r="H21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21518</v>
      </c>
      <c r="I21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20176</v>
      </c>
      <c r="J212" s="20">
        <f t="shared" si="202"/>
        <v>1342</v>
      </c>
      <c r="K212" s="27"/>
      <c r="L212" s="27"/>
      <c r="M212" s="45">
        <v>2010</v>
      </c>
      <c r="N212" s="48" t="s">
        <v>40</v>
      </c>
      <c r="O212" s="35">
        <f t="shared" si="158"/>
        <v>0.92894736842105263</v>
      </c>
      <c r="P212" s="35">
        <f t="shared" si="159"/>
        <v>0.94674329501915711</v>
      </c>
      <c r="Q212" s="35">
        <f t="shared" si="160"/>
        <v>0.98120300751879697</v>
      </c>
      <c r="R212" s="20">
        <v>5320</v>
      </c>
      <c r="S212" s="27">
        <f t="shared" si="206"/>
        <v>100</v>
      </c>
      <c r="T212" s="20">
        <v>5220</v>
      </c>
      <c r="U212" s="20">
        <v>4942</v>
      </c>
      <c r="V212" s="20">
        <f t="shared" si="207"/>
        <v>278</v>
      </c>
      <c r="W212" s="20"/>
      <c r="X212" s="20"/>
      <c r="Y212" s="45"/>
      <c r="Z212" s="48"/>
      <c r="AA212" s="35"/>
      <c r="AB212" s="35"/>
      <c r="AC212" s="35"/>
      <c r="AD212" s="20"/>
      <c r="AE212" s="27"/>
      <c r="AF212" s="20"/>
      <c r="AG212" s="20"/>
      <c r="AH212" s="20"/>
      <c r="AI212" s="20"/>
      <c r="AJ212" s="20"/>
      <c r="AK212" s="45">
        <v>2010</v>
      </c>
      <c r="AL212" s="48" t="s">
        <v>40</v>
      </c>
      <c r="AM212" s="35">
        <f t="shared" si="163"/>
        <v>0.95115681233933158</v>
      </c>
      <c r="AN212" s="35">
        <f t="shared" si="164"/>
        <v>0.96392785571142281</v>
      </c>
      <c r="AO212" s="35">
        <f t="shared" si="165"/>
        <v>0.98675103816491994</v>
      </c>
      <c r="AP212" s="20">
        <v>5057</v>
      </c>
      <c r="AQ212" s="27">
        <f t="shared" si="208"/>
        <v>67</v>
      </c>
      <c r="AR212" s="20">
        <v>4990</v>
      </c>
      <c r="AS212" s="20">
        <v>4810</v>
      </c>
      <c r="AT212" s="20">
        <f t="shared" si="209"/>
        <v>180</v>
      </c>
      <c r="AU212" s="20"/>
      <c r="AV212" s="20"/>
      <c r="AW212" s="45">
        <v>2010</v>
      </c>
      <c r="AX212" s="48" t="s">
        <v>40</v>
      </c>
      <c r="AY212" s="35">
        <f t="shared" si="168"/>
        <v>0.81661442006269591</v>
      </c>
      <c r="AZ212" s="35">
        <f t="shared" si="169"/>
        <v>0.84715447154471546</v>
      </c>
      <c r="BA212" s="35">
        <f t="shared" si="170"/>
        <v>0.96394984326018807</v>
      </c>
      <c r="BB212" s="20">
        <v>638</v>
      </c>
      <c r="BC212" s="27">
        <f t="shared" si="210"/>
        <v>23</v>
      </c>
      <c r="BD212" s="20">
        <v>615</v>
      </c>
      <c r="BE212" s="20">
        <v>521</v>
      </c>
      <c r="BF212" s="20">
        <f t="shared" si="211"/>
        <v>94</v>
      </c>
      <c r="BG212" s="20"/>
      <c r="BH212" s="20"/>
      <c r="BI212" s="45">
        <v>2010</v>
      </c>
      <c r="BJ212" s="48" t="s">
        <v>40</v>
      </c>
      <c r="BK212" s="35">
        <f t="shared" si="173"/>
        <v>0.8578147612156295</v>
      </c>
      <c r="BL212" s="35">
        <f t="shared" si="174"/>
        <v>0.8758773550055412</v>
      </c>
      <c r="BM212" s="35">
        <f t="shared" si="175"/>
        <v>0.97937771345875546</v>
      </c>
      <c r="BN212" s="20">
        <v>2764</v>
      </c>
      <c r="BO212" s="27">
        <f t="shared" si="212"/>
        <v>57</v>
      </c>
      <c r="BP212" s="20">
        <v>2707</v>
      </c>
      <c r="BQ212" s="20">
        <v>2371</v>
      </c>
      <c r="BR212" s="20">
        <f t="shared" si="213"/>
        <v>336</v>
      </c>
      <c r="BS212" s="20"/>
      <c r="BT212" s="20"/>
      <c r="BU212" s="45">
        <v>2010</v>
      </c>
      <c r="BV212" s="48" t="s">
        <v>40</v>
      </c>
      <c r="BW212" s="35">
        <f t="shared" si="178"/>
        <v>0.93533236994219648</v>
      </c>
      <c r="BX212" s="35">
        <f t="shared" si="179"/>
        <v>0.95535055350553511</v>
      </c>
      <c r="BY212" s="35">
        <f t="shared" si="180"/>
        <v>0.97904624277456642</v>
      </c>
      <c r="BZ212" s="20">
        <v>2768</v>
      </c>
      <c r="CA212" s="27">
        <f t="shared" si="214"/>
        <v>58</v>
      </c>
      <c r="CB212" s="20">
        <v>2710</v>
      </c>
      <c r="CC212" s="20">
        <v>2589</v>
      </c>
      <c r="CD212" s="20">
        <f t="shared" si="215"/>
        <v>121</v>
      </c>
      <c r="CE212" s="20"/>
      <c r="CF212" s="20"/>
      <c r="CG212" s="45">
        <v>2010</v>
      </c>
      <c r="CH212" s="48" t="s">
        <v>40</v>
      </c>
      <c r="CI212" s="35">
        <f t="shared" si="203"/>
        <v>0.89604635310156777</v>
      </c>
      <c r="CJ212" s="35">
        <f t="shared" si="204"/>
        <v>0.90095956134338584</v>
      </c>
      <c r="CK212" s="35">
        <f t="shared" si="205"/>
        <v>0.99454669393319695</v>
      </c>
      <c r="CL212" s="20">
        <v>2934</v>
      </c>
      <c r="CM212" s="20">
        <f t="shared" si="186"/>
        <v>16</v>
      </c>
      <c r="CN212" s="20">
        <v>2918</v>
      </c>
      <c r="CO212" s="20">
        <v>2629</v>
      </c>
      <c r="CP212" s="20">
        <f t="shared" si="187"/>
        <v>289</v>
      </c>
      <c r="CQ212" s="20"/>
      <c r="CR212" s="20"/>
      <c r="CS212" s="45">
        <v>2010</v>
      </c>
      <c r="CT212" s="48" t="s">
        <v>40</v>
      </c>
      <c r="CU212" s="35">
        <f t="shared" si="188"/>
        <v>0.95926680244399187</v>
      </c>
      <c r="CV212" s="35">
        <f t="shared" si="189"/>
        <v>0.9651639344262295</v>
      </c>
      <c r="CW212" s="35">
        <f t="shared" si="190"/>
        <v>0.99389002036659879</v>
      </c>
      <c r="CX212" s="20">
        <v>982</v>
      </c>
      <c r="CY212" s="27">
        <f t="shared" si="216"/>
        <v>6</v>
      </c>
      <c r="CZ212" s="20">
        <v>976</v>
      </c>
      <c r="DA212" s="20">
        <v>942</v>
      </c>
      <c r="DB212" s="20">
        <f t="shared" si="217"/>
        <v>34</v>
      </c>
      <c r="DC212" s="20"/>
      <c r="DD212" s="20"/>
      <c r="DE212" s="45">
        <v>2010</v>
      </c>
      <c r="DF212" s="48" t="s">
        <v>40</v>
      </c>
      <c r="DG212" s="35">
        <f t="shared" si="193"/>
        <v>0.98634076204169663</v>
      </c>
      <c r="DH212" s="35">
        <f t="shared" si="194"/>
        <v>0.99276410998552822</v>
      </c>
      <c r="DI212" s="35">
        <f t="shared" si="195"/>
        <v>0.99352983465132994</v>
      </c>
      <c r="DJ212" s="20">
        <v>1391</v>
      </c>
      <c r="DK212" s="27">
        <f t="shared" si="218"/>
        <v>9</v>
      </c>
      <c r="DL212" s="20">
        <v>1382</v>
      </c>
      <c r="DM212" s="20">
        <v>1372</v>
      </c>
      <c r="DN212" s="20">
        <f t="shared" si="219"/>
        <v>10</v>
      </c>
      <c r="DO212" s="20"/>
      <c r="DP212" s="20"/>
      <c r="DQ212" s="45"/>
      <c r="DR212" s="48"/>
      <c r="DS212" s="35"/>
      <c r="DT212" s="35"/>
      <c r="DU212" s="35"/>
      <c r="DV212" s="20"/>
      <c r="DW212" s="20"/>
      <c r="DX212" s="20"/>
      <c r="DY212" s="20"/>
      <c r="DZ212" s="20"/>
      <c r="EA212" s="20"/>
      <c r="EB212" s="20"/>
    </row>
    <row r="213" spans="1:142" s="29" customFormat="1" ht="12.75">
      <c r="A213" s="46">
        <v>2010</v>
      </c>
      <c r="B213" s="47" t="s">
        <v>41</v>
      </c>
      <c r="C213" s="35">
        <f t="shared" si="198"/>
        <v>0.90551631990837944</v>
      </c>
      <c r="D213" s="35">
        <f t="shared" si="199"/>
        <v>0.92737757794936959</v>
      </c>
      <c r="E213" s="35">
        <f t="shared" si="200"/>
        <v>0.97642679900744422</v>
      </c>
      <c r="F21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G213" s="20">
        <f t="shared" si="201"/>
        <v>494</v>
      </c>
      <c r="H21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20462</v>
      </c>
      <c r="I21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18976</v>
      </c>
      <c r="J213" s="20">
        <f t="shared" si="202"/>
        <v>1486</v>
      </c>
      <c r="K213" s="27"/>
      <c r="L213" s="27"/>
      <c r="M213" s="46">
        <v>2010</v>
      </c>
      <c r="N213" s="47" t="s">
        <v>41</v>
      </c>
      <c r="O213" s="35">
        <f t="shared" si="158"/>
        <v>0.90678466076696163</v>
      </c>
      <c r="P213" s="35">
        <f t="shared" si="159"/>
        <v>0.94837515425750718</v>
      </c>
      <c r="Q213" s="35">
        <f t="shared" si="160"/>
        <v>0.95614552605703051</v>
      </c>
      <c r="R213" s="20">
        <v>5085</v>
      </c>
      <c r="S213" s="27">
        <f t="shared" si="206"/>
        <v>223</v>
      </c>
      <c r="T213" s="20">
        <v>4862</v>
      </c>
      <c r="U213" s="20">
        <v>4611</v>
      </c>
      <c r="V213" s="20">
        <f t="shared" si="207"/>
        <v>251</v>
      </c>
      <c r="W213" s="20"/>
      <c r="X213" s="20"/>
      <c r="Y213" s="46"/>
      <c r="Z213" s="47"/>
      <c r="AA213" s="35"/>
      <c r="AB213" s="35"/>
      <c r="AC213" s="35"/>
      <c r="AD213" s="20"/>
      <c r="AE213" s="27"/>
      <c r="AF213" s="20"/>
      <c r="AG213" s="20"/>
      <c r="AH213" s="20"/>
      <c r="AI213" s="20"/>
      <c r="AJ213" s="20"/>
      <c r="AK213" s="46">
        <v>2010</v>
      </c>
      <c r="AL213" s="47" t="s">
        <v>41</v>
      </c>
      <c r="AM213" s="35">
        <f t="shared" si="163"/>
        <v>0.93912505158893933</v>
      </c>
      <c r="AN213" s="35">
        <f t="shared" si="164"/>
        <v>0.96114044350580785</v>
      </c>
      <c r="AO213" s="35">
        <f t="shared" si="165"/>
        <v>0.97709451093685518</v>
      </c>
      <c r="AP213" s="20">
        <v>4846</v>
      </c>
      <c r="AQ213" s="27">
        <f t="shared" si="208"/>
        <v>111</v>
      </c>
      <c r="AR213" s="20">
        <v>4735</v>
      </c>
      <c r="AS213" s="20">
        <v>4551</v>
      </c>
      <c r="AT213" s="20">
        <f t="shared" si="209"/>
        <v>184</v>
      </c>
      <c r="AU213" s="20"/>
      <c r="AV213" s="20"/>
      <c r="AW213" s="46">
        <v>2010</v>
      </c>
      <c r="AX213" s="47" t="s">
        <v>41</v>
      </c>
      <c r="AY213" s="35">
        <f t="shared" si="168"/>
        <v>0.78448275862068961</v>
      </c>
      <c r="AZ213" s="35">
        <f t="shared" si="169"/>
        <v>0.79545454545454541</v>
      </c>
      <c r="BA213" s="35">
        <f t="shared" si="170"/>
        <v>0.98620689655172411</v>
      </c>
      <c r="BB213" s="20">
        <v>580</v>
      </c>
      <c r="BC213" s="27">
        <f t="shared" si="210"/>
        <v>8</v>
      </c>
      <c r="BD213" s="20">
        <v>572</v>
      </c>
      <c r="BE213" s="20">
        <v>455</v>
      </c>
      <c r="BF213" s="20">
        <f t="shared" si="211"/>
        <v>117</v>
      </c>
      <c r="BG213" s="20"/>
      <c r="BH213" s="20"/>
      <c r="BI213" s="46">
        <v>2010</v>
      </c>
      <c r="BJ213" s="47" t="s">
        <v>41</v>
      </c>
      <c r="BK213" s="35">
        <f t="shared" si="173"/>
        <v>0.80563909774436093</v>
      </c>
      <c r="BL213" s="35">
        <f t="shared" si="174"/>
        <v>0.82423076923076921</v>
      </c>
      <c r="BM213" s="35">
        <f t="shared" si="175"/>
        <v>0.97744360902255634</v>
      </c>
      <c r="BN213" s="20">
        <v>2660</v>
      </c>
      <c r="BO213" s="27">
        <f t="shared" si="212"/>
        <v>60</v>
      </c>
      <c r="BP213" s="20">
        <v>2600</v>
      </c>
      <c r="BQ213" s="20">
        <v>2143</v>
      </c>
      <c r="BR213" s="20">
        <f t="shared" si="213"/>
        <v>457</v>
      </c>
      <c r="BS213" s="20"/>
      <c r="BT213" s="20"/>
      <c r="BU213" s="46">
        <v>2010</v>
      </c>
      <c r="BV213" s="47" t="s">
        <v>41</v>
      </c>
      <c r="BW213" s="35">
        <f t="shared" si="178"/>
        <v>0.94821763602251408</v>
      </c>
      <c r="BX213" s="35">
        <f t="shared" si="179"/>
        <v>0.9593773728170083</v>
      </c>
      <c r="BY213" s="35">
        <f t="shared" si="180"/>
        <v>0.98836772983114451</v>
      </c>
      <c r="BZ213" s="20">
        <v>2665</v>
      </c>
      <c r="CA213" s="27">
        <f t="shared" si="214"/>
        <v>31</v>
      </c>
      <c r="CB213" s="20">
        <v>2634</v>
      </c>
      <c r="CC213" s="20">
        <v>2527</v>
      </c>
      <c r="CD213" s="20">
        <f t="shared" si="215"/>
        <v>107</v>
      </c>
      <c r="CE213" s="20"/>
      <c r="CF213" s="20"/>
      <c r="CG213" s="46">
        <v>2010</v>
      </c>
      <c r="CH213" s="47" t="s">
        <v>41</v>
      </c>
      <c r="CI213" s="35">
        <f t="shared" si="203"/>
        <v>0.87681415929203543</v>
      </c>
      <c r="CJ213" s="35">
        <f t="shared" si="204"/>
        <v>0.88940754039497305</v>
      </c>
      <c r="CK213" s="35">
        <f t="shared" si="205"/>
        <v>0.98584070796460177</v>
      </c>
      <c r="CL213" s="20">
        <v>2825</v>
      </c>
      <c r="CM213" s="20">
        <f t="shared" si="186"/>
        <v>40</v>
      </c>
      <c r="CN213" s="20">
        <v>2785</v>
      </c>
      <c r="CO213" s="20">
        <v>2477</v>
      </c>
      <c r="CP213" s="20">
        <f t="shared" si="187"/>
        <v>308</v>
      </c>
      <c r="CQ213" s="20"/>
      <c r="CR213" s="20"/>
      <c r="CS213" s="46">
        <v>2010</v>
      </c>
      <c r="CT213" s="47" t="s">
        <v>41</v>
      </c>
      <c r="CU213" s="35">
        <f t="shared" si="188"/>
        <v>0.92842105263157892</v>
      </c>
      <c r="CV213" s="35">
        <f t="shared" si="189"/>
        <v>0.94130202774813232</v>
      </c>
      <c r="CW213" s="35">
        <f t="shared" si="190"/>
        <v>0.98631578947368426</v>
      </c>
      <c r="CX213" s="20">
        <v>950</v>
      </c>
      <c r="CY213" s="27">
        <f t="shared" si="216"/>
        <v>13</v>
      </c>
      <c r="CZ213" s="20">
        <v>937</v>
      </c>
      <c r="DA213" s="20">
        <v>882</v>
      </c>
      <c r="DB213" s="20">
        <f t="shared" si="217"/>
        <v>55</v>
      </c>
      <c r="DC213" s="20"/>
      <c r="DD213" s="20"/>
      <c r="DE213" s="46">
        <v>2010</v>
      </c>
      <c r="DF213" s="47" t="s">
        <v>41</v>
      </c>
      <c r="DG213" s="35">
        <f t="shared" si="193"/>
        <v>0.98884758364312264</v>
      </c>
      <c r="DH213" s="35">
        <f t="shared" si="194"/>
        <v>0.99476439790575921</v>
      </c>
      <c r="DI213" s="35">
        <f t="shared" si="195"/>
        <v>0.99405204460966545</v>
      </c>
      <c r="DJ213" s="20">
        <v>1345</v>
      </c>
      <c r="DK213" s="27">
        <f t="shared" si="218"/>
        <v>8</v>
      </c>
      <c r="DL213" s="20">
        <v>1337</v>
      </c>
      <c r="DM213" s="20">
        <v>1330</v>
      </c>
      <c r="DN213" s="20">
        <f t="shared" si="219"/>
        <v>7</v>
      </c>
      <c r="DO213" s="20"/>
      <c r="DP213" s="20"/>
      <c r="DQ213" s="46"/>
      <c r="DR213" s="47"/>
      <c r="DS213" s="35"/>
      <c r="DT213" s="35"/>
      <c r="DU213" s="35"/>
      <c r="DV213" s="20"/>
      <c r="DW213" s="20"/>
      <c r="DX213" s="20"/>
      <c r="DY213" s="20"/>
      <c r="DZ213" s="20"/>
      <c r="EA213" s="20"/>
      <c r="EB213" s="20"/>
    </row>
    <row r="214" spans="1:142" s="29" customFormat="1" ht="12.75">
      <c r="A214" s="45">
        <v>2010</v>
      </c>
      <c r="B214" s="48" t="s">
        <v>42</v>
      </c>
      <c r="C214" s="35">
        <f t="shared" si="198"/>
        <v>0.85208026946249826</v>
      </c>
      <c r="D214" s="35">
        <f t="shared" si="199"/>
        <v>0.87781633351253607</v>
      </c>
      <c r="E214" s="35">
        <f t="shared" si="200"/>
        <v>0.97068172114426676</v>
      </c>
      <c r="F21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21079</v>
      </c>
      <c r="G214" s="20">
        <f t="shared" si="201"/>
        <v>618</v>
      </c>
      <c r="H21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20461</v>
      </c>
      <c r="I21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17961</v>
      </c>
      <c r="J214" s="20">
        <f t="shared" si="202"/>
        <v>2500</v>
      </c>
      <c r="K214" s="27"/>
      <c r="L214" s="27"/>
      <c r="M214" s="45">
        <v>2010</v>
      </c>
      <c r="N214" s="48" t="s">
        <v>42</v>
      </c>
      <c r="O214" s="35">
        <f t="shared" si="158"/>
        <v>0.88108854269374881</v>
      </c>
      <c r="P214" s="35">
        <f t="shared" si="159"/>
        <v>0.91538619135423072</v>
      </c>
      <c r="Q214" s="35">
        <f t="shared" si="160"/>
        <v>0.9625320449615461</v>
      </c>
      <c r="R214" s="20">
        <v>5071</v>
      </c>
      <c r="S214" s="27">
        <f t="shared" si="206"/>
        <v>190</v>
      </c>
      <c r="T214" s="20">
        <v>4881</v>
      </c>
      <c r="U214" s="20">
        <v>4468</v>
      </c>
      <c r="V214" s="20">
        <f t="shared" si="207"/>
        <v>413</v>
      </c>
      <c r="W214" s="20"/>
      <c r="X214" s="20"/>
      <c r="Y214" s="45"/>
      <c r="Z214" s="48"/>
      <c r="AA214" s="35"/>
      <c r="AB214" s="35"/>
      <c r="AC214" s="35"/>
      <c r="AD214" s="20"/>
      <c r="AE214" s="27"/>
      <c r="AF214" s="20"/>
      <c r="AG214" s="20"/>
      <c r="AH214" s="20"/>
      <c r="AI214" s="20"/>
      <c r="AJ214" s="20"/>
      <c r="AK214" s="45">
        <v>2010</v>
      </c>
      <c r="AL214" s="48" t="s">
        <v>42</v>
      </c>
      <c r="AM214" s="35">
        <f t="shared" si="163"/>
        <v>0.90991361579596874</v>
      </c>
      <c r="AN214" s="35">
        <f t="shared" si="164"/>
        <v>0.93471371223325583</v>
      </c>
      <c r="AO214" s="35">
        <f t="shared" si="165"/>
        <v>0.97346770876182642</v>
      </c>
      <c r="AP214" s="20">
        <v>4862</v>
      </c>
      <c r="AQ214" s="27">
        <f t="shared" si="208"/>
        <v>129</v>
      </c>
      <c r="AR214" s="20">
        <v>4733</v>
      </c>
      <c r="AS214" s="20">
        <v>4424</v>
      </c>
      <c r="AT214" s="20">
        <f t="shared" si="209"/>
        <v>309</v>
      </c>
      <c r="AU214" s="20"/>
      <c r="AV214" s="20"/>
      <c r="AW214" s="45">
        <v>2010</v>
      </c>
      <c r="AX214" s="48" t="s">
        <v>42</v>
      </c>
      <c r="AY214" s="35">
        <f t="shared" si="168"/>
        <v>0.67458866544789764</v>
      </c>
      <c r="AZ214" s="35">
        <f t="shared" si="169"/>
        <v>0.71098265895953761</v>
      </c>
      <c r="BA214" s="35">
        <f t="shared" si="170"/>
        <v>0.94881170018281535</v>
      </c>
      <c r="BB214" s="20">
        <v>547</v>
      </c>
      <c r="BC214" s="27">
        <f t="shared" si="210"/>
        <v>28</v>
      </c>
      <c r="BD214" s="20">
        <v>519</v>
      </c>
      <c r="BE214" s="20">
        <v>369</v>
      </c>
      <c r="BF214" s="20">
        <f t="shared" si="211"/>
        <v>150</v>
      </c>
      <c r="BG214" s="20"/>
      <c r="BH214" s="20"/>
      <c r="BI214" s="45">
        <v>2010</v>
      </c>
      <c r="BJ214" s="48" t="s">
        <v>42</v>
      </c>
      <c r="BK214" s="35">
        <f t="shared" si="173"/>
        <v>0.63791821561338291</v>
      </c>
      <c r="BL214" s="35">
        <f t="shared" si="174"/>
        <v>0.67987321711568938</v>
      </c>
      <c r="BM214" s="35">
        <f t="shared" si="175"/>
        <v>0.93828996282527877</v>
      </c>
      <c r="BN214" s="20">
        <v>2690</v>
      </c>
      <c r="BO214" s="27">
        <f t="shared" si="212"/>
        <v>166</v>
      </c>
      <c r="BP214" s="20">
        <v>2524</v>
      </c>
      <c r="BQ214" s="20">
        <v>1716</v>
      </c>
      <c r="BR214" s="20">
        <f t="shared" si="213"/>
        <v>808</v>
      </c>
      <c r="BS214" s="20"/>
      <c r="BT214" s="20"/>
      <c r="BU214" s="45">
        <v>2010</v>
      </c>
      <c r="BV214" s="48" t="s">
        <v>42</v>
      </c>
      <c r="BW214" s="35">
        <f t="shared" si="178"/>
        <v>0.89458054936896803</v>
      </c>
      <c r="BX214" s="35">
        <f t="shared" si="179"/>
        <v>0.91046467699282208</v>
      </c>
      <c r="BY214" s="35">
        <f t="shared" si="180"/>
        <v>0.98255382331106167</v>
      </c>
      <c r="BZ214" s="20">
        <v>2694</v>
      </c>
      <c r="CA214" s="27">
        <f t="shared" si="214"/>
        <v>47</v>
      </c>
      <c r="CB214" s="20">
        <v>2647</v>
      </c>
      <c r="CC214" s="20">
        <v>2410</v>
      </c>
      <c r="CD214" s="20">
        <f t="shared" si="215"/>
        <v>237</v>
      </c>
      <c r="CE214" s="20"/>
      <c r="CF214" s="20"/>
      <c r="CG214" s="45">
        <v>2010</v>
      </c>
      <c r="CH214" s="48" t="s">
        <v>42</v>
      </c>
      <c r="CI214" s="35">
        <f t="shared" si="203"/>
        <v>0.82398048100383414</v>
      </c>
      <c r="CJ214" s="35">
        <f t="shared" si="204"/>
        <v>0.8323943661971831</v>
      </c>
      <c r="CK214" s="35">
        <f t="shared" si="205"/>
        <v>0.98989194841408157</v>
      </c>
      <c r="CL214" s="20">
        <v>2869</v>
      </c>
      <c r="CM214" s="20">
        <f t="shared" si="186"/>
        <v>29</v>
      </c>
      <c r="CN214" s="20">
        <v>2840</v>
      </c>
      <c r="CO214" s="20">
        <v>2364</v>
      </c>
      <c r="CP214" s="20">
        <f t="shared" si="187"/>
        <v>476</v>
      </c>
      <c r="CQ214" s="20"/>
      <c r="CR214" s="20"/>
      <c r="CS214" s="45">
        <v>2010</v>
      </c>
      <c r="CT214" s="48" t="s">
        <v>42</v>
      </c>
      <c r="CU214" s="35">
        <f t="shared" si="188"/>
        <v>0.89446721311475408</v>
      </c>
      <c r="CV214" s="35">
        <f t="shared" si="189"/>
        <v>0.91127348643006267</v>
      </c>
      <c r="CW214" s="35">
        <f t="shared" si="190"/>
        <v>0.98155737704918034</v>
      </c>
      <c r="CX214" s="20">
        <v>976</v>
      </c>
      <c r="CY214" s="27">
        <f t="shared" si="216"/>
        <v>18</v>
      </c>
      <c r="CZ214" s="20">
        <v>958</v>
      </c>
      <c r="DA214" s="20">
        <v>873</v>
      </c>
      <c r="DB214" s="20">
        <f t="shared" si="217"/>
        <v>85</v>
      </c>
      <c r="DC214" s="20"/>
      <c r="DD214" s="20"/>
      <c r="DE214" s="45">
        <v>2010</v>
      </c>
      <c r="DF214" s="48" t="s">
        <v>42</v>
      </c>
      <c r="DG214" s="35">
        <f t="shared" si="193"/>
        <v>0.97591240875912411</v>
      </c>
      <c r="DH214" s="35">
        <f t="shared" si="194"/>
        <v>0.98381162619573215</v>
      </c>
      <c r="DI214" s="35">
        <f t="shared" si="195"/>
        <v>0.99197080291970807</v>
      </c>
      <c r="DJ214" s="20">
        <v>1370</v>
      </c>
      <c r="DK214" s="27">
        <f t="shared" si="218"/>
        <v>11</v>
      </c>
      <c r="DL214" s="20">
        <v>1359</v>
      </c>
      <c r="DM214" s="20">
        <v>1337</v>
      </c>
      <c r="DN214" s="20">
        <f t="shared" si="219"/>
        <v>22</v>
      </c>
      <c r="DO214" s="20"/>
      <c r="DP214" s="20"/>
      <c r="DQ214" s="45"/>
      <c r="DR214" s="48"/>
      <c r="DS214" s="35"/>
      <c r="DT214" s="35"/>
      <c r="DU214" s="35"/>
      <c r="DV214" s="20"/>
      <c r="DW214" s="20"/>
      <c r="DX214" s="20"/>
      <c r="DY214" s="20"/>
      <c r="DZ214" s="20"/>
      <c r="EA214" s="20"/>
      <c r="EB214" s="20"/>
    </row>
    <row r="215" spans="1:142" s="29" customFormat="1" ht="12.75">
      <c r="A215" s="46">
        <v>2010</v>
      </c>
      <c r="B215" s="47" t="s">
        <v>43</v>
      </c>
      <c r="C215" s="35">
        <f t="shared" si="198"/>
        <v>0.87846912420756051</v>
      </c>
      <c r="D215" s="35">
        <f t="shared" si="199"/>
        <v>0.90424400618716161</v>
      </c>
      <c r="E215" s="35">
        <f t="shared" si="200"/>
        <v>0.97149565625733736</v>
      </c>
      <c r="F21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21295</v>
      </c>
      <c r="G215" s="20">
        <f t="shared" si="201"/>
        <v>607</v>
      </c>
      <c r="H21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20688</v>
      </c>
      <c r="I21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18707</v>
      </c>
      <c r="J215" s="20">
        <f t="shared" si="202"/>
        <v>1981</v>
      </c>
      <c r="K215" s="27"/>
      <c r="L215" s="27"/>
      <c r="M215" s="46">
        <v>2010</v>
      </c>
      <c r="N215" s="47" t="s">
        <v>43</v>
      </c>
      <c r="O215" s="35">
        <f t="shared" si="158"/>
        <v>0.88869992441421009</v>
      </c>
      <c r="P215" s="35">
        <f t="shared" si="159"/>
        <v>0.93110275193031078</v>
      </c>
      <c r="Q215" s="35">
        <f t="shared" si="160"/>
        <v>0.95445956160241874</v>
      </c>
      <c r="R215" s="20">
        <v>5292</v>
      </c>
      <c r="S215" s="27">
        <f t="shared" si="206"/>
        <v>241</v>
      </c>
      <c r="T215" s="20">
        <v>5051</v>
      </c>
      <c r="U215" s="20">
        <v>4703</v>
      </c>
      <c r="V215" s="20">
        <f t="shared" si="207"/>
        <v>348</v>
      </c>
      <c r="W215" s="20"/>
      <c r="X215" s="20"/>
      <c r="Y215" s="46"/>
      <c r="Z215" s="47"/>
      <c r="AA215" s="35"/>
      <c r="AB215" s="35"/>
      <c r="AC215" s="35"/>
      <c r="AD215" s="20"/>
      <c r="AE215" s="27"/>
      <c r="AF215" s="20"/>
      <c r="AG215" s="20"/>
      <c r="AH215" s="20"/>
      <c r="AI215" s="20"/>
      <c r="AJ215" s="20"/>
      <c r="AK215" s="46">
        <v>2010</v>
      </c>
      <c r="AL215" s="47" t="s">
        <v>43</v>
      </c>
      <c r="AM215" s="35">
        <f t="shared" si="163"/>
        <v>0.93846153846153846</v>
      </c>
      <c r="AN215" s="35">
        <f t="shared" si="164"/>
        <v>0.95236188951160927</v>
      </c>
      <c r="AO215" s="35">
        <f t="shared" si="165"/>
        <v>0.98540433925049309</v>
      </c>
      <c r="AP215" s="20">
        <v>5070</v>
      </c>
      <c r="AQ215" s="27">
        <f t="shared" si="208"/>
        <v>74</v>
      </c>
      <c r="AR215" s="20">
        <v>4996</v>
      </c>
      <c r="AS215" s="20">
        <v>4758</v>
      </c>
      <c r="AT215" s="20">
        <f t="shared" si="209"/>
        <v>238</v>
      </c>
      <c r="AU215" s="20"/>
      <c r="AV215" s="20"/>
      <c r="AW215" s="46">
        <v>2010</v>
      </c>
      <c r="AX215" s="47" t="s">
        <v>43</v>
      </c>
      <c r="AY215" s="35">
        <f t="shared" si="168"/>
        <v>0.75680272108843538</v>
      </c>
      <c r="AZ215" s="35">
        <f t="shared" si="169"/>
        <v>0.78900709219858156</v>
      </c>
      <c r="BA215" s="35">
        <f t="shared" si="170"/>
        <v>0.95918367346938771</v>
      </c>
      <c r="BB215" s="20">
        <v>588</v>
      </c>
      <c r="BC215" s="27">
        <f t="shared" si="210"/>
        <v>24</v>
      </c>
      <c r="BD215" s="20">
        <v>564</v>
      </c>
      <c r="BE215" s="20">
        <v>445</v>
      </c>
      <c r="BF215" s="20">
        <f t="shared" si="211"/>
        <v>119</v>
      </c>
      <c r="BG215" s="20"/>
      <c r="BH215" s="20"/>
      <c r="BI215" s="46">
        <v>2010</v>
      </c>
      <c r="BJ215" s="47" t="s">
        <v>43</v>
      </c>
      <c r="BK215" s="35">
        <f t="shared" si="173"/>
        <v>0.71803652968036524</v>
      </c>
      <c r="BL215" s="35">
        <f t="shared" si="174"/>
        <v>0.75480000000000003</v>
      </c>
      <c r="BM215" s="35">
        <f t="shared" si="175"/>
        <v>0.9512937595129376</v>
      </c>
      <c r="BN215" s="20">
        <v>2628</v>
      </c>
      <c r="BO215" s="27">
        <f t="shared" si="212"/>
        <v>128</v>
      </c>
      <c r="BP215" s="20">
        <v>2500</v>
      </c>
      <c r="BQ215" s="20">
        <v>1887</v>
      </c>
      <c r="BR215" s="20">
        <f t="shared" si="213"/>
        <v>613</v>
      </c>
      <c r="BS215" s="20"/>
      <c r="BT215" s="20"/>
      <c r="BU215" s="46">
        <v>2010</v>
      </c>
      <c r="BV215" s="47" t="s">
        <v>43</v>
      </c>
      <c r="BW215" s="35">
        <f t="shared" si="178"/>
        <v>0.90995440729483279</v>
      </c>
      <c r="BX215" s="35">
        <f t="shared" si="179"/>
        <v>0.93045843045843046</v>
      </c>
      <c r="BY215" s="35">
        <f t="shared" si="180"/>
        <v>0.97796352583586621</v>
      </c>
      <c r="BZ215" s="20">
        <v>2632</v>
      </c>
      <c r="CA215" s="27">
        <f t="shared" si="214"/>
        <v>58</v>
      </c>
      <c r="CB215" s="20">
        <v>2574</v>
      </c>
      <c r="CC215" s="20">
        <v>2395</v>
      </c>
      <c r="CD215" s="20">
        <f t="shared" si="215"/>
        <v>179</v>
      </c>
      <c r="CE215" s="20"/>
      <c r="CF215" s="20"/>
      <c r="CG215" s="46">
        <v>2010</v>
      </c>
      <c r="CH215" s="47" t="s">
        <v>43</v>
      </c>
      <c r="CI215" s="35">
        <f t="shared" si="203"/>
        <v>0.84587813620071683</v>
      </c>
      <c r="CJ215" s="35">
        <f t="shared" si="204"/>
        <v>0.86541987532086539</v>
      </c>
      <c r="CK215" s="35">
        <f t="shared" si="205"/>
        <v>0.97741935483870968</v>
      </c>
      <c r="CL215" s="20">
        <v>2790</v>
      </c>
      <c r="CM215" s="20">
        <f t="shared" si="186"/>
        <v>63</v>
      </c>
      <c r="CN215" s="20">
        <v>2727</v>
      </c>
      <c r="CO215" s="20">
        <v>2360</v>
      </c>
      <c r="CP215" s="20">
        <f t="shared" si="187"/>
        <v>367</v>
      </c>
      <c r="CQ215" s="20"/>
      <c r="CR215" s="20"/>
      <c r="CS215" s="46">
        <v>2010</v>
      </c>
      <c r="CT215" s="47" t="s">
        <v>43</v>
      </c>
      <c r="CU215" s="35">
        <f t="shared" si="188"/>
        <v>0.88526315789473686</v>
      </c>
      <c r="CV215" s="35">
        <f t="shared" si="189"/>
        <v>0.89563365282215124</v>
      </c>
      <c r="CW215" s="35">
        <f t="shared" si="190"/>
        <v>0.98842105263157898</v>
      </c>
      <c r="CX215" s="20">
        <v>950</v>
      </c>
      <c r="CY215" s="27">
        <f t="shared" si="216"/>
        <v>11</v>
      </c>
      <c r="CZ215" s="20">
        <v>939</v>
      </c>
      <c r="DA215" s="20">
        <v>841</v>
      </c>
      <c r="DB215" s="20">
        <f t="shared" si="217"/>
        <v>98</v>
      </c>
      <c r="DC215" s="20"/>
      <c r="DD215" s="20"/>
      <c r="DE215" s="46">
        <v>2010</v>
      </c>
      <c r="DF215" s="47" t="s">
        <v>43</v>
      </c>
      <c r="DG215" s="35">
        <f t="shared" si="193"/>
        <v>0.97992565055762082</v>
      </c>
      <c r="DH215" s="35">
        <f t="shared" si="194"/>
        <v>0.98578908002991772</v>
      </c>
      <c r="DI215" s="35">
        <f t="shared" si="195"/>
        <v>0.99405204460966545</v>
      </c>
      <c r="DJ215" s="20">
        <v>1345</v>
      </c>
      <c r="DK215" s="27">
        <f t="shared" si="218"/>
        <v>8</v>
      </c>
      <c r="DL215" s="20">
        <v>1337</v>
      </c>
      <c r="DM215" s="20">
        <v>1318</v>
      </c>
      <c r="DN215" s="20">
        <f t="shared" si="219"/>
        <v>19</v>
      </c>
      <c r="DO215" s="20"/>
      <c r="DP215" s="20"/>
      <c r="DQ215" s="46"/>
      <c r="DR215" s="47"/>
      <c r="DS215" s="35"/>
      <c r="DT215" s="35"/>
      <c r="DU215" s="35"/>
      <c r="DV215" s="20"/>
      <c r="DW215" s="20"/>
      <c r="DX215" s="20"/>
      <c r="DY215" s="20"/>
      <c r="DZ215" s="20"/>
      <c r="EA215" s="20"/>
      <c r="EB215" s="20"/>
    </row>
    <row r="216" spans="1:142" s="29" customFormat="1" ht="12.75">
      <c r="A216" s="45">
        <v>2010</v>
      </c>
      <c r="B216" s="48" t="s">
        <v>44</v>
      </c>
      <c r="C216" s="35">
        <f t="shared" si="198"/>
        <v>0.87871332239839617</v>
      </c>
      <c r="D216" s="35">
        <f t="shared" si="199"/>
        <v>0.92022139517129498</v>
      </c>
      <c r="E216" s="35">
        <f t="shared" si="200"/>
        <v>0.95489338436303994</v>
      </c>
      <c r="F21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21948</v>
      </c>
      <c r="G216" s="20">
        <f t="shared" si="201"/>
        <v>990</v>
      </c>
      <c r="H21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20958</v>
      </c>
      <c r="I21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19286</v>
      </c>
      <c r="J216" s="20">
        <f t="shared" si="202"/>
        <v>1672</v>
      </c>
      <c r="K216" s="27"/>
      <c r="L216" s="27"/>
      <c r="M216" s="45">
        <v>2010</v>
      </c>
      <c r="N216" s="48" t="s">
        <v>44</v>
      </c>
      <c r="O216" s="35">
        <f t="shared" si="158"/>
        <v>0.87364753346781587</v>
      </c>
      <c r="P216" s="35">
        <f t="shared" si="159"/>
        <v>0.93632075471698117</v>
      </c>
      <c r="Q216" s="35">
        <f t="shared" si="160"/>
        <v>0.93306436823766736</v>
      </c>
      <c r="R216" s="20">
        <v>5453</v>
      </c>
      <c r="S216" s="27">
        <f t="shared" si="206"/>
        <v>365</v>
      </c>
      <c r="T216" s="20">
        <v>5088</v>
      </c>
      <c r="U216" s="20">
        <v>4764</v>
      </c>
      <c r="V216" s="20">
        <f t="shared" si="207"/>
        <v>324</v>
      </c>
      <c r="W216" s="20"/>
      <c r="X216" s="20"/>
      <c r="Y216" s="45"/>
      <c r="Z216" s="48"/>
      <c r="AA216" s="35"/>
      <c r="AB216" s="35"/>
      <c r="AC216" s="35"/>
      <c r="AD216" s="20"/>
      <c r="AE216" s="27"/>
      <c r="AF216" s="20"/>
      <c r="AG216" s="20"/>
      <c r="AH216" s="20"/>
      <c r="AI216" s="20"/>
      <c r="AJ216" s="20"/>
      <c r="AK216" s="45">
        <v>2010</v>
      </c>
      <c r="AL216" s="48" t="s">
        <v>44</v>
      </c>
      <c r="AM216" s="35">
        <f t="shared" si="163"/>
        <v>0.92176740627390974</v>
      </c>
      <c r="AN216" s="35">
        <f t="shared" si="164"/>
        <v>0.95520317145688804</v>
      </c>
      <c r="AO216" s="35">
        <f t="shared" si="165"/>
        <v>0.96499617444529462</v>
      </c>
      <c r="AP216" s="20">
        <v>5228</v>
      </c>
      <c r="AQ216" s="27">
        <f t="shared" si="208"/>
        <v>183</v>
      </c>
      <c r="AR216" s="20">
        <v>5045</v>
      </c>
      <c r="AS216" s="20">
        <v>4819</v>
      </c>
      <c r="AT216" s="20">
        <f t="shared" si="209"/>
        <v>226</v>
      </c>
      <c r="AU216" s="20"/>
      <c r="AV216" s="20"/>
      <c r="AW216" s="45">
        <v>2010</v>
      </c>
      <c r="AX216" s="48" t="s">
        <v>44</v>
      </c>
      <c r="AY216" s="35">
        <f t="shared" si="168"/>
        <v>0.78231292517006801</v>
      </c>
      <c r="AZ216" s="35">
        <f t="shared" si="169"/>
        <v>0.83484573502722326</v>
      </c>
      <c r="BA216" s="35">
        <f t="shared" si="170"/>
        <v>0.93707482993197277</v>
      </c>
      <c r="BB216" s="20">
        <v>588</v>
      </c>
      <c r="BC216" s="27">
        <f t="shared" si="210"/>
        <v>37</v>
      </c>
      <c r="BD216" s="20">
        <v>551</v>
      </c>
      <c r="BE216" s="20">
        <v>460</v>
      </c>
      <c r="BF216" s="20">
        <f t="shared" si="211"/>
        <v>91</v>
      </c>
      <c r="BG216" s="20"/>
      <c r="BH216" s="20"/>
      <c r="BI216" s="45">
        <v>2010</v>
      </c>
      <c r="BJ216" s="48" t="s">
        <v>44</v>
      </c>
      <c r="BK216" s="35">
        <f t="shared" si="173"/>
        <v>0.79646017699115046</v>
      </c>
      <c r="BL216" s="35">
        <f t="shared" si="174"/>
        <v>0.82790341126868527</v>
      </c>
      <c r="BM216" s="35">
        <f t="shared" si="175"/>
        <v>0.96202064896755157</v>
      </c>
      <c r="BN216" s="20">
        <v>2712</v>
      </c>
      <c r="BO216" s="27">
        <f t="shared" si="212"/>
        <v>103</v>
      </c>
      <c r="BP216" s="20">
        <v>2609</v>
      </c>
      <c r="BQ216" s="20">
        <v>2160</v>
      </c>
      <c r="BR216" s="20">
        <f t="shared" si="213"/>
        <v>449</v>
      </c>
      <c r="BS216" s="20"/>
      <c r="BT216" s="20"/>
      <c r="BU216" s="45">
        <v>2010</v>
      </c>
      <c r="BV216" s="48" t="s">
        <v>44</v>
      </c>
      <c r="BW216" s="35">
        <f t="shared" si="178"/>
        <v>0.91203533308796469</v>
      </c>
      <c r="BX216" s="35">
        <f t="shared" si="179"/>
        <v>0.94544067149942768</v>
      </c>
      <c r="BY216" s="35">
        <f t="shared" si="180"/>
        <v>0.96466691203533306</v>
      </c>
      <c r="BZ216" s="20">
        <v>2717</v>
      </c>
      <c r="CA216" s="27">
        <f t="shared" si="214"/>
        <v>96</v>
      </c>
      <c r="CB216" s="20">
        <v>2621</v>
      </c>
      <c r="CC216" s="20">
        <v>2478</v>
      </c>
      <c r="CD216" s="20">
        <f t="shared" si="215"/>
        <v>143</v>
      </c>
      <c r="CE216" s="20"/>
      <c r="CF216" s="20"/>
      <c r="CG216" s="45">
        <v>2010</v>
      </c>
      <c r="CH216" s="48" t="s">
        <v>44</v>
      </c>
      <c r="CI216" s="35">
        <f t="shared" si="203"/>
        <v>0.85297184567257556</v>
      </c>
      <c r="CJ216" s="35">
        <f t="shared" si="204"/>
        <v>0.8824163969795038</v>
      </c>
      <c r="CK216" s="35">
        <f t="shared" si="205"/>
        <v>0.96663190823774769</v>
      </c>
      <c r="CL216" s="20">
        <v>2877</v>
      </c>
      <c r="CM216" s="20">
        <f t="shared" si="186"/>
        <v>96</v>
      </c>
      <c r="CN216" s="20">
        <v>2781</v>
      </c>
      <c r="CO216" s="20">
        <v>2454</v>
      </c>
      <c r="CP216" s="20">
        <f t="shared" si="187"/>
        <v>327</v>
      </c>
      <c r="CQ216" s="20"/>
      <c r="CR216" s="20"/>
      <c r="CS216" s="45">
        <v>2010</v>
      </c>
      <c r="CT216" s="48" t="s">
        <v>44</v>
      </c>
      <c r="CU216" s="35">
        <f t="shared" si="188"/>
        <v>0.79735234215885942</v>
      </c>
      <c r="CV216" s="35">
        <f t="shared" si="189"/>
        <v>0.88775510204081631</v>
      </c>
      <c r="CW216" s="35">
        <f t="shared" si="190"/>
        <v>0.89816700610997968</v>
      </c>
      <c r="CX216" s="20">
        <v>982</v>
      </c>
      <c r="CY216" s="27">
        <f t="shared" si="216"/>
        <v>100</v>
      </c>
      <c r="CZ216" s="20">
        <v>882</v>
      </c>
      <c r="DA216" s="20">
        <v>783</v>
      </c>
      <c r="DB216" s="20">
        <f t="shared" si="217"/>
        <v>99</v>
      </c>
      <c r="DC216" s="20"/>
      <c r="DD216" s="20"/>
      <c r="DE216" s="45">
        <v>2010</v>
      </c>
      <c r="DF216" s="48" t="s">
        <v>44</v>
      </c>
      <c r="DG216" s="35">
        <f t="shared" si="193"/>
        <v>0.98346513299784333</v>
      </c>
      <c r="DH216" s="35">
        <f t="shared" si="194"/>
        <v>0.99058653149891385</v>
      </c>
      <c r="DI216" s="35">
        <f t="shared" si="195"/>
        <v>0.99281092739036669</v>
      </c>
      <c r="DJ216" s="20">
        <v>1391</v>
      </c>
      <c r="DK216" s="27">
        <f t="shared" si="218"/>
        <v>10</v>
      </c>
      <c r="DL216" s="20">
        <v>1381</v>
      </c>
      <c r="DM216" s="20">
        <v>1368</v>
      </c>
      <c r="DN216" s="20">
        <f t="shared" si="219"/>
        <v>13</v>
      </c>
      <c r="DO216" s="20"/>
      <c r="DP216" s="20"/>
      <c r="DQ216" s="45"/>
      <c r="DR216" s="48"/>
      <c r="DS216" s="35"/>
      <c r="DT216" s="35"/>
      <c r="DU216" s="35"/>
      <c r="DV216" s="20"/>
      <c r="DW216" s="20"/>
      <c r="DX216" s="20"/>
      <c r="DY216" s="20"/>
      <c r="DZ216" s="20"/>
      <c r="EA216" s="20"/>
      <c r="EB216" s="20"/>
    </row>
    <row r="217" spans="1:142" s="29" customFormat="1" ht="12.75">
      <c r="A217" s="46">
        <v>2010</v>
      </c>
      <c r="B217" s="47" t="s">
        <v>45</v>
      </c>
      <c r="C217" s="35">
        <f t="shared" si="198"/>
        <v>0.90397761159792633</v>
      </c>
      <c r="D217" s="35">
        <f t="shared" si="199"/>
        <v>0.92537453623256472</v>
      </c>
      <c r="E217" s="35">
        <f t="shared" si="200"/>
        <v>0.97687755195669124</v>
      </c>
      <c r="F21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21797</v>
      </c>
      <c r="G217" s="20">
        <f t="shared" si="201"/>
        <v>504</v>
      </c>
      <c r="H21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21293</v>
      </c>
      <c r="I21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19704</v>
      </c>
      <c r="J217" s="20">
        <f t="shared" si="202"/>
        <v>1589</v>
      </c>
      <c r="K217" s="27"/>
      <c r="L217" s="27"/>
      <c r="M217" s="46">
        <v>2010</v>
      </c>
      <c r="N217" s="47" t="s">
        <v>45</v>
      </c>
      <c r="O217" s="35">
        <f t="shared" si="158"/>
        <v>0.90293954520244035</v>
      </c>
      <c r="P217" s="35">
        <f t="shared" si="159"/>
        <v>0.94596165020337009</v>
      </c>
      <c r="Q217" s="35">
        <f t="shared" si="160"/>
        <v>0.95452024403771496</v>
      </c>
      <c r="R217" s="20">
        <v>5409</v>
      </c>
      <c r="S217" s="27">
        <f t="shared" si="206"/>
        <v>246</v>
      </c>
      <c r="T217" s="20">
        <v>5163</v>
      </c>
      <c r="U217" s="20">
        <v>4884</v>
      </c>
      <c r="V217" s="20">
        <f t="shared" si="207"/>
        <v>279</v>
      </c>
      <c r="W217" s="20"/>
      <c r="X217" s="20"/>
      <c r="Y217" s="46"/>
      <c r="Z217" s="47"/>
      <c r="AA217" s="35"/>
      <c r="AB217" s="35"/>
      <c r="AC217" s="35"/>
      <c r="AD217" s="20"/>
      <c r="AE217" s="27"/>
      <c r="AF217" s="20"/>
      <c r="AG217" s="20"/>
      <c r="AH217" s="20"/>
      <c r="AI217" s="20"/>
      <c r="AJ217" s="20"/>
      <c r="AK217" s="46">
        <v>2010</v>
      </c>
      <c r="AL217" s="47" t="s">
        <v>45</v>
      </c>
      <c r="AM217" s="35">
        <f t="shared" si="163"/>
        <v>0.94681677018633537</v>
      </c>
      <c r="AN217" s="35">
        <f t="shared" si="164"/>
        <v>0.95966948652370643</v>
      </c>
      <c r="AO217" s="35">
        <f t="shared" si="165"/>
        <v>0.9866071428571429</v>
      </c>
      <c r="AP217" s="20">
        <v>5152</v>
      </c>
      <c r="AQ217" s="27">
        <f t="shared" si="208"/>
        <v>69</v>
      </c>
      <c r="AR217" s="20">
        <v>5083</v>
      </c>
      <c r="AS217" s="20">
        <v>4878</v>
      </c>
      <c r="AT217" s="20">
        <f t="shared" si="209"/>
        <v>205</v>
      </c>
      <c r="AU217" s="20"/>
      <c r="AV217" s="20"/>
      <c r="AW217" s="46">
        <v>2010</v>
      </c>
      <c r="AX217" s="47" t="s">
        <v>45</v>
      </c>
      <c r="AY217" s="35">
        <f t="shared" si="168"/>
        <v>0.8571428571428571</v>
      </c>
      <c r="AZ217" s="35">
        <f t="shared" si="169"/>
        <v>0.88266199649737298</v>
      </c>
      <c r="BA217" s="35">
        <f t="shared" si="170"/>
        <v>0.97108843537414968</v>
      </c>
      <c r="BB217" s="20">
        <v>588</v>
      </c>
      <c r="BC217" s="27">
        <f t="shared" si="210"/>
        <v>17</v>
      </c>
      <c r="BD217" s="20">
        <v>571</v>
      </c>
      <c r="BE217" s="20">
        <v>504</v>
      </c>
      <c r="BF217" s="20">
        <f t="shared" si="211"/>
        <v>67</v>
      </c>
      <c r="BG217" s="20"/>
      <c r="BH217" s="20"/>
      <c r="BI217" s="46">
        <v>2010</v>
      </c>
      <c r="BJ217" s="47" t="s">
        <v>45</v>
      </c>
      <c r="BK217" s="35">
        <f t="shared" si="173"/>
        <v>0.7911111111111111</v>
      </c>
      <c r="BL217" s="35">
        <f t="shared" si="174"/>
        <v>0.82059162504802152</v>
      </c>
      <c r="BM217" s="35">
        <f t="shared" si="175"/>
        <v>0.96407407407407408</v>
      </c>
      <c r="BN217" s="20">
        <v>2700</v>
      </c>
      <c r="BO217" s="27">
        <f t="shared" si="212"/>
        <v>97</v>
      </c>
      <c r="BP217" s="20">
        <v>2603</v>
      </c>
      <c r="BQ217" s="20">
        <v>2136</v>
      </c>
      <c r="BR217" s="20">
        <f t="shared" si="213"/>
        <v>467</v>
      </c>
      <c r="BS217" s="20"/>
      <c r="BT217" s="20"/>
      <c r="BU217" s="46">
        <v>2010</v>
      </c>
      <c r="BV217" s="47" t="s">
        <v>45</v>
      </c>
      <c r="BW217" s="35">
        <f t="shared" si="178"/>
        <v>0.94082840236686394</v>
      </c>
      <c r="BX217" s="35">
        <f t="shared" si="179"/>
        <v>0.9545966228893058</v>
      </c>
      <c r="BY217" s="35">
        <f t="shared" si="180"/>
        <v>0.98557692307692313</v>
      </c>
      <c r="BZ217" s="20">
        <v>2704</v>
      </c>
      <c r="CA217" s="27">
        <f t="shared" si="214"/>
        <v>39</v>
      </c>
      <c r="CB217" s="20">
        <v>2665</v>
      </c>
      <c r="CC217" s="20">
        <v>2544</v>
      </c>
      <c r="CD217" s="20">
        <f t="shared" si="215"/>
        <v>121</v>
      </c>
      <c r="CE217" s="20"/>
      <c r="CF217" s="20"/>
      <c r="CG217" s="46">
        <v>2010</v>
      </c>
      <c r="CH217" s="47" t="s">
        <v>45</v>
      </c>
      <c r="CI217" s="35">
        <f t="shared" si="203"/>
        <v>0.8881944444444444</v>
      </c>
      <c r="CJ217" s="35">
        <f t="shared" si="204"/>
        <v>0.89440559440559442</v>
      </c>
      <c r="CK217" s="35">
        <f t="shared" si="205"/>
        <v>0.99305555555555558</v>
      </c>
      <c r="CL217" s="20">
        <v>2880</v>
      </c>
      <c r="CM217" s="20">
        <f t="shared" si="186"/>
        <v>20</v>
      </c>
      <c r="CN217" s="20">
        <v>2860</v>
      </c>
      <c r="CO217" s="20">
        <v>2558</v>
      </c>
      <c r="CP217" s="20">
        <f t="shared" si="187"/>
        <v>302</v>
      </c>
      <c r="CQ217" s="20"/>
      <c r="CR217" s="20"/>
      <c r="CS217" s="46">
        <v>2010</v>
      </c>
      <c r="CT217" s="47" t="s">
        <v>45</v>
      </c>
      <c r="CU217" s="35">
        <f t="shared" si="188"/>
        <v>0.86326530612244901</v>
      </c>
      <c r="CV217" s="35">
        <f t="shared" si="189"/>
        <v>0.86680327868852458</v>
      </c>
      <c r="CW217" s="35">
        <f t="shared" si="190"/>
        <v>0.99591836734693873</v>
      </c>
      <c r="CX217" s="20">
        <v>980</v>
      </c>
      <c r="CY217" s="27">
        <f t="shared" si="216"/>
        <v>4</v>
      </c>
      <c r="CZ217" s="20">
        <v>976</v>
      </c>
      <c r="DA217" s="20">
        <v>846</v>
      </c>
      <c r="DB217" s="20">
        <f t="shared" si="217"/>
        <v>130</v>
      </c>
      <c r="DC217" s="20"/>
      <c r="DD217" s="20"/>
      <c r="DE217" s="46">
        <v>2010</v>
      </c>
      <c r="DF217" s="47" t="s">
        <v>45</v>
      </c>
      <c r="DG217" s="35">
        <f t="shared" si="193"/>
        <v>0.97832369942196529</v>
      </c>
      <c r="DH217" s="35">
        <f t="shared" si="194"/>
        <v>0.98688046647230321</v>
      </c>
      <c r="DI217" s="35">
        <f t="shared" si="195"/>
        <v>0.99132947976878616</v>
      </c>
      <c r="DJ217" s="20">
        <v>1384</v>
      </c>
      <c r="DK217" s="27">
        <f t="shared" si="218"/>
        <v>12</v>
      </c>
      <c r="DL217" s="20">
        <v>1372</v>
      </c>
      <c r="DM217" s="20">
        <v>1354</v>
      </c>
      <c r="DN217" s="20">
        <f t="shared" si="219"/>
        <v>18</v>
      </c>
      <c r="DO217" s="20"/>
      <c r="DP217" s="20"/>
      <c r="DQ217" s="46"/>
      <c r="DR217" s="47"/>
      <c r="DS217" s="35"/>
      <c r="DT217" s="35"/>
      <c r="DU217" s="35"/>
      <c r="DV217" s="20"/>
      <c r="DW217" s="20"/>
      <c r="DX217" s="20"/>
      <c r="DY217" s="20"/>
      <c r="DZ217" s="20"/>
      <c r="EA217" s="20"/>
      <c r="EB217" s="20"/>
    </row>
    <row r="218" spans="1:142" s="29" customFormat="1" ht="12.75">
      <c r="A218" s="45">
        <v>2010</v>
      </c>
      <c r="B218" s="48" t="s">
        <v>46</v>
      </c>
      <c r="C218" s="35">
        <f t="shared" si="198"/>
        <v>0.89290012033694344</v>
      </c>
      <c r="D218" s="35">
        <f t="shared" si="199"/>
        <v>0.91919191919191923</v>
      </c>
      <c r="E218" s="35">
        <f t="shared" si="200"/>
        <v>0.97139683421271872</v>
      </c>
      <c r="F21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21606</v>
      </c>
      <c r="G218" s="20">
        <f t="shared" si="201"/>
        <v>618</v>
      </c>
      <c r="H21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20988</v>
      </c>
      <c r="I21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J218" s="20">
        <f t="shared" si="202"/>
        <v>1696</v>
      </c>
      <c r="K218" s="27"/>
      <c r="L218" s="27"/>
      <c r="M218" s="45">
        <v>2010</v>
      </c>
      <c r="N218" s="48" t="s">
        <v>46</v>
      </c>
      <c r="O218" s="35">
        <f t="shared" si="158"/>
        <v>0.88175799926443543</v>
      </c>
      <c r="P218" s="35">
        <f t="shared" si="159"/>
        <v>0.94426939740055138</v>
      </c>
      <c r="Q218" s="35">
        <f t="shared" si="160"/>
        <v>0.93379919087899965</v>
      </c>
      <c r="R218" s="20">
        <v>5438</v>
      </c>
      <c r="S218" s="27">
        <f t="shared" si="206"/>
        <v>360</v>
      </c>
      <c r="T218" s="20">
        <v>5078</v>
      </c>
      <c r="U218" s="20">
        <v>4795</v>
      </c>
      <c r="V218" s="20">
        <f t="shared" si="207"/>
        <v>283</v>
      </c>
      <c r="W218" s="20"/>
      <c r="X218" s="20"/>
      <c r="Y218" s="45"/>
      <c r="Z218" s="48"/>
      <c r="AA218" s="35"/>
      <c r="AB218" s="35"/>
      <c r="AC218" s="35"/>
      <c r="AD218" s="20"/>
      <c r="AE218" s="27"/>
      <c r="AF218" s="20"/>
      <c r="AG218" s="20"/>
      <c r="AH218" s="20"/>
      <c r="AI218" s="20"/>
      <c r="AJ218" s="20"/>
      <c r="AK218" s="45">
        <v>2010</v>
      </c>
      <c r="AL218" s="48" t="s">
        <v>46</v>
      </c>
      <c r="AM218" s="35">
        <f t="shared" si="163"/>
        <v>0.94307992202729041</v>
      </c>
      <c r="AN218" s="35">
        <f t="shared" si="164"/>
        <v>0.95801980198019798</v>
      </c>
      <c r="AO218" s="35">
        <f t="shared" si="165"/>
        <v>0.98440545808966862</v>
      </c>
      <c r="AP218" s="20">
        <v>5130</v>
      </c>
      <c r="AQ218" s="27">
        <f t="shared" si="208"/>
        <v>80</v>
      </c>
      <c r="AR218" s="20">
        <v>5050</v>
      </c>
      <c r="AS218" s="20">
        <v>4838</v>
      </c>
      <c r="AT218" s="20">
        <f t="shared" si="209"/>
        <v>212</v>
      </c>
      <c r="AU218" s="20"/>
      <c r="AV218" s="20"/>
      <c r="AW218" s="45">
        <v>2010</v>
      </c>
      <c r="AX218" s="48" t="s">
        <v>46</v>
      </c>
      <c r="AY218" s="35">
        <f t="shared" si="168"/>
        <v>0.84577922077922074</v>
      </c>
      <c r="AZ218" s="35">
        <f t="shared" si="169"/>
        <v>0.87563025210084033</v>
      </c>
      <c r="BA218" s="35">
        <f t="shared" si="170"/>
        <v>0.96590909090909094</v>
      </c>
      <c r="BB218" s="20">
        <v>616</v>
      </c>
      <c r="BC218" s="27">
        <f t="shared" si="210"/>
        <v>21</v>
      </c>
      <c r="BD218" s="20">
        <v>595</v>
      </c>
      <c r="BE218" s="20">
        <v>521</v>
      </c>
      <c r="BF218" s="20">
        <f t="shared" si="211"/>
        <v>74</v>
      </c>
      <c r="BG218" s="20"/>
      <c r="BH218" s="20"/>
      <c r="BI218" s="45">
        <v>2010</v>
      </c>
      <c r="BJ218" s="48" t="s">
        <v>46</v>
      </c>
      <c r="BK218" s="35">
        <f t="shared" si="173"/>
        <v>0.75453172205438068</v>
      </c>
      <c r="BL218" s="35">
        <f t="shared" si="174"/>
        <v>0.7711308375144732</v>
      </c>
      <c r="BM218" s="35">
        <f t="shared" si="175"/>
        <v>0.9784743202416919</v>
      </c>
      <c r="BN218" s="20">
        <v>2648</v>
      </c>
      <c r="BO218" s="27">
        <f t="shared" si="212"/>
        <v>57</v>
      </c>
      <c r="BP218" s="20">
        <v>2591</v>
      </c>
      <c r="BQ218" s="20">
        <v>1998</v>
      </c>
      <c r="BR218" s="20">
        <f t="shared" si="213"/>
        <v>593</v>
      </c>
      <c r="BS218" s="20"/>
      <c r="BT218" s="20"/>
      <c r="BU218" s="45">
        <v>2010</v>
      </c>
      <c r="BV218" s="48" t="s">
        <v>46</v>
      </c>
      <c r="BW218" s="35">
        <f t="shared" si="178"/>
        <v>0.92006033182503766</v>
      </c>
      <c r="BX218" s="35">
        <f t="shared" si="179"/>
        <v>0.9373799462159047</v>
      </c>
      <c r="BY218" s="35">
        <f t="shared" si="180"/>
        <v>0.98152337858220207</v>
      </c>
      <c r="BZ218" s="20">
        <v>2652</v>
      </c>
      <c r="CA218" s="27">
        <f t="shared" si="214"/>
        <v>49</v>
      </c>
      <c r="CB218" s="20">
        <v>2603</v>
      </c>
      <c r="CC218" s="20">
        <v>2440</v>
      </c>
      <c r="CD218" s="20">
        <f t="shared" si="215"/>
        <v>163</v>
      </c>
      <c r="CE218" s="20"/>
      <c r="CF218" s="20"/>
      <c r="CG218" s="45">
        <v>2010</v>
      </c>
      <c r="CH218" s="48" t="s">
        <v>46</v>
      </c>
      <c r="CI218" s="35">
        <f t="shared" si="203"/>
        <v>0.90525195173882189</v>
      </c>
      <c r="CJ218" s="35">
        <f t="shared" si="204"/>
        <v>0.91400931565747046</v>
      </c>
      <c r="CK218" s="35">
        <f t="shared" si="205"/>
        <v>0.99041873669268987</v>
      </c>
      <c r="CL218" s="20">
        <v>2818</v>
      </c>
      <c r="CM218" s="20">
        <f t="shared" si="186"/>
        <v>27</v>
      </c>
      <c r="CN218" s="20">
        <v>2791</v>
      </c>
      <c r="CO218" s="20">
        <v>2551</v>
      </c>
      <c r="CP218" s="20">
        <f t="shared" si="187"/>
        <v>240</v>
      </c>
      <c r="CQ218" s="20"/>
      <c r="CR218" s="20"/>
      <c r="CS218" s="45">
        <v>2010</v>
      </c>
      <c r="CT218" s="48" t="s">
        <v>46</v>
      </c>
      <c r="CU218" s="35">
        <f t="shared" si="188"/>
        <v>0.85189075630252098</v>
      </c>
      <c r="CV218" s="35">
        <f t="shared" si="189"/>
        <v>0.86552828175026686</v>
      </c>
      <c r="CW218" s="35">
        <f t="shared" si="190"/>
        <v>0.98424369747899154</v>
      </c>
      <c r="CX218" s="20">
        <v>952</v>
      </c>
      <c r="CY218" s="27">
        <f t="shared" si="216"/>
        <v>15</v>
      </c>
      <c r="CZ218" s="20">
        <v>937</v>
      </c>
      <c r="DA218" s="20">
        <v>811</v>
      </c>
      <c r="DB218" s="20">
        <f t="shared" si="217"/>
        <v>126</v>
      </c>
      <c r="DC218" s="20"/>
      <c r="DD218" s="20"/>
      <c r="DE218" s="45">
        <v>2010</v>
      </c>
      <c r="DF218" s="48" t="s">
        <v>46</v>
      </c>
      <c r="DG218" s="35">
        <f t="shared" si="193"/>
        <v>0.98964497041420119</v>
      </c>
      <c r="DH218" s="35">
        <f t="shared" si="194"/>
        <v>0.99627699180938201</v>
      </c>
      <c r="DI218" s="35">
        <f t="shared" si="195"/>
        <v>0.99334319526627224</v>
      </c>
      <c r="DJ218" s="20">
        <v>1352</v>
      </c>
      <c r="DK218" s="27">
        <f t="shared" si="218"/>
        <v>9</v>
      </c>
      <c r="DL218" s="20">
        <v>1343</v>
      </c>
      <c r="DM218" s="20">
        <v>1338</v>
      </c>
      <c r="DN218" s="20">
        <f t="shared" si="219"/>
        <v>5</v>
      </c>
      <c r="DO218" s="20"/>
      <c r="DP218" s="20"/>
      <c r="DQ218" s="45"/>
      <c r="DR218" s="48"/>
      <c r="DS218" s="35"/>
      <c r="DT218" s="35"/>
      <c r="DU218" s="35"/>
      <c r="DV218" s="20"/>
      <c r="DW218" s="20"/>
      <c r="DX218" s="20"/>
      <c r="DY218" s="20"/>
      <c r="DZ218" s="20"/>
      <c r="EA218" s="20"/>
      <c r="EB218" s="20"/>
    </row>
    <row r="219" spans="1:142" s="29" customFormat="1" ht="12.75">
      <c r="A219" s="46">
        <v>2010</v>
      </c>
      <c r="B219" s="47" t="s">
        <v>47</v>
      </c>
      <c r="C219" s="35">
        <f t="shared" si="198"/>
        <v>0.85793702700177521</v>
      </c>
      <c r="D219" s="35">
        <f t="shared" si="199"/>
        <v>0.91309103564858551</v>
      </c>
      <c r="E219" s="35">
        <f t="shared" si="200"/>
        <v>0.93959637484817338</v>
      </c>
      <c r="F21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21406</v>
      </c>
      <c r="G219" s="20">
        <f t="shared" si="201"/>
        <v>1293</v>
      </c>
      <c r="H21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20113</v>
      </c>
      <c r="I21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18365</v>
      </c>
      <c r="J219" s="20">
        <f t="shared" si="202"/>
        <v>1748</v>
      </c>
      <c r="K219" s="27"/>
      <c r="L219" s="27"/>
      <c r="M219" s="46">
        <v>2010</v>
      </c>
      <c r="N219" s="47" t="s">
        <v>47</v>
      </c>
      <c r="O219" s="35">
        <f t="shared" si="158"/>
        <v>0.8012492901760363</v>
      </c>
      <c r="P219" s="35">
        <f t="shared" si="159"/>
        <v>0.92992091388400699</v>
      </c>
      <c r="Q219" s="35">
        <f t="shared" si="160"/>
        <v>0.86163164868445963</v>
      </c>
      <c r="R219" s="20">
        <v>5283</v>
      </c>
      <c r="S219" s="27">
        <f t="shared" si="206"/>
        <v>731</v>
      </c>
      <c r="T219" s="20">
        <v>4552</v>
      </c>
      <c r="U219" s="20">
        <v>4233</v>
      </c>
      <c r="V219" s="20">
        <f t="shared" si="207"/>
        <v>319</v>
      </c>
      <c r="W219" s="20"/>
      <c r="X219" s="20"/>
      <c r="Y219" s="46"/>
      <c r="Z219" s="47"/>
      <c r="AA219" s="35"/>
      <c r="AB219" s="35"/>
      <c r="AC219" s="35"/>
      <c r="AD219" s="20"/>
      <c r="AE219" s="27"/>
      <c r="AF219" s="20"/>
      <c r="AG219" s="20"/>
      <c r="AH219" s="20"/>
      <c r="AI219" s="20"/>
      <c r="AJ219" s="20"/>
      <c r="AK219" s="46">
        <v>2010</v>
      </c>
      <c r="AL219" s="47" t="s">
        <v>47</v>
      </c>
      <c r="AM219" s="35">
        <f t="shared" si="163"/>
        <v>0.91804257012134471</v>
      </c>
      <c r="AN219" s="35">
        <f t="shared" si="164"/>
        <v>0.94841759145088367</v>
      </c>
      <c r="AO219" s="35">
        <f t="shared" si="165"/>
        <v>0.96797294609110807</v>
      </c>
      <c r="AP219" s="20">
        <v>5027</v>
      </c>
      <c r="AQ219" s="27">
        <f t="shared" si="208"/>
        <v>161</v>
      </c>
      <c r="AR219" s="20">
        <v>4866</v>
      </c>
      <c r="AS219" s="20">
        <v>4615</v>
      </c>
      <c r="AT219" s="20">
        <f t="shared" si="209"/>
        <v>251</v>
      </c>
      <c r="AU219" s="20"/>
      <c r="AV219" s="20"/>
      <c r="AW219" s="46">
        <v>2010</v>
      </c>
      <c r="AX219" s="47" t="s">
        <v>47</v>
      </c>
      <c r="AY219" s="35">
        <f t="shared" si="168"/>
        <v>0.8007518796992481</v>
      </c>
      <c r="AZ219" s="35">
        <f t="shared" si="169"/>
        <v>0.8693877551020408</v>
      </c>
      <c r="BA219" s="35">
        <f t="shared" si="170"/>
        <v>0.92105263157894735</v>
      </c>
      <c r="BB219" s="20">
        <v>532</v>
      </c>
      <c r="BC219" s="27">
        <f t="shared" si="210"/>
        <v>42</v>
      </c>
      <c r="BD219" s="20">
        <v>490</v>
      </c>
      <c r="BE219" s="20">
        <v>426</v>
      </c>
      <c r="BF219" s="20">
        <f t="shared" si="211"/>
        <v>64</v>
      </c>
      <c r="BG219" s="20"/>
      <c r="BH219" s="20"/>
      <c r="BI219" s="46">
        <v>2010</v>
      </c>
      <c r="BJ219" s="47" t="s">
        <v>47</v>
      </c>
      <c r="BK219" s="35">
        <f t="shared" si="173"/>
        <v>0.78181137724550898</v>
      </c>
      <c r="BL219" s="35">
        <f t="shared" si="174"/>
        <v>0.80968992248062011</v>
      </c>
      <c r="BM219" s="35">
        <f t="shared" si="175"/>
        <v>0.96556886227544914</v>
      </c>
      <c r="BN219" s="20">
        <v>2672</v>
      </c>
      <c r="BO219" s="27">
        <f t="shared" si="212"/>
        <v>92</v>
      </c>
      <c r="BP219" s="20">
        <v>2580</v>
      </c>
      <c r="BQ219" s="20">
        <v>2089</v>
      </c>
      <c r="BR219" s="20">
        <f t="shared" si="213"/>
        <v>491</v>
      </c>
      <c r="BS219" s="20"/>
      <c r="BT219" s="20"/>
      <c r="BU219" s="46">
        <v>2010</v>
      </c>
      <c r="BV219" s="47" t="s">
        <v>47</v>
      </c>
      <c r="BW219" s="35">
        <f t="shared" si="178"/>
        <v>0.91296227119910345</v>
      </c>
      <c r="BX219" s="35">
        <f t="shared" si="179"/>
        <v>0.94875776397515532</v>
      </c>
      <c r="BY219" s="35">
        <f t="shared" si="180"/>
        <v>0.96227119910347403</v>
      </c>
      <c r="BZ219" s="20">
        <v>2677</v>
      </c>
      <c r="CA219" s="27">
        <f t="shared" si="214"/>
        <v>101</v>
      </c>
      <c r="CB219" s="20">
        <v>2576</v>
      </c>
      <c r="CC219" s="20">
        <v>2444</v>
      </c>
      <c r="CD219" s="20">
        <f t="shared" si="215"/>
        <v>132</v>
      </c>
      <c r="CE219" s="20"/>
      <c r="CF219" s="20"/>
      <c r="CG219" s="46">
        <v>2010</v>
      </c>
      <c r="CH219" s="47" t="s">
        <v>47</v>
      </c>
      <c r="CI219" s="35">
        <f t="shared" si="203"/>
        <v>0.8311188811188811</v>
      </c>
      <c r="CJ219" s="35">
        <f t="shared" si="204"/>
        <v>0.85967450271247736</v>
      </c>
      <c r="CK219" s="35">
        <f t="shared" si="205"/>
        <v>0.96678321678321677</v>
      </c>
      <c r="CL219" s="20">
        <v>2860</v>
      </c>
      <c r="CM219" s="20">
        <f t="shared" si="186"/>
        <v>95</v>
      </c>
      <c r="CN219" s="20">
        <v>2765</v>
      </c>
      <c r="CO219" s="20">
        <v>2377</v>
      </c>
      <c r="CP219" s="20">
        <f t="shared" si="187"/>
        <v>388</v>
      </c>
      <c r="CQ219" s="20"/>
      <c r="CR219" s="20"/>
      <c r="CS219" s="46">
        <v>2010</v>
      </c>
      <c r="CT219" s="47" t="s">
        <v>47</v>
      </c>
      <c r="CU219" s="35">
        <f t="shared" si="188"/>
        <v>0.85889570552147243</v>
      </c>
      <c r="CV219" s="35">
        <f t="shared" si="189"/>
        <v>0.8936170212765957</v>
      </c>
      <c r="CW219" s="35">
        <f t="shared" si="190"/>
        <v>0.96114519427402867</v>
      </c>
      <c r="CX219" s="20">
        <v>978</v>
      </c>
      <c r="CY219" s="27">
        <f t="shared" si="216"/>
        <v>38</v>
      </c>
      <c r="CZ219" s="20">
        <v>940</v>
      </c>
      <c r="DA219" s="20">
        <v>840</v>
      </c>
      <c r="DB219" s="20">
        <f t="shared" si="217"/>
        <v>100</v>
      </c>
      <c r="DC219" s="20"/>
      <c r="DD219" s="20"/>
      <c r="DE219" s="46">
        <v>2010</v>
      </c>
      <c r="DF219" s="47" t="s">
        <v>47</v>
      </c>
      <c r="DG219" s="35">
        <f t="shared" si="193"/>
        <v>0.97385620915032678</v>
      </c>
      <c r="DH219" s="35">
        <f t="shared" si="194"/>
        <v>0.9977678571428571</v>
      </c>
      <c r="DI219" s="35">
        <f t="shared" si="195"/>
        <v>0.97603485838779958</v>
      </c>
      <c r="DJ219" s="20">
        <v>1377</v>
      </c>
      <c r="DK219" s="27">
        <f t="shared" si="218"/>
        <v>33</v>
      </c>
      <c r="DL219" s="20">
        <v>1344</v>
      </c>
      <c r="DM219" s="20">
        <v>1341</v>
      </c>
      <c r="DN219" s="20">
        <f t="shared" si="219"/>
        <v>3</v>
      </c>
      <c r="DO219" s="20"/>
      <c r="DP219" s="20"/>
      <c r="DQ219" s="46"/>
      <c r="DR219" s="47"/>
      <c r="DS219" s="35"/>
      <c r="DT219" s="35"/>
      <c r="DU219" s="35"/>
      <c r="DV219" s="20"/>
      <c r="DW219" s="20"/>
      <c r="DX219" s="20"/>
      <c r="DY219" s="20"/>
      <c r="DZ219" s="20"/>
      <c r="EA219" s="20"/>
      <c r="EB219" s="20"/>
    </row>
    <row r="220" spans="1:142" s="29" customFormat="1" ht="12.75">
      <c r="A220" s="45">
        <v>2010</v>
      </c>
      <c r="B220" s="48" t="s">
        <v>48</v>
      </c>
      <c r="C220" s="35">
        <f t="shared" si="198"/>
        <v>0.88763781374618811</v>
      </c>
      <c r="D220" s="35">
        <f t="shared" si="199"/>
        <v>0.92554544565111041</v>
      </c>
      <c r="E220" s="35">
        <f t="shared" si="200"/>
        <v>0.95904292751583387</v>
      </c>
      <c r="F22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21315</v>
      </c>
      <c r="G220" s="20">
        <f t="shared" si="201"/>
        <v>873</v>
      </c>
      <c r="H22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20442</v>
      </c>
      <c r="I22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18920</v>
      </c>
      <c r="J220" s="20">
        <f t="shared" si="202"/>
        <v>1522</v>
      </c>
      <c r="K220" s="27"/>
      <c r="L220" s="27"/>
      <c r="M220" s="45">
        <v>2010</v>
      </c>
      <c r="N220" s="48" t="s">
        <v>48</v>
      </c>
      <c r="O220" s="35">
        <f t="shared" si="158"/>
        <v>0.86472795497185739</v>
      </c>
      <c r="P220" s="35">
        <f t="shared" si="159"/>
        <v>0.95207601735178682</v>
      </c>
      <c r="Q220" s="35">
        <f t="shared" si="160"/>
        <v>0.90825515947467172</v>
      </c>
      <c r="R220" s="20">
        <v>5330</v>
      </c>
      <c r="S220" s="27">
        <f t="shared" si="206"/>
        <v>489</v>
      </c>
      <c r="T220" s="20">
        <v>4841</v>
      </c>
      <c r="U220" s="20">
        <v>4609</v>
      </c>
      <c r="V220" s="20">
        <f t="shared" si="207"/>
        <v>232</v>
      </c>
      <c r="W220" s="20"/>
      <c r="X220" s="20"/>
      <c r="Y220" s="45"/>
      <c r="Z220" s="48"/>
      <c r="AA220" s="35"/>
      <c r="AB220" s="35"/>
      <c r="AC220" s="35"/>
      <c r="AD220" s="20"/>
      <c r="AE220" s="27"/>
      <c r="AF220" s="20"/>
      <c r="AG220" s="20"/>
      <c r="AH220" s="20"/>
      <c r="AI220" s="20"/>
      <c r="AJ220" s="20"/>
      <c r="AK220" s="45">
        <v>2010</v>
      </c>
      <c r="AL220" s="48" t="s">
        <v>48</v>
      </c>
      <c r="AM220" s="35">
        <f t="shared" si="163"/>
        <v>0.94067460317460316</v>
      </c>
      <c r="AN220" s="35">
        <f t="shared" si="164"/>
        <v>0.9618583891255833</v>
      </c>
      <c r="AO220" s="35">
        <f t="shared" si="165"/>
        <v>0.97797619047619044</v>
      </c>
      <c r="AP220" s="20">
        <v>5040</v>
      </c>
      <c r="AQ220" s="27">
        <f t="shared" si="208"/>
        <v>111</v>
      </c>
      <c r="AR220" s="20">
        <v>4929</v>
      </c>
      <c r="AS220" s="20">
        <v>4741</v>
      </c>
      <c r="AT220" s="20">
        <f t="shared" si="209"/>
        <v>188</v>
      </c>
      <c r="AU220" s="20"/>
      <c r="AV220" s="20"/>
      <c r="AW220" s="45">
        <v>2010</v>
      </c>
      <c r="AX220" s="48" t="s">
        <v>48</v>
      </c>
      <c r="AY220" s="35">
        <f t="shared" si="168"/>
        <v>0.86394557823129248</v>
      </c>
      <c r="AZ220" s="35">
        <f t="shared" si="169"/>
        <v>0.90714285714285714</v>
      </c>
      <c r="BA220" s="35">
        <f t="shared" si="170"/>
        <v>0.95238095238095233</v>
      </c>
      <c r="BB220" s="20">
        <v>588</v>
      </c>
      <c r="BC220" s="27">
        <f t="shared" si="210"/>
        <v>28</v>
      </c>
      <c r="BD220" s="20">
        <v>560</v>
      </c>
      <c r="BE220" s="20">
        <v>508</v>
      </c>
      <c r="BF220" s="20">
        <f t="shared" si="211"/>
        <v>52</v>
      </c>
      <c r="BG220" s="20"/>
      <c r="BH220" s="20"/>
      <c r="BI220" s="45">
        <v>2010</v>
      </c>
      <c r="BJ220" s="48" t="s">
        <v>48</v>
      </c>
      <c r="BK220" s="35">
        <f t="shared" si="173"/>
        <v>0.78196347031963476</v>
      </c>
      <c r="BL220" s="35">
        <f t="shared" si="174"/>
        <v>0.80430528375733856</v>
      </c>
      <c r="BM220" s="35">
        <f t="shared" si="175"/>
        <v>0.97222222222222221</v>
      </c>
      <c r="BN220" s="20">
        <v>2628</v>
      </c>
      <c r="BO220" s="27">
        <f t="shared" si="212"/>
        <v>73</v>
      </c>
      <c r="BP220" s="20">
        <v>2555</v>
      </c>
      <c r="BQ220" s="20">
        <v>2055</v>
      </c>
      <c r="BR220" s="20">
        <f t="shared" si="213"/>
        <v>500</v>
      </c>
      <c r="BS220" s="20"/>
      <c r="BT220" s="20"/>
      <c r="BU220" s="45">
        <v>2010</v>
      </c>
      <c r="BV220" s="48" t="s">
        <v>48</v>
      </c>
      <c r="BW220" s="35">
        <f t="shared" si="178"/>
        <v>0.91831306990881456</v>
      </c>
      <c r="BX220" s="35">
        <f t="shared" si="179"/>
        <v>0.94635865309318712</v>
      </c>
      <c r="BY220" s="35">
        <f t="shared" si="180"/>
        <v>0.97036474164133735</v>
      </c>
      <c r="BZ220" s="20">
        <v>2632</v>
      </c>
      <c r="CA220" s="27">
        <f t="shared" si="214"/>
        <v>78</v>
      </c>
      <c r="CB220" s="20">
        <v>2554</v>
      </c>
      <c r="CC220" s="20">
        <v>2417</v>
      </c>
      <c r="CD220" s="20">
        <f t="shared" si="215"/>
        <v>137</v>
      </c>
      <c r="CE220" s="20"/>
      <c r="CF220" s="20"/>
      <c r="CG220" s="45">
        <v>2010</v>
      </c>
      <c r="CH220" s="48" t="s">
        <v>48</v>
      </c>
      <c r="CI220" s="35">
        <f t="shared" si="203"/>
        <v>0.87901498929336186</v>
      </c>
      <c r="CJ220" s="35">
        <f t="shared" si="204"/>
        <v>0.89531079607415487</v>
      </c>
      <c r="CK220" s="35">
        <f t="shared" si="205"/>
        <v>0.9817987152034261</v>
      </c>
      <c r="CL220" s="20">
        <v>2802</v>
      </c>
      <c r="CM220" s="20">
        <f t="shared" si="186"/>
        <v>51</v>
      </c>
      <c r="CN220" s="20">
        <v>2751</v>
      </c>
      <c r="CO220" s="20">
        <v>2463</v>
      </c>
      <c r="CP220" s="20">
        <f t="shared" si="187"/>
        <v>288</v>
      </c>
      <c r="CQ220" s="20"/>
      <c r="CR220" s="20"/>
      <c r="CS220" s="45">
        <v>2010</v>
      </c>
      <c r="CT220" s="48" t="s">
        <v>48</v>
      </c>
      <c r="CU220" s="35">
        <f t="shared" si="188"/>
        <v>0.88105263157894742</v>
      </c>
      <c r="CV220" s="35">
        <f t="shared" si="189"/>
        <v>0.88105263157894742</v>
      </c>
      <c r="CW220" s="35">
        <f t="shared" si="190"/>
        <v>1</v>
      </c>
      <c r="CX220" s="20">
        <v>950</v>
      </c>
      <c r="CY220" s="27">
        <f t="shared" si="216"/>
        <v>0</v>
      </c>
      <c r="CZ220" s="20">
        <v>950</v>
      </c>
      <c r="DA220" s="20">
        <v>837</v>
      </c>
      <c r="DB220" s="20">
        <f t="shared" si="217"/>
        <v>113</v>
      </c>
      <c r="DC220" s="20"/>
      <c r="DD220" s="20"/>
      <c r="DE220" s="45">
        <v>2010</v>
      </c>
      <c r="DF220" s="48" t="s">
        <v>48</v>
      </c>
      <c r="DG220" s="35">
        <f t="shared" si="193"/>
        <v>0.95910780669144979</v>
      </c>
      <c r="DH220" s="35">
        <f t="shared" si="194"/>
        <v>0.99078341013824889</v>
      </c>
      <c r="DI220" s="35">
        <f t="shared" si="195"/>
        <v>0.96802973977695173</v>
      </c>
      <c r="DJ220" s="20">
        <v>1345</v>
      </c>
      <c r="DK220" s="27">
        <f t="shared" si="218"/>
        <v>43</v>
      </c>
      <c r="DL220" s="20">
        <v>1302</v>
      </c>
      <c r="DM220" s="20">
        <v>1290</v>
      </c>
      <c r="DN220" s="20">
        <f t="shared" si="219"/>
        <v>12</v>
      </c>
      <c r="DO220" s="20"/>
      <c r="DP220" s="20"/>
      <c r="DQ220" s="45"/>
      <c r="DR220" s="48"/>
      <c r="DS220" s="35"/>
      <c r="DT220" s="35"/>
      <c r="DU220" s="35"/>
      <c r="DV220" s="20"/>
      <c r="DW220" s="20"/>
      <c r="DX220" s="20"/>
      <c r="DY220" s="20"/>
      <c r="DZ220" s="20"/>
      <c r="EA220" s="20"/>
      <c r="EB220" s="20"/>
    </row>
    <row r="221" spans="1:142" s="29" customFormat="1" ht="12.75">
      <c r="A221" s="46">
        <v>2010</v>
      </c>
      <c r="B221" s="47" t="s">
        <v>49</v>
      </c>
      <c r="C221" s="35">
        <f t="shared" si="198"/>
        <v>0.86600885282183693</v>
      </c>
      <c r="D221" s="35">
        <f t="shared" si="199"/>
        <v>0.92485719913334652</v>
      </c>
      <c r="E221" s="35">
        <f t="shared" si="200"/>
        <v>0.93637034304684619</v>
      </c>
      <c r="F22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21688</v>
      </c>
      <c r="G221" s="20">
        <f t="shared" si="201"/>
        <v>1380</v>
      </c>
      <c r="H22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20308</v>
      </c>
      <c r="I22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18782</v>
      </c>
      <c r="J221" s="20">
        <f t="shared" si="202"/>
        <v>1526</v>
      </c>
      <c r="K221" s="27"/>
      <c r="L221" s="27"/>
      <c r="M221" s="46">
        <v>2010</v>
      </c>
      <c r="N221" s="47" t="s">
        <v>49</v>
      </c>
      <c r="O221" s="35">
        <f t="shared" si="158"/>
        <v>0.81473918693150171</v>
      </c>
      <c r="P221" s="35">
        <f t="shared" si="159"/>
        <v>0.95704317488006974</v>
      </c>
      <c r="Q221" s="35">
        <f t="shared" si="160"/>
        <v>0.85130870614442178</v>
      </c>
      <c r="R221" s="20">
        <v>5387</v>
      </c>
      <c r="S221" s="27">
        <f t="shared" si="206"/>
        <v>801</v>
      </c>
      <c r="T221" s="20">
        <v>4586</v>
      </c>
      <c r="U221" s="20">
        <v>4389</v>
      </c>
      <c r="V221" s="20">
        <f t="shared" si="207"/>
        <v>197</v>
      </c>
      <c r="W221" s="20"/>
      <c r="X221" s="20"/>
      <c r="Y221" s="46"/>
      <c r="Z221" s="47"/>
      <c r="AA221" s="35"/>
      <c r="AB221" s="35"/>
      <c r="AC221" s="35"/>
      <c r="AD221" s="20"/>
      <c r="AE221" s="27"/>
      <c r="AF221" s="20"/>
      <c r="AG221" s="20"/>
      <c r="AH221" s="20"/>
      <c r="AI221" s="20"/>
      <c r="AJ221" s="20"/>
      <c r="AK221" s="46">
        <v>2010</v>
      </c>
      <c r="AL221" s="47" t="s">
        <v>49</v>
      </c>
      <c r="AM221" s="35">
        <f t="shared" si="163"/>
        <v>0.93525039123630671</v>
      </c>
      <c r="AN221" s="35">
        <f t="shared" si="164"/>
        <v>0.96859805510534847</v>
      </c>
      <c r="AO221" s="35">
        <f t="shared" si="165"/>
        <v>0.96557120500782467</v>
      </c>
      <c r="AP221" s="20">
        <v>5112</v>
      </c>
      <c r="AQ221" s="27">
        <f t="shared" si="208"/>
        <v>176</v>
      </c>
      <c r="AR221" s="20">
        <v>4936</v>
      </c>
      <c r="AS221" s="20">
        <v>4781</v>
      </c>
      <c r="AT221" s="20">
        <f t="shared" si="209"/>
        <v>155</v>
      </c>
      <c r="AU221" s="20"/>
      <c r="AV221" s="20"/>
      <c r="AW221" s="46">
        <v>2010</v>
      </c>
      <c r="AX221" s="47" t="s">
        <v>49</v>
      </c>
      <c r="AY221" s="35">
        <f t="shared" si="168"/>
        <v>0.84107142857142858</v>
      </c>
      <c r="AZ221" s="35">
        <f t="shared" si="169"/>
        <v>0.89204545454545459</v>
      </c>
      <c r="BA221" s="35">
        <f t="shared" si="170"/>
        <v>0.94285714285714284</v>
      </c>
      <c r="BB221" s="20">
        <v>560</v>
      </c>
      <c r="BC221" s="27">
        <f t="shared" si="210"/>
        <v>32</v>
      </c>
      <c r="BD221" s="20">
        <v>528</v>
      </c>
      <c r="BE221" s="20">
        <v>471</v>
      </c>
      <c r="BF221" s="20">
        <f t="shared" si="211"/>
        <v>57</v>
      </c>
      <c r="BG221" s="20"/>
      <c r="BH221" s="20"/>
      <c r="BI221" s="46">
        <v>2010</v>
      </c>
      <c r="BJ221" s="47" t="s">
        <v>49</v>
      </c>
      <c r="BK221" s="35">
        <f t="shared" si="173"/>
        <v>0.74702823179791977</v>
      </c>
      <c r="BL221" s="35">
        <f t="shared" si="174"/>
        <v>0.78770074422248337</v>
      </c>
      <c r="BM221" s="35">
        <f t="shared" si="175"/>
        <v>0.94836552748885583</v>
      </c>
      <c r="BN221" s="20">
        <v>2692</v>
      </c>
      <c r="BO221" s="27">
        <f t="shared" si="212"/>
        <v>139</v>
      </c>
      <c r="BP221" s="20">
        <v>2553</v>
      </c>
      <c r="BQ221" s="20">
        <v>2011</v>
      </c>
      <c r="BR221" s="20">
        <f t="shared" si="213"/>
        <v>542</v>
      </c>
      <c r="BS221" s="20"/>
      <c r="BT221" s="20"/>
      <c r="BU221" s="46">
        <v>2010</v>
      </c>
      <c r="BV221" s="47" t="s">
        <v>49</v>
      </c>
      <c r="BW221" s="35">
        <f t="shared" si="178"/>
        <v>0.90100111234705227</v>
      </c>
      <c r="BX221" s="35">
        <f t="shared" si="179"/>
        <v>0.93677717810331529</v>
      </c>
      <c r="BY221" s="35">
        <f t="shared" si="180"/>
        <v>0.96180941787170926</v>
      </c>
      <c r="BZ221" s="20">
        <v>2697</v>
      </c>
      <c r="CA221" s="27">
        <f t="shared" si="214"/>
        <v>103</v>
      </c>
      <c r="CB221" s="20">
        <v>2594</v>
      </c>
      <c r="CC221" s="20">
        <v>2430</v>
      </c>
      <c r="CD221" s="20">
        <f t="shared" si="215"/>
        <v>164</v>
      </c>
      <c r="CE221" s="20"/>
      <c r="CF221" s="20"/>
      <c r="CG221" s="46">
        <v>2010</v>
      </c>
      <c r="CH221" s="47" t="s">
        <v>49</v>
      </c>
      <c r="CI221" s="35">
        <f t="shared" si="203"/>
        <v>0.85744089012517388</v>
      </c>
      <c r="CJ221" s="35">
        <f t="shared" si="204"/>
        <v>0.88387096774193552</v>
      </c>
      <c r="CK221" s="35">
        <f t="shared" si="205"/>
        <v>0.9700973574408901</v>
      </c>
      <c r="CL221" s="20">
        <v>2876</v>
      </c>
      <c r="CM221" s="20">
        <f t="shared" si="186"/>
        <v>86</v>
      </c>
      <c r="CN221" s="20">
        <v>2790</v>
      </c>
      <c r="CO221" s="20">
        <v>2466</v>
      </c>
      <c r="CP221" s="20">
        <f t="shared" si="187"/>
        <v>324</v>
      </c>
      <c r="CQ221" s="20"/>
      <c r="CR221" s="20"/>
      <c r="CS221" s="46">
        <v>2010</v>
      </c>
      <c r="CT221" s="47" t="s">
        <v>49</v>
      </c>
      <c r="CU221" s="35">
        <f t="shared" si="188"/>
        <v>0.88877551020408163</v>
      </c>
      <c r="CV221" s="35">
        <f t="shared" si="189"/>
        <v>0.91299790356394128</v>
      </c>
      <c r="CW221" s="35">
        <f t="shared" si="190"/>
        <v>0.97346938775510206</v>
      </c>
      <c r="CX221" s="20">
        <v>980</v>
      </c>
      <c r="CY221" s="27">
        <f t="shared" si="216"/>
        <v>26</v>
      </c>
      <c r="CZ221" s="20">
        <v>954</v>
      </c>
      <c r="DA221" s="20">
        <v>871</v>
      </c>
      <c r="DB221" s="20">
        <f t="shared" si="217"/>
        <v>83</v>
      </c>
      <c r="DC221" s="20"/>
      <c r="DD221" s="20"/>
      <c r="DE221" s="46">
        <v>2010</v>
      </c>
      <c r="DF221" s="47" t="s">
        <v>49</v>
      </c>
      <c r="DG221" s="35">
        <f t="shared" si="193"/>
        <v>0.98482658959537572</v>
      </c>
      <c r="DH221" s="35">
        <f t="shared" si="194"/>
        <v>0.99707388441843448</v>
      </c>
      <c r="DI221" s="35">
        <f t="shared" si="195"/>
        <v>0.98771676300578037</v>
      </c>
      <c r="DJ221" s="20">
        <v>1384</v>
      </c>
      <c r="DK221" s="27">
        <f t="shared" si="218"/>
        <v>17</v>
      </c>
      <c r="DL221" s="20">
        <v>1367</v>
      </c>
      <c r="DM221" s="20">
        <v>1363</v>
      </c>
      <c r="DN221" s="20">
        <f t="shared" si="219"/>
        <v>4</v>
      </c>
      <c r="DO221" s="20"/>
      <c r="DP221" s="20"/>
      <c r="DQ221" s="46"/>
      <c r="DR221" s="47"/>
      <c r="DS221" s="35"/>
      <c r="DT221" s="35"/>
      <c r="DU221" s="35"/>
      <c r="DV221" s="20"/>
      <c r="DW221" s="20"/>
      <c r="DX221" s="20"/>
      <c r="DY221" s="20"/>
      <c r="DZ221" s="20"/>
      <c r="EA221" s="20"/>
      <c r="EB221" s="20"/>
    </row>
    <row r="222" spans="1:142" s="34" customFormat="1" ht="12.95" customHeight="1">
      <c r="A222" s="45">
        <v>2011</v>
      </c>
      <c r="B222" s="48" t="s">
        <v>38</v>
      </c>
      <c r="C222" s="35">
        <f t="shared" si="198"/>
        <v>0.83235509904622162</v>
      </c>
      <c r="D222" s="35">
        <f t="shared" si="199"/>
        <v>0.89759185086287885</v>
      </c>
      <c r="E222" s="35">
        <f t="shared" si="200"/>
        <v>0.92732024944974323</v>
      </c>
      <c r="F22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21808</v>
      </c>
      <c r="G222" s="20">
        <f t="shared" si="201"/>
        <v>1585</v>
      </c>
      <c r="H22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20223</v>
      </c>
      <c r="I22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18152</v>
      </c>
      <c r="J222" s="20">
        <f t="shared" si="202"/>
        <v>2071</v>
      </c>
      <c r="K222" s="27"/>
      <c r="L222" s="27"/>
      <c r="M222" s="45">
        <v>2011</v>
      </c>
      <c r="N222" s="48" t="s">
        <v>38</v>
      </c>
      <c r="O222" s="35">
        <f t="shared" si="158"/>
        <v>0.82015846692463612</v>
      </c>
      <c r="P222" s="35">
        <f t="shared" si="159"/>
        <v>0.93429890848026864</v>
      </c>
      <c r="Q222" s="35">
        <f t="shared" si="160"/>
        <v>0.87783305693753455</v>
      </c>
      <c r="R222" s="20">
        <v>5427</v>
      </c>
      <c r="S222" s="27">
        <f t="shared" ref="S222:S233" si="220">R222-T222</f>
        <v>663</v>
      </c>
      <c r="T222" s="20">
        <v>4764</v>
      </c>
      <c r="U222" s="20">
        <v>4451</v>
      </c>
      <c r="V222" s="20">
        <f t="shared" ref="V222:V233" si="221">T222-U222</f>
        <v>313</v>
      </c>
      <c r="W222" s="20"/>
      <c r="X222" s="20"/>
      <c r="Y222" s="45"/>
      <c r="Z222" s="48"/>
      <c r="AA222" s="35"/>
      <c r="AB222" s="35"/>
      <c r="AC222" s="35"/>
      <c r="AD222" s="20"/>
      <c r="AE222" s="27"/>
      <c r="AF222" s="20"/>
      <c r="AG222" s="20"/>
      <c r="AH222" s="20"/>
      <c r="AI222" s="20"/>
      <c r="AJ222" s="20"/>
      <c r="AK222" s="45">
        <v>2011</v>
      </c>
      <c r="AL222" s="48" t="s">
        <v>38</v>
      </c>
      <c r="AM222" s="35">
        <f t="shared" si="163"/>
        <v>0.91306884480746786</v>
      </c>
      <c r="AN222" s="35">
        <f t="shared" si="164"/>
        <v>0.94695441710367079</v>
      </c>
      <c r="AO222" s="35">
        <f t="shared" si="165"/>
        <v>0.96421625826526647</v>
      </c>
      <c r="AP222" s="20">
        <v>5142</v>
      </c>
      <c r="AQ222" s="27">
        <f t="shared" ref="AQ222:AQ233" si="222">AP222-AR222</f>
        <v>184</v>
      </c>
      <c r="AR222" s="20">
        <v>4958</v>
      </c>
      <c r="AS222" s="20">
        <v>4695</v>
      </c>
      <c r="AT222" s="20">
        <f t="shared" ref="AT222:AT233" si="223">AR222-AS222</f>
        <v>263</v>
      </c>
      <c r="AU222" s="20"/>
      <c r="AV222" s="20"/>
      <c r="AW222" s="45">
        <v>2011</v>
      </c>
      <c r="AX222" s="48" t="s">
        <v>38</v>
      </c>
      <c r="AY222" s="35">
        <f t="shared" si="168"/>
        <v>0.77721088435374153</v>
      </c>
      <c r="AZ222" s="35">
        <f t="shared" si="169"/>
        <v>0.84944237918215615</v>
      </c>
      <c r="BA222" s="35">
        <f t="shared" si="170"/>
        <v>0.91496598639455784</v>
      </c>
      <c r="BB222" s="20">
        <v>588</v>
      </c>
      <c r="BC222" s="27">
        <f t="shared" ref="BC222:BC233" si="224">BB222-BD222</f>
        <v>50</v>
      </c>
      <c r="BD222" s="20">
        <v>538</v>
      </c>
      <c r="BE222" s="20">
        <v>457</v>
      </c>
      <c r="BF222" s="20">
        <f t="shared" ref="BF222:BF233" si="225">BD222-BE222</f>
        <v>81</v>
      </c>
      <c r="BG222" s="20"/>
      <c r="BH222" s="20"/>
      <c r="BI222" s="45">
        <v>2011</v>
      </c>
      <c r="BJ222" s="48" t="s">
        <v>38</v>
      </c>
      <c r="BK222" s="35">
        <f t="shared" si="173"/>
        <v>0.67481481481481487</v>
      </c>
      <c r="BL222" s="35">
        <f t="shared" si="174"/>
        <v>0.75979983319432864</v>
      </c>
      <c r="BM222" s="35">
        <f t="shared" si="175"/>
        <v>0.88814814814814813</v>
      </c>
      <c r="BN222" s="20">
        <v>2700</v>
      </c>
      <c r="BO222" s="27">
        <f t="shared" ref="BO222:BO233" si="226">BN222-BP222</f>
        <v>302</v>
      </c>
      <c r="BP222" s="20">
        <v>2398</v>
      </c>
      <c r="BQ222" s="20">
        <v>1822</v>
      </c>
      <c r="BR222" s="20">
        <f t="shared" ref="BR222:BR233" si="227">BP222-BQ222</f>
        <v>576</v>
      </c>
      <c r="BS222" s="20"/>
      <c r="BT222" s="20"/>
      <c r="BU222" s="45">
        <v>2011</v>
      </c>
      <c r="BV222" s="48" t="s">
        <v>38</v>
      </c>
      <c r="BW222" s="35">
        <f t="shared" si="178"/>
        <v>0.88054733727810652</v>
      </c>
      <c r="BX222" s="35">
        <f t="shared" si="179"/>
        <v>0.91718027734976892</v>
      </c>
      <c r="BY222" s="35">
        <f t="shared" si="180"/>
        <v>0.9600591715976331</v>
      </c>
      <c r="BZ222" s="20">
        <v>2704</v>
      </c>
      <c r="CA222" s="27">
        <f t="shared" ref="CA222:CA233" si="228">BZ222-CB222</f>
        <v>108</v>
      </c>
      <c r="CB222" s="20">
        <v>2596</v>
      </c>
      <c r="CC222" s="20">
        <v>2381</v>
      </c>
      <c r="CD222" s="20">
        <f t="shared" ref="CD222:CD233" si="229">CB222-CC222</f>
        <v>215</v>
      </c>
      <c r="CE222" s="20"/>
      <c r="CF222" s="20"/>
      <c r="CG222" s="45">
        <v>2011</v>
      </c>
      <c r="CH222" s="48" t="s">
        <v>38</v>
      </c>
      <c r="CI222" s="35">
        <f t="shared" si="203"/>
        <v>0.75858480749219559</v>
      </c>
      <c r="CJ222" s="35">
        <f t="shared" si="204"/>
        <v>0.8142218912881608</v>
      </c>
      <c r="CK222" s="35">
        <f t="shared" si="205"/>
        <v>0.93166840097121051</v>
      </c>
      <c r="CL222" s="20">
        <v>2883</v>
      </c>
      <c r="CM222" s="20">
        <f t="shared" si="186"/>
        <v>197</v>
      </c>
      <c r="CN222" s="20">
        <v>2686</v>
      </c>
      <c r="CO222" s="20">
        <v>2187</v>
      </c>
      <c r="CP222" s="20">
        <f t="shared" si="187"/>
        <v>499</v>
      </c>
      <c r="CQ222" s="20"/>
      <c r="CR222" s="20"/>
      <c r="CS222" s="45">
        <v>2011</v>
      </c>
      <c r="CT222" s="48" t="s">
        <v>38</v>
      </c>
      <c r="CU222" s="35">
        <f t="shared" si="188"/>
        <v>0.8510204081632653</v>
      </c>
      <c r="CV222" s="35">
        <f t="shared" si="189"/>
        <v>0.89967637540453071</v>
      </c>
      <c r="CW222" s="35">
        <f t="shared" si="190"/>
        <v>0.94591836734693879</v>
      </c>
      <c r="CX222" s="20">
        <v>980</v>
      </c>
      <c r="CY222" s="27">
        <f t="shared" ref="CY222:CY233" si="230">CX222-CZ222</f>
        <v>53</v>
      </c>
      <c r="CZ222" s="20">
        <v>927</v>
      </c>
      <c r="DA222" s="20">
        <v>834</v>
      </c>
      <c r="DB222" s="20">
        <f t="shared" ref="DB222:DB233" si="231">CZ222-DA222</f>
        <v>93</v>
      </c>
      <c r="DC222" s="20"/>
      <c r="DD222" s="20"/>
      <c r="DE222" s="45">
        <v>2011</v>
      </c>
      <c r="DF222" s="48" t="s">
        <v>38</v>
      </c>
      <c r="DG222" s="35">
        <f t="shared" si="193"/>
        <v>0.95736994219653182</v>
      </c>
      <c r="DH222" s="35">
        <f t="shared" si="194"/>
        <v>0.97713864306784659</v>
      </c>
      <c r="DI222" s="35">
        <f t="shared" si="195"/>
        <v>0.97976878612716767</v>
      </c>
      <c r="DJ222" s="20">
        <v>1384</v>
      </c>
      <c r="DK222" s="27">
        <f t="shared" ref="DK222:DK233" si="232">DJ222-DL222</f>
        <v>28</v>
      </c>
      <c r="DL222" s="20">
        <v>1356</v>
      </c>
      <c r="DM222" s="20">
        <v>1325</v>
      </c>
      <c r="DN222" s="20">
        <f t="shared" ref="DN222:DN233" si="233">DL222-DM222</f>
        <v>31</v>
      </c>
      <c r="DO222" s="20"/>
      <c r="DP222" s="20"/>
      <c r="DQ222" s="45"/>
      <c r="DR222" s="48"/>
      <c r="DS222" s="35"/>
      <c r="DT222" s="35"/>
      <c r="DU222" s="35"/>
      <c r="DV222" s="27"/>
      <c r="DW222" s="27"/>
      <c r="DX222" s="27"/>
      <c r="DY222" s="27"/>
      <c r="DZ222" s="27"/>
      <c r="EA222" s="27"/>
      <c r="EB222" s="27"/>
      <c r="EJ222" s="29"/>
      <c r="EK222" s="29"/>
      <c r="EL222" s="29"/>
    </row>
    <row r="223" spans="1:142" s="34" customFormat="1" ht="12.95" customHeight="1">
      <c r="A223" s="46">
        <v>2011</v>
      </c>
      <c r="B223" s="47" t="s">
        <v>39</v>
      </c>
      <c r="C223" s="35">
        <f t="shared" si="198"/>
        <v>0.8188571998404468</v>
      </c>
      <c r="D223" s="35">
        <f t="shared" si="199"/>
        <v>0.89792236194641883</v>
      </c>
      <c r="E223" s="35">
        <f t="shared" si="200"/>
        <v>0.91194654966094935</v>
      </c>
      <c r="F22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20056</v>
      </c>
      <c r="G223" s="20">
        <f t="shared" si="201"/>
        <v>1766</v>
      </c>
      <c r="H22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18290</v>
      </c>
      <c r="I22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16423</v>
      </c>
      <c r="J223" s="20">
        <f t="shared" si="202"/>
        <v>1867</v>
      </c>
      <c r="K223" s="27"/>
      <c r="L223" s="27"/>
      <c r="M223" s="46">
        <v>2011</v>
      </c>
      <c r="N223" s="47" t="s">
        <v>39</v>
      </c>
      <c r="O223" s="35">
        <f t="shared" si="158"/>
        <v>0.77740270055599681</v>
      </c>
      <c r="P223" s="35">
        <f t="shared" si="159"/>
        <v>0.92794501066603463</v>
      </c>
      <c r="Q223" s="35">
        <f t="shared" si="160"/>
        <v>0.83776806989674346</v>
      </c>
      <c r="R223" s="20">
        <v>5036</v>
      </c>
      <c r="S223" s="27">
        <f t="shared" si="220"/>
        <v>817</v>
      </c>
      <c r="T223" s="20">
        <v>4219</v>
      </c>
      <c r="U223" s="20">
        <v>3915</v>
      </c>
      <c r="V223" s="20">
        <f t="shared" si="221"/>
        <v>304</v>
      </c>
      <c r="W223" s="20"/>
      <c r="X223" s="20"/>
      <c r="Y223" s="46"/>
      <c r="Z223" s="47"/>
      <c r="AA223" s="35"/>
      <c r="AB223" s="35"/>
      <c r="AC223" s="35"/>
      <c r="AD223" s="20"/>
      <c r="AE223" s="27"/>
      <c r="AF223" s="20"/>
      <c r="AG223" s="20"/>
      <c r="AH223" s="20"/>
      <c r="AI223" s="20"/>
      <c r="AJ223" s="20"/>
      <c r="AK223" s="46">
        <v>2011</v>
      </c>
      <c r="AL223" s="47" t="s">
        <v>39</v>
      </c>
      <c r="AM223" s="35">
        <f t="shared" si="163"/>
        <v>0.89192598822539948</v>
      </c>
      <c r="AN223" s="35">
        <f t="shared" si="164"/>
        <v>0.94560855996433346</v>
      </c>
      <c r="AO223" s="35">
        <f t="shared" si="165"/>
        <v>0.94322960470984019</v>
      </c>
      <c r="AP223" s="20">
        <v>4756</v>
      </c>
      <c r="AQ223" s="27">
        <f t="shared" si="222"/>
        <v>270</v>
      </c>
      <c r="AR223" s="20">
        <v>4486</v>
      </c>
      <c r="AS223" s="20">
        <v>4242</v>
      </c>
      <c r="AT223" s="20">
        <f t="shared" si="223"/>
        <v>244</v>
      </c>
      <c r="AU223" s="20"/>
      <c r="AV223" s="20"/>
      <c r="AW223" s="46">
        <v>2011</v>
      </c>
      <c r="AX223" s="47" t="s">
        <v>39</v>
      </c>
      <c r="AY223" s="35">
        <f t="shared" si="168"/>
        <v>0.71250000000000002</v>
      </c>
      <c r="AZ223" s="35">
        <f t="shared" si="169"/>
        <v>0.78853754940711462</v>
      </c>
      <c r="BA223" s="35">
        <f t="shared" si="170"/>
        <v>0.90357142857142858</v>
      </c>
      <c r="BB223" s="20">
        <v>560</v>
      </c>
      <c r="BC223" s="27">
        <f t="shared" si="224"/>
        <v>54</v>
      </c>
      <c r="BD223" s="20">
        <v>506</v>
      </c>
      <c r="BE223" s="20">
        <v>399</v>
      </c>
      <c r="BF223" s="20">
        <f t="shared" si="225"/>
        <v>107</v>
      </c>
      <c r="BG223" s="20"/>
      <c r="BH223" s="20"/>
      <c r="BI223" s="46">
        <v>2011</v>
      </c>
      <c r="BJ223" s="47" t="s">
        <v>39</v>
      </c>
      <c r="BK223" s="35">
        <f t="shared" si="173"/>
        <v>0.77394480519480524</v>
      </c>
      <c r="BL223" s="35">
        <f t="shared" si="174"/>
        <v>0.8323876036665212</v>
      </c>
      <c r="BM223" s="35">
        <f t="shared" si="175"/>
        <v>0.92978896103896103</v>
      </c>
      <c r="BN223" s="20">
        <v>2464</v>
      </c>
      <c r="BO223" s="27">
        <f t="shared" si="226"/>
        <v>173</v>
      </c>
      <c r="BP223" s="20">
        <v>2291</v>
      </c>
      <c r="BQ223" s="20">
        <v>1907</v>
      </c>
      <c r="BR223" s="20">
        <f t="shared" si="227"/>
        <v>384</v>
      </c>
      <c r="BS223" s="20"/>
      <c r="BT223" s="20"/>
      <c r="BU223" s="46">
        <v>2011</v>
      </c>
      <c r="BV223" s="47" t="s">
        <v>39</v>
      </c>
      <c r="BW223" s="35">
        <f t="shared" si="178"/>
        <v>0.87398703403565636</v>
      </c>
      <c r="BX223" s="35">
        <f t="shared" si="179"/>
        <v>0.93174946004319659</v>
      </c>
      <c r="BY223" s="35">
        <f t="shared" si="180"/>
        <v>0.93800648298217182</v>
      </c>
      <c r="BZ223" s="20">
        <v>2468</v>
      </c>
      <c r="CA223" s="27">
        <f t="shared" si="228"/>
        <v>153</v>
      </c>
      <c r="CB223" s="20">
        <v>2315</v>
      </c>
      <c r="CC223" s="20">
        <v>2157</v>
      </c>
      <c r="CD223" s="20">
        <f t="shared" si="229"/>
        <v>158</v>
      </c>
      <c r="CE223" s="20"/>
      <c r="CF223" s="20"/>
      <c r="CG223" s="46">
        <v>2011</v>
      </c>
      <c r="CH223" s="47" t="s">
        <v>39</v>
      </c>
      <c r="CI223" s="35">
        <f t="shared" si="203"/>
        <v>0.70007621951219512</v>
      </c>
      <c r="CJ223" s="35">
        <f t="shared" si="204"/>
        <v>0.75815105241436231</v>
      </c>
      <c r="CK223" s="35">
        <f t="shared" si="205"/>
        <v>0.92339939024390238</v>
      </c>
      <c r="CL223" s="20">
        <v>2624</v>
      </c>
      <c r="CM223" s="20">
        <f t="shared" si="186"/>
        <v>201</v>
      </c>
      <c r="CN223" s="20">
        <v>2423</v>
      </c>
      <c r="CO223" s="20">
        <v>1837</v>
      </c>
      <c r="CP223" s="20">
        <f t="shared" si="187"/>
        <v>586</v>
      </c>
      <c r="CQ223" s="20"/>
      <c r="CR223" s="20"/>
      <c r="CS223" s="46">
        <v>2011</v>
      </c>
      <c r="CT223" s="47" t="s">
        <v>39</v>
      </c>
      <c r="CU223" s="35">
        <f t="shared" si="188"/>
        <v>0.87725225225225223</v>
      </c>
      <c r="CV223" s="35">
        <f t="shared" si="189"/>
        <v>0.92189349112426033</v>
      </c>
      <c r="CW223" s="35">
        <f t="shared" si="190"/>
        <v>0.95157657657657657</v>
      </c>
      <c r="CX223" s="20">
        <v>888</v>
      </c>
      <c r="CY223" s="27">
        <f t="shared" si="230"/>
        <v>43</v>
      </c>
      <c r="CZ223" s="20">
        <v>845</v>
      </c>
      <c r="DA223" s="20">
        <v>779</v>
      </c>
      <c r="DB223" s="20">
        <f t="shared" si="231"/>
        <v>66</v>
      </c>
      <c r="DC223" s="20"/>
      <c r="DD223" s="20"/>
      <c r="DE223" s="46">
        <v>2011</v>
      </c>
      <c r="DF223" s="47" t="s">
        <v>39</v>
      </c>
      <c r="DG223" s="35">
        <f t="shared" si="193"/>
        <v>0.94206349206349205</v>
      </c>
      <c r="DH223" s="35">
        <f t="shared" si="194"/>
        <v>0.98506224066390047</v>
      </c>
      <c r="DI223" s="35">
        <f t="shared" si="195"/>
        <v>0.95634920634920639</v>
      </c>
      <c r="DJ223" s="20">
        <v>1260</v>
      </c>
      <c r="DK223" s="27">
        <f t="shared" si="232"/>
        <v>55</v>
      </c>
      <c r="DL223" s="20">
        <v>1205</v>
      </c>
      <c r="DM223" s="20">
        <v>1187</v>
      </c>
      <c r="DN223" s="20">
        <f t="shared" si="233"/>
        <v>18</v>
      </c>
      <c r="DO223" s="20"/>
      <c r="DP223" s="20"/>
      <c r="DQ223" s="46"/>
      <c r="DR223" s="47"/>
      <c r="DS223" s="35"/>
      <c r="DT223" s="35"/>
      <c r="DU223" s="35"/>
      <c r="DV223" s="27"/>
      <c r="DW223" s="27"/>
      <c r="DX223" s="27"/>
      <c r="DY223" s="27"/>
      <c r="DZ223" s="27"/>
      <c r="EA223" s="27"/>
      <c r="EB223" s="27"/>
      <c r="EJ223" s="29"/>
      <c r="EK223" s="29"/>
      <c r="EL223" s="29"/>
    </row>
    <row r="224" spans="1:142" s="34" customFormat="1" ht="12.95" customHeight="1">
      <c r="A224" s="45">
        <v>2011</v>
      </c>
      <c r="B224" s="48" t="s">
        <v>40</v>
      </c>
      <c r="C224" s="35">
        <f t="shared" si="198"/>
        <v>0.86947725027055001</v>
      </c>
      <c r="D224" s="35">
        <f t="shared" si="199"/>
        <v>0.91885038038884193</v>
      </c>
      <c r="E224" s="35">
        <f t="shared" si="200"/>
        <v>0.94626640944807794</v>
      </c>
      <c r="F22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21253</v>
      </c>
      <c r="G224" s="20">
        <f t="shared" si="201"/>
        <v>1142</v>
      </c>
      <c r="H22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20111</v>
      </c>
      <c r="I22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18479</v>
      </c>
      <c r="J224" s="20">
        <f t="shared" si="202"/>
        <v>1632</v>
      </c>
      <c r="K224" s="27"/>
      <c r="L224" s="27"/>
      <c r="M224" s="45">
        <v>2011</v>
      </c>
      <c r="N224" s="48" t="s">
        <v>40</v>
      </c>
      <c r="O224" s="35">
        <f t="shared" si="158"/>
        <v>0.79724296381390003</v>
      </c>
      <c r="P224" s="35">
        <f t="shared" si="159"/>
        <v>0.93258678611422174</v>
      </c>
      <c r="Q224" s="35">
        <f t="shared" si="160"/>
        <v>0.85487267853723914</v>
      </c>
      <c r="R224" s="20">
        <v>5223</v>
      </c>
      <c r="S224" s="27">
        <f t="shared" si="220"/>
        <v>758</v>
      </c>
      <c r="T224" s="20">
        <v>4465</v>
      </c>
      <c r="U224" s="20">
        <v>4164</v>
      </c>
      <c r="V224" s="20">
        <f t="shared" si="221"/>
        <v>301</v>
      </c>
      <c r="W224" s="20"/>
      <c r="X224" s="20"/>
      <c r="Y224" s="45"/>
      <c r="Z224" s="48"/>
      <c r="AA224" s="35"/>
      <c r="AB224" s="35"/>
      <c r="AC224" s="35"/>
      <c r="AD224" s="20"/>
      <c r="AE224" s="27"/>
      <c r="AF224" s="20"/>
      <c r="AG224" s="20"/>
      <c r="AH224" s="20"/>
      <c r="AI224" s="20"/>
      <c r="AJ224" s="20"/>
      <c r="AK224" s="45">
        <v>2011</v>
      </c>
      <c r="AL224" s="48" t="s">
        <v>40</v>
      </c>
      <c r="AM224" s="35">
        <f t="shared" si="163"/>
        <v>0.92384970865983529</v>
      </c>
      <c r="AN224" s="35">
        <f t="shared" si="164"/>
        <v>0.94921552436003298</v>
      </c>
      <c r="AO224" s="35">
        <f t="shared" si="165"/>
        <v>0.97327707454289736</v>
      </c>
      <c r="AP224" s="20">
        <v>4977</v>
      </c>
      <c r="AQ224" s="27">
        <f t="shared" si="222"/>
        <v>133</v>
      </c>
      <c r="AR224" s="20">
        <v>4844</v>
      </c>
      <c r="AS224" s="20">
        <v>4598</v>
      </c>
      <c r="AT224" s="20">
        <f t="shared" si="223"/>
        <v>246</v>
      </c>
      <c r="AU224" s="20"/>
      <c r="AV224" s="20"/>
      <c r="AW224" s="45">
        <v>2011</v>
      </c>
      <c r="AX224" s="48" t="s">
        <v>40</v>
      </c>
      <c r="AY224" s="35">
        <f t="shared" si="168"/>
        <v>0.86278195488721809</v>
      </c>
      <c r="AZ224" s="35">
        <f t="shared" si="169"/>
        <v>0.89126213592233006</v>
      </c>
      <c r="BA224" s="35">
        <f t="shared" si="170"/>
        <v>0.96804511278195493</v>
      </c>
      <c r="BB224" s="20">
        <v>532</v>
      </c>
      <c r="BC224" s="27">
        <f t="shared" si="224"/>
        <v>17</v>
      </c>
      <c r="BD224" s="20">
        <v>515</v>
      </c>
      <c r="BE224" s="20">
        <v>459</v>
      </c>
      <c r="BF224" s="20">
        <f t="shared" si="225"/>
        <v>56</v>
      </c>
      <c r="BG224" s="20"/>
      <c r="BH224" s="20"/>
      <c r="BI224" s="45">
        <v>2011</v>
      </c>
      <c r="BJ224" s="48" t="s">
        <v>40</v>
      </c>
      <c r="BK224" s="35">
        <f t="shared" si="173"/>
        <v>0.84436090225563909</v>
      </c>
      <c r="BL224" s="35">
        <f t="shared" si="174"/>
        <v>0.86617817200154257</v>
      </c>
      <c r="BM224" s="35">
        <f t="shared" si="175"/>
        <v>0.97481203007518802</v>
      </c>
      <c r="BN224" s="20">
        <v>2660</v>
      </c>
      <c r="BO224" s="27">
        <f t="shared" si="226"/>
        <v>67</v>
      </c>
      <c r="BP224" s="20">
        <v>2593</v>
      </c>
      <c r="BQ224" s="20">
        <v>2246</v>
      </c>
      <c r="BR224" s="20">
        <f t="shared" si="227"/>
        <v>347</v>
      </c>
      <c r="BS224" s="20"/>
      <c r="BT224" s="20"/>
      <c r="BU224" s="45">
        <v>2011</v>
      </c>
      <c r="BV224" s="48" t="s">
        <v>40</v>
      </c>
      <c r="BW224" s="35">
        <f t="shared" si="178"/>
        <v>0.91516516516516522</v>
      </c>
      <c r="BX224" s="35">
        <f t="shared" si="179"/>
        <v>0.93517453011123897</v>
      </c>
      <c r="BY224" s="35">
        <f t="shared" si="180"/>
        <v>0.97860360360360366</v>
      </c>
      <c r="BZ224" s="20">
        <v>2664</v>
      </c>
      <c r="CA224" s="27">
        <f t="shared" si="228"/>
        <v>57</v>
      </c>
      <c r="CB224" s="20">
        <v>2607</v>
      </c>
      <c r="CC224" s="20">
        <v>2438</v>
      </c>
      <c r="CD224" s="20">
        <f t="shared" si="229"/>
        <v>169</v>
      </c>
      <c r="CE224" s="20"/>
      <c r="CF224" s="20"/>
      <c r="CG224" s="45">
        <v>2011</v>
      </c>
      <c r="CH224" s="48" t="s">
        <v>40</v>
      </c>
      <c r="CI224" s="35">
        <f t="shared" si="203"/>
        <v>0.84110838302350055</v>
      </c>
      <c r="CJ224" s="35">
        <f t="shared" si="204"/>
        <v>0.86135057471264365</v>
      </c>
      <c r="CK224" s="35">
        <f t="shared" si="205"/>
        <v>0.97649947386881797</v>
      </c>
      <c r="CL224" s="20">
        <v>2851</v>
      </c>
      <c r="CM224" s="20">
        <f t="shared" si="186"/>
        <v>67</v>
      </c>
      <c r="CN224" s="20">
        <v>2784</v>
      </c>
      <c r="CO224" s="20">
        <v>2398</v>
      </c>
      <c r="CP224" s="20">
        <f t="shared" si="187"/>
        <v>386</v>
      </c>
      <c r="CQ224" s="20"/>
      <c r="CR224" s="20"/>
      <c r="CS224" s="45">
        <v>2011</v>
      </c>
      <c r="CT224" s="48" t="s">
        <v>40</v>
      </c>
      <c r="CU224" s="35">
        <f t="shared" si="188"/>
        <v>0.86168032786885251</v>
      </c>
      <c r="CV224" s="35">
        <f t="shared" si="189"/>
        <v>0.88433228180862256</v>
      </c>
      <c r="CW224" s="35">
        <f t="shared" si="190"/>
        <v>0.97438524590163933</v>
      </c>
      <c r="CX224" s="20">
        <v>976</v>
      </c>
      <c r="CY224" s="27">
        <f t="shared" si="230"/>
        <v>25</v>
      </c>
      <c r="CZ224" s="20">
        <v>951</v>
      </c>
      <c r="DA224" s="20">
        <v>841</v>
      </c>
      <c r="DB224" s="20">
        <f t="shared" si="231"/>
        <v>110</v>
      </c>
      <c r="DC224" s="20"/>
      <c r="DD224" s="20"/>
      <c r="DE224" s="45">
        <v>2011</v>
      </c>
      <c r="DF224" s="48" t="s">
        <v>40</v>
      </c>
      <c r="DG224" s="35">
        <f t="shared" si="193"/>
        <v>0.97445255474452552</v>
      </c>
      <c r="DH224" s="35">
        <f t="shared" si="194"/>
        <v>0.9874260355029586</v>
      </c>
      <c r="DI224" s="35">
        <f t="shared" si="195"/>
        <v>0.98686131386861309</v>
      </c>
      <c r="DJ224" s="20">
        <v>1370</v>
      </c>
      <c r="DK224" s="27">
        <f t="shared" si="232"/>
        <v>18</v>
      </c>
      <c r="DL224" s="20">
        <v>1352</v>
      </c>
      <c r="DM224" s="20">
        <v>1335</v>
      </c>
      <c r="DN224" s="20">
        <f t="shared" si="233"/>
        <v>17</v>
      </c>
      <c r="DO224" s="20"/>
      <c r="DP224" s="20"/>
      <c r="DQ224" s="45"/>
      <c r="DR224" s="48"/>
      <c r="DS224" s="35"/>
      <c r="DT224" s="35"/>
      <c r="DU224" s="35"/>
      <c r="DV224" s="27"/>
      <c r="DW224" s="27"/>
      <c r="DX224" s="27"/>
      <c r="DY224" s="27"/>
      <c r="DZ224" s="27"/>
      <c r="EA224" s="27"/>
      <c r="EB224" s="27"/>
      <c r="EJ224" s="29"/>
      <c r="EK224" s="29"/>
      <c r="EL224" s="29"/>
    </row>
    <row r="225" spans="1:142" s="34" customFormat="1" ht="12.95" customHeight="1">
      <c r="A225" s="46">
        <v>2011</v>
      </c>
      <c r="B225" s="47" t="s">
        <v>41</v>
      </c>
      <c r="C225" s="35">
        <f t="shared" si="198"/>
        <v>0.84179332759774406</v>
      </c>
      <c r="D225" s="35">
        <f t="shared" si="199"/>
        <v>0.87774732120608023</v>
      </c>
      <c r="E225" s="35">
        <f t="shared" si="200"/>
        <v>0.95903833285536755</v>
      </c>
      <c r="F22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20922</v>
      </c>
      <c r="G225" s="20">
        <f t="shared" si="201"/>
        <v>857</v>
      </c>
      <c r="H22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20065</v>
      </c>
      <c r="I22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17612</v>
      </c>
      <c r="J225" s="20">
        <f t="shared" si="202"/>
        <v>2453</v>
      </c>
      <c r="K225" s="27"/>
      <c r="L225" s="27"/>
      <c r="M225" s="46">
        <v>2011</v>
      </c>
      <c r="N225" s="47" t="s">
        <v>41</v>
      </c>
      <c r="O225" s="35">
        <f t="shared" si="158"/>
        <v>0.851252408477842</v>
      </c>
      <c r="P225" s="35">
        <f t="shared" si="159"/>
        <v>0.9020008166598612</v>
      </c>
      <c r="Q225" s="35">
        <f t="shared" si="160"/>
        <v>0.94373795761078993</v>
      </c>
      <c r="R225" s="20">
        <v>5190</v>
      </c>
      <c r="S225" s="27">
        <f t="shared" si="220"/>
        <v>292</v>
      </c>
      <c r="T225" s="20">
        <v>4898</v>
      </c>
      <c r="U225" s="20">
        <v>4418</v>
      </c>
      <c r="V225" s="20">
        <f t="shared" si="221"/>
        <v>480</v>
      </c>
      <c r="W225" s="20"/>
      <c r="X225" s="20"/>
      <c r="Y225" s="46"/>
      <c r="Z225" s="47"/>
      <c r="AA225" s="35"/>
      <c r="AB225" s="35"/>
      <c r="AC225" s="35"/>
      <c r="AD225" s="20"/>
      <c r="AE225" s="27"/>
      <c r="AF225" s="20"/>
      <c r="AG225" s="20"/>
      <c r="AH225" s="20"/>
      <c r="AI225" s="20"/>
      <c r="AJ225" s="20"/>
      <c r="AK225" s="46">
        <v>2011</v>
      </c>
      <c r="AL225" s="47" t="s">
        <v>41</v>
      </c>
      <c r="AM225" s="35">
        <f t="shared" si="163"/>
        <v>0.8910750507099392</v>
      </c>
      <c r="AN225" s="35">
        <f t="shared" si="164"/>
        <v>0.91922996442770455</v>
      </c>
      <c r="AO225" s="35">
        <f t="shared" si="165"/>
        <v>0.96937119675456385</v>
      </c>
      <c r="AP225" s="20">
        <v>4930</v>
      </c>
      <c r="AQ225" s="27">
        <f t="shared" si="222"/>
        <v>151</v>
      </c>
      <c r="AR225" s="20">
        <v>4779</v>
      </c>
      <c r="AS225" s="20">
        <v>4393</v>
      </c>
      <c r="AT225" s="20">
        <f t="shared" si="223"/>
        <v>386</v>
      </c>
      <c r="AU225" s="20"/>
      <c r="AV225" s="20"/>
      <c r="AW225" s="46">
        <v>2011</v>
      </c>
      <c r="AX225" s="47" t="s">
        <v>41</v>
      </c>
      <c r="AY225" s="35">
        <f t="shared" si="168"/>
        <v>0.72556390977443608</v>
      </c>
      <c r="AZ225" s="35">
        <f t="shared" si="169"/>
        <v>0.74517374517374513</v>
      </c>
      <c r="BA225" s="35">
        <f t="shared" si="170"/>
        <v>0.97368421052631582</v>
      </c>
      <c r="BB225" s="20">
        <v>532</v>
      </c>
      <c r="BC225" s="27">
        <f t="shared" si="224"/>
        <v>14</v>
      </c>
      <c r="BD225" s="20">
        <v>518</v>
      </c>
      <c r="BE225" s="20">
        <v>386</v>
      </c>
      <c r="BF225" s="20">
        <f t="shared" si="225"/>
        <v>132</v>
      </c>
      <c r="BG225" s="20"/>
      <c r="BH225" s="20"/>
      <c r="BI225" s="46">
        <v>2011</v>
      </c>
      <c r="BJ225" s="47" t="s">
        <v>41</v>
      </c>
      <c r="BK225" s="35">
        <f t="shared" si="173"/>
        <v>0.71846153846153848</v>
      </c>
      <c r="BL225" s="35">
        <f t="shared" si="174"/>
        <v>0.7640081799591002</v>
      </c>
      <c r="BM225" s="35">
        <f t="shared" si="175"/>
        <v>0.94038461538461537</v>
      </c>
      <c r="BN225" s="20">
        <v>2600</v>
      </c>
      <c r="BO225" s="27">
        <f t="shared" si="226"/>
        <v>155</v>
      </c>
      <c r="BP225" s="20">
        <v>2445</v>
      </c>
      <c r="BQ225" s="20">
        <v>1868</v>
      </c>
      <c r="BR225" s="20">
        <f t="shared" si="227"/>
        <v>577</v>
      </c>
      <c r="BS225" s="20"/>
      <c r="BT225" s="20"/>
      <c r="BU225" s="46">
        <v>2011</v>
      </c>
      <c r="BV225" s="47" t="s">
        <v>41</v>
      </c>
      <c r="BW225" s="35">
        <f t="shared" si="178"/>
        <v>0.85374280230326294</v>
      </c>
      <c r="BX225" s="35">
        <f t="shared" si="179"/>
        <v>0.90333062550771726</v>
      </c>
      <c r="BY225" s="35">
        <f t="shared" si="180"/>
        <v>0.94510556621881003</v>
      </c>
      <c r="BZ225" s="20">
        <v>2605</v>
      </c>
      <c r="CA225" s="27">
        <f t="shared" si="228"/>
        <v>143</v>
      </c>
      <c r="CB225" s="20">
        <v>2462</v>
      </c>
      <c r="CC225" s="20">
        <v>2224</v>
      </c>
      <c r="CD225" s="20">
        <f t="shared" si="229"/>
        <v>238</v>
      </c>
      <c r="CE225" s="20"/>
      <c r="CF225" s="20"/>
      <c r="CG225" s="46">
        <v>2011</v>
      </c>
      <c r="CH225" s="47" t="s">
        <v>41</v>
      </c>
      <c r="CI225" s="35">
        <f t="shared" si="203"/>
        <v>0.78589420654911835</v>
      </c>
      <c r="CJ225" s="35">
        <f t="shared" si="204"/>
        <v>0.80769230769230771</v>
      </c>
      <c r="CK225" s="35">
        <f t="shared" si="205"/>
        <v>0.97301187477509898</v>
      </c>
      <c r="CL225" s="20">
        <v>2779</v>
      </c>
      <c r="CM225" s="20">
        <f t="shared" si="186"/>
        <v>75</v>
      </c>
      <c r="CN225" s="20">
        <v>2704</v>
      </c>
      <c r="CO225" s="20">
        <v>2184</v>
      </c>
      <c r="CP225" s="20">
        <f t="shared" si="187"/>
        <v>520</v>
      </c>
      <c r="CQ225" s="20"/>
      <c r="CR225" s="20"/>
      <c r="CS225" s="46">
        <v>2011</v>
      </c>
      <c r="CT225" s="47" t="s">
        <v>41</v>
      </c>
      <c r="CU225" s="35">
        <f t="shared" si="188"/>
        <v>0.90295358649789026</v>
      </c>
      <c r="CV225" s="35">
        <f t="shared" si="189"/>
        <v>0.91160809371671991</v>
      </c>
      <c r="CW225" s="35">
        <f t="shared" si="190"/>
        <v>0.990506329113924</v>
      </c>
      <c r="CX225" s="20">
        <v>948</v>
      </c>
      <c r="CY225" s="27">
        <f t="shared" si="230"/>
        <v>9</v>
      </c>
      <c r="CZ225" s="20">
        <v>939</v>
      </c>
      <c r="DA225" s="20">
        <v>856</v>
      </c>
      <c r="DB225" s="20">
        <f t="shared" si="231"/>
        <v>83</v>
      </c>
      <c r="DC225" s="20"/>
      <c r="DD225" s="20"/>
      <c r="DE225" s="46">
        <v>2011</v>
      </c>
      <c r="DF225" s="47" t="s">
        <v>41</v>
      </c>
      <c r="DG225" s="35">
        <f t="shared" si="193"/>
        <v>0.95889387144992522</v>
      </c>
      <c r="DH225" s="35">
        <f t="shared" si="194"/>
        <v>0.97196969696969693</v>
      </c>
      <c r="DI225" s="35">
        <f t="shared" si="195"/>
        <v>0.98654708520179368</v>
      </c>
      <c r="DJ225" s="20">
        <v>1338</v>
      </c>
      <c r="DK225" s="27">
        <f t="shared" si="232"/>
        <v>18</v>
      </c>
      <c r="DL225" s="20">
        <v>1320</v>
      </c>
      <c r="DM225" s="20">
        <v>1283</v>
      </c>
      <c r="DN225" s="20">
        <f t="shared" si="233"/>
        <v>37</v>
      </c>
      <c r="DO225" s="20"/>
      <c r="DP225" s="20"/>
      <c r="DQ225" s="46"/>
      <c r="DR225" s="47"/>
      <c r="DS225" s="35"/>
      <c r="DT225" s="35"/>
      <c r="DU225" s="35"/>
      <c r="DV225" s="27"/>
      <c r="DW225" s="27"/>
      <c r="DX225" s="27"/>
      <c r="DY225" s="27"/>
      <c r="DZ225" s="27"/>
      <c r="EA225" s="27"/>
      <c r="EB225" s="27"/>
      <c r="EJ225" s="29"/>
      <c r="EK225" s="29"/>
      <c r="EL225" s="29"/>
    </row>
    <row r="226" spans="1:142" s="34" customFormat="1" ht="12.95" customHeight="1">
      <c r="A226" s="45">
        <v>2011</v>
      </c>
      <c r="B226" s="48" t="s">
        <v>42</v>
      </c>
      <c r="C226" s="35">
        <f t="shared" si="198"/>
        <v>0.83604752511583103</v>
      </c>
      <c r="D226" s="35">
        <f t="shared" si="199"/>
        <v>0.86810517290654476</v>
      </c>
      <c r="E226" s="35">
        <f t="shared" si="200"/>
        <v>0.96307170053672186</v>
      </c>
      <c r="F22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21799</v>
      </c>
      <c r="G226" s="20">
        <f t="shared" si="201"/>
        <v>805</v>
      </c>
      <c r="H22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20994</v>
      </c>
      <c r="I22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18225</v>
      </c>
      <c r="J226" s="20">
        <f t="shared" si="202"/>
        <v>2769</v>
      </c>
      <c r="K226" s="27"/>
      <c r="L226" s="27"/>
      <c r="M226" s="45">
        <v>2011</v>
      </c>
      <c r="N226" s="48" t="s">
        <v>42</v>
      </c>
      <c r="O226" s="35">
        <f t="shared" si="158"/>
        <v>0.83274940070071912</v>
      </c>
      <c r="P226" s="35">
        <f t="shared" si="159"/>
        <v>0.88967691095350665</v>
      </c>
      <c r="Q226" s="35">
        <f t="shared" si="160"/>
        <v>0.93601327678406787</v>
      </c>
      <c r="R226" s="20">
        <v>5423</v>
      </c>
      <c r="S226" s="27">
        <f t="shared" si="220"/>
        <v>347</v>
      </c>
      <c r="T226" s="20">
        <v>5076</v>
      </c>
      <c r="U226" s="20">
        <v>4516</v>
      </c>
      <c r="V226" s="20">
        <f t="shared" si="221"/>
        <v>560</v>
      </c>
      <c r="W226" s="20"/>
      <c r="X226" s="20"/>
      <c r="Y226" s="45"/>
      <c r="Z226" s="48"/>
      <c r="AA226" s="35"/>
      <c r="AB226" s="35"/>
      <c r="AC226" s="35"/>
      <c r="AD226" s="20"/>
      <c r="AE226" s="27"/>
      <c r="AF226" s="20"/>
      <c r="AG226" s="20"/>
      <c r="AH226" s="20"/>
      <c r="AI226" s="20"/>
      <c r="AJ226" s="20"/>
      <c r="AK226" s="45">
        <v>2011</v>
      </c>
      <c r="AL226" s="48" t="s">
        <v>42</v>
      </c>
      <c r="AM226" s="35">
        <f t="shared" si="163"/>
        <v>0.8865096359743041</v>
      </c>
      <c r="AN226" s="35">
        <f t="shared" si="164"/>
        <v>0.91500904159132013</v>
      </c>
      <c r="AO226" s="35">
        <f t="shared" si="165"/>
        <v>0.96885341639088962</v>
      </c>
      <c r="AP226" s="20">
        <v>5137</v>
      </c>
      <c r="AQ226" s="27">
        <f t="shared" si="222"/>
        <v>160</v>
      </c>
      <c r="AR226" s="20">
        <v>4977</v>
      </c>
      <c r="AS226" s="20">
        <v>4554</v>
      </c>
      <c r="AT226" s="20">
        <f t="shared" si="223"/>
        <v>423</v>
      </c>
      <c r="AU226" s="20"/>
      <c r="AV226" s="20"/>
      <c r="AW226" s="45">
        <v>2011</v>
      </c>
      <c r="AX226" s="48" t="s">
        <v>42</v>
      </c>
      <c r="AY226" s="35">
        <f t="shared" si="168"/>
        <v>0.63265306122448983</v>
      </c>
      <c r="AZ226" s="35">
        <f t="shared" si="169"/>
        <v>0.65840707964601775</v>
      </c>
      <c r="BA226" s="35">
        <f t="shared" si="170"/>
        <v>0.96088435374149661</v>
      </c>
      <c r="BB226" s="20">
        <v>588</v>
      </c>
      <c r="BC226" s="27">
        <f t="shared" si="224"/>
        <v>23</v>
      </c>
      <c r="BD226" s="20">
        <v>565</v>
      </c>
      <c r="BE226" s="20">
        <v>372</v>
      </c>
      <c r="BF226" s="20">
        <f t="shared" si="225"/>
        <v>193</v>
      </c>
      <c r="BG226" s="20"/>
      <c r="BH226" s="20"/>
      <c r="BI226" s="45">
        <v>2011</v>
      </c>
      <c r="BJ226" s="48" t="s">
        <v>42</v>
      </c>
      <c r="BK226" s="35">
        <f t="shared" si="173"/>
        <v>0.73370370370370375</v>
      </c>
      <c r="BL226" s="35">
        <f t="shared" si="174"/>
        <v>0.76368542791056282</v>
      </c>
      <c r="BM226" s="35">
        <f t="shared" si="175"/>
        <v>0.96074074074074078</v>
      </c>
      <c r="BN226" s="20">
        <v>2700</v>
      </c>
      <c r="BO226" s="27">
        <f t="shared" si="226"/>
        <v>106</v>
      </c>
      <c r="BP226" s="20">
        <v>2594</v>
      </c>
      <c r="BQ226" s="20">
        <v>1981</v>
      </c>
      <c r="BR226" s="20">
        <f t="shared" si="227"/>
        <v>613</v>
      </c>
      <c r="BS226" s="20"/>
      <c r="BT226" s="20"/>
      <c r="BU226" s="45">
        <v>2011</v>
      </c>
      <c r="BV226" s="48" t="s">
        <v>42</v>
      </c>
      <c r="BW226" s="35">
        <f t="shared" si="178"/>
        <v>0.88461538461538458</v>
      </c>
      <c r="BX226" s="35">
        <f t="shared" si="179"/>
        <v>0.90332326283987918</v>
      </c>
      <c r="BY226" s="35">
        <f t="shared" si="180"/>
        <v>0.97928994082840237</v>
      </c>
      <c r="BZ226" s="20">
        <v>2704</v>
      </c>
      <c r="CA226" s="27">
        <f t="shared" si="228"/>
        <v>56</v>
      </c>
      <c r="CB226" s="20">
        <v>2648</v>
      </c>
      <c r="CC226" s="20">
        <v>2392</v>
      </c>
      <c r="CD226" s="20">
        <f t="shared" si="229"/>
        <v>256</v>
      </c>
      <c r="CE226" s="20"/>
      <c r="CF226" s="20"/>
      <c r="CG226" s="45">
        <v>2011</v>
      </c>
      <c r="CH226" s="48" t="s">
        <v>42</v>
      </c>
      <c r="CI226" s="35">
        <f t="shared" si="203"/>
        <v>0.75095386749913284</v>
      </c>
      <c r="CJ226" s="35">
        <f t="shared" si="204"/>
        <v>0.77515216612960969</v>
      </c>
      <c r="CK226" s="35">
        <f t="shared" si="205"/>
        <v>0.96878251821019767</v>
      </c>
      <c r="CL226" s="20">
        <v>2883</v>
      </c>
      <c r="CM226" s="20">
        <f t="shared" si="186"/>
        <v>90</v>
      </c>
      <c r="CN226" s="20">
        <v>2793</v>
      </c>
      <c r="CO226" s="20">
        <v>2165</v>
      </c>
      <c r="CP226" s="20">
        <f t="shared" si="187"/>
        <v>628</v>
      </c>
      <c r="CQ226" s="20"/>
      <c r="CR226" s="20"/>
      <c r="CS226" s="45">
        <v>2011</v>
      </c>
      <c r="CT226" s="48" t="s">
        <v>42</v>
      </c>
      <c r="CU226" s="35">
        <f t="shared" si="188"/>
        <v>0.9</v>
      </c>
      <c r="CV226" s="35">
        <f t="shared" si="189"/>
        <v>0.91304347826086951</v>
      </c>
      <c r="CW226" s="35">
        <f t="shared" si="190"/>
        <v>0.98571428571428577</v>
      </c>
      <c r="CX226" s="20">
        <v>980</v>
      </c>
      <c r="CY226" s="27">
        <f t="shared" si="230"/>
        <v>14</v>
      </c>
      <c r="CZ226" s="20">
        <v>966</v>
      </c>
      <c r="DA226" s="20">
        <v>882</v>
      </c>
      <c r="DB226" s="20">
        <f t="shared" si="231"/>
        <v>84</v>
      </c>
      <c r="DC226" s="20"/>
      <c r="DD226" s="20"/>
      <c r="DE226" s="45">
        <v>2011</v>
      </c>
      <c r="DF226" s="48" t="s">
        <v>42</v>
      </c>
      <c r="DG226" s="35">
        <f t="shared" si="193"/>
        <v>0.98482658959537572</v>
      </c>
      <c r="DH226" s="35">
        <f t="shared" si="194"/>
        <v>0.99127272727272731</v>
      </c>
      <c r="DI226" s="35">
        <f t="shared" si="195"/>
        <v>0.99349710982658956</v>
      </c>
      <c r="DJ226" s="20">
        <v>1384</v>
      </c>
      <c r="DK226" s="27">
        <f t="shared" si="232"/>
        <v>9</v>
      </c>
      <c r="DL226" s="20">
        <v>1375</v>
      </c>
      <c r="DM226" s="20">
        <v>1363</v>
      </c>
      <c r="DN226" s="20">
        <f t="shared" si="233"/>
        <v>12</v>
      </c>
      <c r="DO226" s="20"/>
      <c r="DP226" s="20"/>
      <c r="DQ226" s="45"/>
      <c r="DR226" s="48"/>
      <c r="DS226" s="35"/>
      <c r="DT226" s="35"/>
      <c r="DU226" s="35"/>
      <c r="DV226" s="27"/>
      <c r="DW226" s="27"/>
      <c r="DX226" s="27"/>
      <c r="DY226" s="27"/>
      <c r="DZ226" s="27"/>
      <c r="EA226" s="27"/>
      <c r="EB226" s="27"/>
      <c r="EJ226" s="29"/>
      <c r="EK226" s="29"/>
      <c r="EL226" s="29"/>
    </row>
    <row r="227" spans="1:142" s="34" customFormat="1" ht="12.95" customHeight="1">
      <c r="A227" s="46">
        <v>2011</v>
      </c>
      <c r="B227" s="47" t="s">
        <v>43</v>
      </c>
      <c r="C227" s="35">
        <f t="shared" si="198"/>
        <v>0.83584246096481007</v>
      </c>
      <c r="D227" s="35">
        <f t="shared" si="199"/>
        <v>0.86909954444121351</v>
      </c>
      <c r="E227" s="35">
        <f t="shared" si="200"/>
        <v>0.96173386157072949</v>
      </c>
      <c r="F22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21455</v>
      </c>
      <c r="G227" s="20">
        <f t="shared" si="201"/>
        <v>821</v>
      </c>
      <c r="H22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I22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17933</v>
      </c>
      <c r="J227" s="20">
        <f t="shared" si="202"/>
        <v>2701</v>
      </c>
      <c r="K227" s="27"/>
      <c r="L227" s="27"/>
      <c r="M227" s="46">
        <v>2011</v>
      </c>
      <c r="N227" s="47" t="s">
        <v>43</v>
      </c>
      <c r="O227" s="35">
        <f t="shared" si="158"/>
        <v>0.83464566929133854</v>
      </c>
      <c r="P227" s="35">
        <f t="shared" si="159"/>
        <v>0.88210818307905692</v>
      </c>
      <c r="Q227" s="35">
        <f t="shared" si="160"/>
        <v>0.9461942257217848</v>
      </c>
      <c r="R227" s="20">
        <v>5334</v>
      </c>
      <c r="S227" s="27">
        <f t="shared" si="220"/>
        <v>287</v>
      </c>
      <c r="T227" s="20">
        <v>5047</v>
      </c>
      <c r="U227" s="20">
        <v>4452</v>
      </c>
      <c r="V227" s="20">
        <f t="shared" si="221"/>
        <v>595</v>
      </c>
      <c r="W227" s="20"/>
      <c r="X227" s="20"/>
      <c r="Y227" s="46"/>
      <c r="Z227" s="47"/>
      <c r="AA227" s="35"/>
      <c r="AB227" s="35"/>
      <c r="AC227" s="35"/>
      <c r="AD227" s="20"/>
      <c r="AE227" s="27"/>
      <c r="AF227" s="20"/>
      <c r="AG227" s="20"/>
      <c r="AH227" s="20"/>
      <c r="AI227" s="20"/>
      <c r="AJ227" s="20"/>
      <c r="AK227" s="46">
        <v>2011</v>
      </c>
      <c r="AL227" s="47" t="s">
        <v>43</v>
      </c>
      <c r="AM227" s="35">
        <f t="shared" si="163"/>
        <v>0.89078295341922697</v>
      </c>
      <c r="AN227" s="35">
        <f t="shared" si="164"/>
        <v>0.91137700263638211</v>
      </c>
      <c r="AO227" s="35">
        <f t="shared" si="165"/>
        <v>0.9774033696729435</v>
      </c>
      <c r="AP227" s="20">
        <v>5045</v>
      </c>
      <c r="AQ227" s="27">
        <f t="shared" si="222"/>
        <v>114</v>
      </c>
      <c r="AR227" s="20">
        <v>4931</v>
      </c>
      <c r="AS227" s="20">
        <v>4494</v>
      </c>
      <c r="AT227" s="20">
        <f t="shared" si="223"/>
        <v>437</v>
      </c>
      <c r="AU227" s="20"/>
      <c r="AV227" s="20"/>
      <c r="AW227" s="46">
        <v>2011</v>
      </c>
      <c r="AX227" s="47" t="s">
        <v>43</v>
      </c>
      <c r="AY227" s="35">
        <f t="shared" si="168"/>
        <v>0.69387755102040816</v>
      </c>
      <c r="AZ227" s="35">
        <f t="shared" si="169"/>
        <v>0.72597864768683273</v>
      </c>
      <c r="BA227" s="35">
        <f t="shared" si="170"/>
        <v>0.95578231292517002</v>
      </c>
      <c r="BB227" s="20">
        <v>588</v>
      </c>
      <c r="BC227" s="27">
        <f t="shared" si="224"/>
        <v>26</v>
      </c>
      <c r="BD227" s="20">
        <v>562</v>
      </c>
      <c r="BE227" s="20">
        <v>408</v>
      </c>
      <c r="BF227" s="20">
        <f t="shared" si="225"/>
        <v>154</v>
      </c>
      <c r="BG227" s="20"/>
      <c r="BH227" s="20"/>
      <c r="BI227" s="46">
        <v>2011</v>
      </c>
      <c r="BJ227" s="47" t="s">
        <v>43</v>
      </c>
      <c r="BK227" s="35">
        <f t="shared" si="173"/>
        <v>0.73552780930760497</v>
      </c>
      <c r="BL227" s="35">
        <f t="shared" si="174"/>
        <v>0.76265202040015689</v>
      </c>
      <c r="BM227" s="35">
        <f t="shared" si="175"/>
        <v>0.96443435489973517</v>
      </c>
      <c r="BN227" s="20">
        <v>2643</v>
      </c>
      <c r="BO227" s="27">
        <f t="shared" si="226"/>
        <v>94</v>
      </c>
      <c r="BP227" s="20">
        <v>2549</v>
      </c>
      <c r="BQ227" s="20">
        <v>1944</v>
      </c>
      <c r="BR227" s="20">
        <f t="shared" si="227"/>
        <v>605</v>
      </c>
      <c r="BS227" s="20"/>
      <c r="BT227" s="20"/>
      <c r="BU227" s="46">
        <v>2011</v>
      </c>
      <c r="BV227" s="47" t="s">
        <v>43</v>
      </c>
      <c r="BW227" s="35">
        <f t="shared" si="178"/>
        <v>0.87762762762762758</v>
      </c>
      <c r="BX227" s="35">
        <f t="shared" si="179"/>
        <v>0.89578544061302678</v>
      </c>
      <c r="BY227" s="35">
        <f t="shared" si="180"/>
        <v>0.97972972972972971</v>
      </c>
      <c r="BZ227" s="20">
        <v>2664</v>
      </c>
      <c r="CA227" s="27">
        <f t="shared" si="228"/>
        <v>54</v>
      </c>
      <c r="CB227" s="20">
        <v>2610</v>
      </c>
      <c r="CC227" s="20">
        <v>2338</v>
      </c>
      <c r="CD227" s="20">
        <f t="shared" si="229"/>
        <v>272</v>
      </c>
      <c r="CE227" s="20"/>
      <c r="CF227" s="20"/>
      <c r="CG227" s="46">
        <v>2011</v>
      </c>
      <c r="CH227" s="47" t="s">
        <v>43</v>
      </c>
      <c r="CI227" s="35">
        <f t="shared" si="203"/>
        <v>0.74337221633085893</v>
      </c>
      <c r="CJ227" s="35">
        <f t="shared" si="204"/>
        <v>0.78470149253731347</v>
      </c>
      <c r="CK227" s="35">
        <f t="shared" si="205"/>
        <v>0.94733121244255925</v>
      </c>
      <c r="CL227" s="20">
        <v>2829</v>
      </c>
      <c r="CM227" s="20">
        <f t="shared" si="186"/>
        <v>149</v>
      </c>
      <c r="CN227" s="20">
        <v>2680</v>
      </c>
      <c r="CO227" s="20">
        <v>2103</v>
      </c>
      <c r="CP227" s="20">
        <f t="shared" si="187"/>
        <v>577</v>
      </c>
      <c r="CQ227" s="20"/>
      <c r="CR227" s="20"/>
      <c r="CS227" s="46">
        <v>2011</v>
      </c>
      <c r="CT227" s="47" t="s">
        <v>43</v>
      </c>
      <c r="CU227" s="35">
        <f t="shared" si="188"/>
        <v>0.89117043121149897</v>
      </c>
      <c r="CV227" s="35">
        <f t="shared" si="189"/>
        <v>0.95700110253583237</v>
      </c>
      <c r="CW227" s="35">
        <f t="shared" si="190"/>
        <v>0.93121149897330591</v>
      </c>
      <c r="CX227" s="20">
        <v>974</v>
      </c>
      <c r="CY227" s="27">
        <f t="shared" si="230"/>
        <v>67</v>
      </c>
      <c r="CZ227" s="20">
        <v>907</v>
      </c>
      <c r="DA227" s="20">
        <v>868</v>
      </c>
      <c r="DB227" s="20">
        <f t="shared" si="231"/>
        <v>39</v>
      </c>
      <c r="DC227" s="20"/>
      <c r="DD227" s="20"/>
      <c r="DE227" s="46">
        <v>2011</v>
      </c>
      <c r="DF227" s="47" t="s">
        <v>43</v>
      </c>
      <c r="DG227" s="35">
        <f t="shared" si="193"/>
        <v>0.96226415094339623</v>
      </c>
      <c r="DH227" s="35">
        <f t="shared" si="194"/>
        <v>0.98367952522255198</v>
      </c>
      <c r="DI227" s="35">
        <f t="shared" si="195"/>
        <v>0.97822931785195932</v>
      </c>
      <c r="DJ227" s="20">
        <v>1378</v>
      </c>
      <c r="DK227" s="27">
        <f t="shared" si="232"/>
        <v>30</v>
      </c>
      <c r="DL227" s="20">
        <v>1348</v>
      </c>
      <c r="DM227" s="20">
        <v>1326</v>
      </c>
      <c r="DN227" s="20">
        <f t="shared" si="233"/>
        <v>22</v>
      </c>
      <c r="DO227" s="20"/>
      <c r="DP227" s="20"/>
      <c r="DQ227" s="46"/>
      <c r="DR227" s="47"/>
      <c r="DS227" s="35"/>
      <c r="DT227" s="35"/>
      <c r="DU227" s="35"/>
      <c r="DV227" s="27"/>
      <c r="DW227" s="27"/>
      <c r="DX227" s="27"/>
      <c r="DY227" s="27"/>
      <c r="DZ227" s="27"/>
      <c r="EA227" s="27"/>
      <c r="EB227" s="27"/>
      <c r="EJ227" s="29"/>
      <c r="EK227" s="29"/>
      <c r="EL227" s="29"/>
    </row>
    <row r="228" spans="1:142" s="34" customFormat="1" ht="12.95" customHeight="1">
      <c r="A228" s="45">
        <v>2011</v>
      </c>
      <c r="B228" s="48" t="s">
        <v>44</v>
      </c>
      <c r="C228" s="35">
        <f t="shared" si="198"/>
        <v>0.84213374216530645</v>
      </c>
      <c r="D228" s="35">
        <f t="shared" si="199"/>
        <v>0.89047823391980163</v>
      </c>
      <c r="E228" s="35">
        <f t="shared" si="200"/>
        <v>0.94570951887090227</v>
      </c>
      <c r="F22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22177</v>
      </c>
      <c r="G228" s="20">
        <f t="shared" si="201"/>
        <v>1204</v>
      </c>
      <c r="H22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20973</v>
      </c>
      <c r="I22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18676</v>
      </c>
      <c r="J228" s="20">
        <f t="shared" si="202"/>
        <v>2297</v>
      </c>
      <c r="K228" s="27"/>
      <c r="L228" s="27"/>
      <c r="M228" s="45">
        <v>2011</v>
      </c>
      <c r="N228" s="48" t="s">
        <v>44</v>
      </c>
      <c r="O228" s="35">
        <f t="shared" si="158"/>
        <v>0.84919904253360334</v>
      </c>
      <c r="P228" s="35">
        <f t="shared" si="159"/>
        <v>0.90626842208685399</v>
      </c>
      <c r="Q228" s="35">
        <f t="shared" si="160"/>
        <v>0.93702817160743879</v>
      </c>
      <c r="R228" s="20">
        <v>5431</v>
      </c>
      <c r="S228" s="27">
        <f t="shared" si="220"/>
        <v>342</v>
      </c>
      <c r="T228" s="20">
        <v>5089</v>
      </c>
      <c r="U228" s="20">
        <v>4612</v>
      </c>
      <c r="V228" s="20">
        <f t="shared" si="221"/>
        <v>477</v>
      </c>
      <c r="W228" s="20"/>
      <c r="X228" s="20"/>
      <c r="Y228" s="45"/>
      <c r="Z228" s="48"/>
      <c r="AA228" s="35"/>
      <c r="AB228" s="35"/>
      <c r="AC228" s="35"/>
      <c r="AD228" s="20"/>
      <c r="AE228" s="27"/>
      <c r="AF228" s="20"/>
      <c r="AG228" s="20"/>
      <c r="AH228" s="20"/>
      <c r="AI228" s="20"/>
      <c r="AJ228" s="20"/>
      <c r="AK228" s="45">
        <v>2011</v>
      </c>
      <c r="AL228" s="48" t="s">
        <v>44</v>
      </c>
      <c r="AM228" s="35">
        <f t="shared" si="163"/>
        <v>0.8748785700408005</v>
      </c>
      <c r="AN228" s="35">
        <f t="shared" si="164"/>
        <v>0.92350287120590646</v>
      </c>
      <c r="AO228" s="35">
        <f t="shared" si="165"/>
        <v>0.94734796969108215</v>
      </c>
      <c r="AP228" s="20">
        <v>5147</v>
      </c>
      <c r="AQ228" s="27">
        <f t="shared" si="222"/>
        <v>271</v>
      </c>
      <c r="AR228" s="20">
        <v>4876</v>
      </c>
      <c r="AS228" s="20">
        <v>4503</v>
      </c>
      <c r="AT228" s="20">
        <f t="shared" si="223"/>
        <v>373</v>
      </c>
      <c r="AU228" s="20"/>
      <c r="AV228" s="20"/>
      <c r="AW228" s="45">
        <v>2011</v>
      </c>
      <c r="AX228" s="48" t="s">
        <v>44</v>
      </c>
      <c r="AY228" s="35">
        <f t="shared" si="168"/>
        <v>0.71088435374149661</v>
      </c>
      <c r="AZ228" s="35">
        <f t="shared" si="169"/>
        <v>0.75451263537906132</v>
      </c>
      <c r="BA228" s="35">
        <f t="shared" si="170"/>
        <v>0.94217687074829937</v>
      </c>
      <c r="BB228" s="20">
        <v>588</v>
      </c>
      <c r="BC228" s="27">
        <f t="shared" si="224"/>
        <v>34</v>
      </c>
      <c r="BD228" s="20">
        <v>554</v>
      </c>
      <c r="BE228" s="20">
        <v>418</v>
      </c>
      <c r="BF228" s="20">
        <f t="shared" si="225"/>
        <v>136</v>
      </c>
      <c r="BG228" s="20"/>
      <c r="BH228" s="20"/>
      <c r="BI228" s="45">
        <v>2011</v>
      </c>
      <c r="BJ228" s="48" t="s">
        <v>44</v>
      </c>
      <c r="BK228" s="35">
        <f t="shared" si="173"/>
        <v>0.80014587892049593</v>
      </c>
      <c r="BL228" s="35">
        <f t="shared" si="174"/>
        <v>0.8285498489425982</v>
      </c>
      <c r="BM228" s="35">
        <f t="shared" si="175"/>
        <v>0.96571845368344278</v>
      </c>
      <c r="BN228" s="20">
        <v>2742</v>
      </c>
      <c r="BO228" s="27">
        <f t="shared" si="226"/>
        <v>94</v>
      </c>
      <c r="BP228" s="20">
        <v>2648</v>
      </c>
      <c r="BQ228" s="20">
        <v>2194</v>
      </c>
      <c r="BR228" s="20">
        <f t="shared" si="227"/>
        <v>454</v>
      </c>
      <c r="BS228" s="20"/>
      <c r="BT228" s="20"/>
      <c r="BU228" s="45">
        <v>2011</v>
      </c>
      <c r="BV228" s="48" t="s">
        <v>44</v>
      </c>
      <c r="BW228" s="35">
        <f t="shared" si="178"/>
        <v>0.90844062947067239</v>
      </c>
      <c r="BX228" s="35">
        <f t="shared" si="179"/>
        <v>0.93451066961000739</v>
      </c>
      <c r="BY228" s="35">
        <f t="shared" si="180"/>
        <v>0.97210300429184548</v>
      </c>
      <c r="BZ228" s="20">
        <v>2796</v>
      </c>
      <c r="CA228" s="27">
        <f t="shared" si="228"/>
        <v>78</v>
      </c>
      <c r="CB228" s="20">
        <v>2718</v>
      </c>
      <c r="CC228" s="20">
        <v>2540</v>
      </c>
      <c r="CD228" s="20">
        <f t="shared" si="229"/>
        <v>178</v>
      </c>
      <c r="CE228" s="20"/>
      <c r="CF228" s="20"/>
      <c r="CG228" s="45">
        <v>2011</v>
      </c>
      <c r="CH228" s="48" t="s">
        <v>44</v>
      </c>
      <c r="CI228" s="35">
        <f t="shared" si="203"/>
        <v>0.72312373225152127</v>
      </c>
      <c r="CJ228" s="35">
        <f t="shared" si="204"/>
        <v>0.79222222222222227</v>
      </c>
      <c r="CK228" s="35">
        <f t="shared" si="205"/>
        <v>0.91277890466531442</v>
      </c>
      <c r="CL228" s="20">
        <v>2958</v>
      </c>
      <c r="CM228" s="20">
        <f t="shared" si="186"/>
        <v>258</v>
      </c>
      <c r="CN228" s="20">
        <v>2700</v>
      </c>
      <c r="CO228" s="20">
        <v>2139</v>
      </c>
      <c r="CP228" s="20">
        <f t="shared" si="187"/>
        <v>561</v>
      </c>
      <c r="CQ228" s="20"/>
      <c r="CR228" s="20"/>
      <c r="CS228" s="45">
        <v>2011</v>
      </c>
      <c r="CT228" s="48" t="s">
        <v>44</v>
      </c>
      <c r="CU228" s="35">
        <f t="shared" si="188"/>
        <v>0.81879194630872487</v>
      </c>
      <c r="CV228" s="35">
        <f t="shared" si="189"/>
        <v>0.8970588235294118</v>
      </c>
      <c r="CW228" s="35">
        <f t="shared" si="190"/>
        <v>0.91275167785234901</v>
      </c>
      <c r="CX228" s="20">
        <v>1043</v>
      </c>
      <c r="CY228" s="27">
        <f t="shared" si="230"/>
        <v>91</v>
      </c>
      <c r="CZ228" s="20">
        <v>952</v>
      </c>
      <c r="DA228" s="20">
        <v>854</v>
      </c>
      <c r="DB228" s="20">
        <f t="shared" si="231"/>
        <v>98</v>
      </c>
      <c r="DC228" s="20"/>
      <c r="DD228" s="20"/>
      <c r="DE228" s="45">
        <v>2011</v>
      </c>
      <c r="DF228" s="48" t="s">
        <v>44</v>
      </c>
      <c r="DG228" s="35">
        <f t="shared" si="193"/>
        <v>0.96195652173913049</v>
      </c>
      <c r="DH228" s="35">
        <f t="shared" si="194"/>
        <v>0.98607242339832868</v>
      </c>
      <c r="DI228" s="35">
        <f t="shared" si="195"/>
        <v>0.97554347826086951</v>
      </c>
      <c r="DJ228" s="20">
        <v>1472</v>
      </c>
      <c r="DK228" s="27">
        <f t="shared" si="232"/>
        <v>36</v>
      </c>
      <c r="DL228" s="20">
        <v>1436</v>
      </c>
      <c r="DM228" s="20">
        <v>1416</v>
      </c>
      <c r="DN228" s="20">
        <f t="shared" si="233"/>
        <v>20</v>
      </c>
      <c r="DO228" s="20"/>
      <c r="DP228" s="20"/>
      <c r="DQ228" s="45"/>
      <c r="DR228" s="48"/>
      <c r="DS228" s="35"/>
      <c r="DT228" s="35"/>
      <c r="DU228" s="35"/>
      <c r="DV228" s="27"/>
      <c r="DW228" s="27"/>
      <c r="DX228" s="27"/>
      <c r="DY228" s="27"/>
      <c r="DZ228" s="27"/>
      <c r="EA228" s="27"/>
      <c r="EB228" s="27"/>
      <c r="EJ228" s="29"/>
      <c r="EK228" s="29"/>
      <c r="EL228" s="29"/>
    </row>
    <row r="229" spans="1:142" s="34" customFormat="1" ht="12.95" customHeight="1">
      <c r="A229" s="46">
        <v>2011</v>
      </c>
      <c r="B229" s="47" t="s">
        <v>45</v>
      </c>
      <c r="C229" s="35">
        <f t="shared" si="198"/>
        <v>0.86484441080888574</v>
      </c>
      <c r="D229" s="35">
        <f t="shared" si="199"/>
        <v>0.89952308190952446</v>
      </c>
      <c r="E229" s="35">
        <f t="shared" si="200"/>
        <v>0.9614477140186084</v>
      </c>
      <c r="F22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G229" s="20">
        <f t="shared" si="201"/>
        <v>866</v>
      </c>
      <c r="H22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21597</v>
      </c>
      <c r="I22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19427</v>
      </c>
      <c r="J229" s="20">
        <f t="shared" si="202"/>
        <v>2170</v>
      </c>
      <c r="K229" s="27"/>
      <c r="L229" s="27"/>
      <c r="M229" s="46">
        <v>2011</v>
      </c>
      <c r="N229" s="47" t="s">
        <v>45</v>
      </c>
      <c r="O229" s="35">
        <f t="shared" si="158"/>
        <v>0.87651419273187492</v>
      </c>
      <c r="P229" s="35">
        <f t="shared" si="159"/>
        <v>0.92009869045359649</v>
      </c>
      <c r="Q229" s="35">
        <f t="shared" si="160"/>
        <v>0.95263062737298865</v>
      </c>
      <c r="R229" s="20">
        <v>5531</v>
      </c>
      <c r="S229" s="27">
        <f t="shared" si="220"/>
        <v>262</v>
      </c>
      <c r="T229" s="20">
        <v>5269</v>
      </c>
      <c r="U229" s="20">
        <v>4848</v>
      </c>
      <c r="V229" s="20">
        <f t="shared" si="221"/>
        <v>421</v>
      </c>
      <c r="W229" s="20"/>
      <c r="X229" s="20"/>
      <c r="Y229" s="46"/>
      <c r="Z229" s="47"/>
      <c r="AA229" s="35"/>
      <c r="AB229" s="35"/>
      <c r="AC229" s="35"/>
      <c r="AD229" s="20"/>
      <c r="AE229" s="27"/>
      <c r="AF229" s="20"/>
      <c r="AG229" s="20"/>
      <c r="AH229" s="20"/>
      <c r="AI229" s="20"/>
      <c r="AJ229" s="20"/>
      <c r="AK229" s="46">
        <v>2011</v>
      </c>
      <c r="AL229" s="47" t="s">
        <v>45</v>
      </c>
      <c r="AM229" s="35">
        <f t="shared" si="163"/>
        <v>0.91218672278553659</v>
      </c>
      <c r="AN229" s="35">
        <f t="shared" si="164"/>
        <v>0.93821330184966545</v>
      </c>
      <c r="AO229" s="35">
        <f t="shared" si="165"/>
        <v>0.97225942223072503</v>
      </c>
      <c r="AP229" s="20">
        <v>5227</v>
      </c>
      <c r="AQ229" s="27">
        <f t="shared" si="222"/>
        <v>145</v>
      </c>
      <c r="AR229" s="20">
        <v>5082</v>
      </c>
      <c r="AS229" s="20">
        <v>4768</v>
      </c>
      <c r="AT229" s="20">
        <f t="shared" si="223"/>
        <v>314</v>
      </c>
      <c r="AU229" s="20"/>
      <c r="AV229" s="20"/>
      <c r="AW229" s="46">
        <v>2011</v>
      </c>
      <c r="AX229" s="47" t="s">
        <v>45</v>
      </c>
      <c r="AY229" s="35">
        <f t="shared" si="168"/>
        <v>0.70941558441558439</v>
      </c>
      <c r="AZ229" s="35">
        <f t="shared" si="169"/>
        <v>0.74957118353344765</v>
      </c>
      <c r="BA229" s="35">
        <f t="shared" si="170"/>
        <v>0.9464285714285714</v>
      </c>
      <c r="BB229" s="20">
        <v>616</v>
      </c>
      <c r="BC229" s="27">
        <f t="shared" si="224"/>
        <v>33</v>
      </c>
      <c r="BD229" s="20">
        <v>583</v>
      </c>
      <c r="BE229" s="20">
        <v>437</v>
      </c>
      <c r="BF229" s="20">
        <f t="shared" si="225"/>
        <v>146</v>
      </c>
      <c r="BG229" s="20"/>
      <c r="BH229" s="20"/>
      <c r="BI229" s="46">
        <v>2011</v>
      </c>
      <c r="BJ229" s="47" t="s">
        <v>45</v>
      </c>
      <c r="BK229" s="35">
        <f t="shared" si="173"/>
        <v>0.82301845819761132</v>
      </c>
      <c r="BL229" s="35">
        <f t="shared" si="174"/>
        <v>0.84503901895206246</v>
      </c>
      <c r="BM229" s="35">
        <f t="shared" si="175"/>
        <v>0.97394136807817588</v>
      </c>
      <c r="BN229" s="20">
        <v>2763</v>
      </c>
      <c r="BO229" s="27">
        <f t="shared" si="226"/>
        <v>72</v>
      </c>
      <c r="BP229" s="20">
        <v>2691</v>
      </c>
      <c r="BQ229" s="20">
        <v>2274</v>
      </c>
      <c r="BR229" s="20">
        <f t="shared" si="227"/>
        <v>417</v>
      </c>
      <c r="BS229" s="20"/>
      <c r="BT229" s="20"/>
      <c r="BU229" s="46">
        <v>2011</v>
      </c>
      <c r="BV229" s="47" t="s">
        <v>45</v>
      </c>
      <c r="BW229" s="35">
        <f t="shared" si="178"/>
        <v>0.9357700496806246</v>
      </c>
      <c r="BX229" s="35">
        <f t="shared" si="179"/>
        <v>0.94924406047516197</v>
      </c>
      <c r="BY229" s="35">
        <f t="shared" si="180"/>
        <v>0.98580553584102204</v>
      </c>
      <c r="BZ229" s="20">
        <v>2818</v>
      </c>
      <c r="CA229" s="27">
        <f t="shared" si="228"/>
        <v>40</v>
      </c>
      <c r="CB229" s="20">
        <v>2778</v>
      </c>
      <c r="CC229" s="20">
        <v>2637</v>
      </c>
      <c r="CD229" s="20">
        <f t="shared" si="229"/>
        <v>141</v>
      </c>
      <c r="CE229" s="20"/>
      <c r="CF229" s="20"/>
      <c r="CG229" s="46">
        <v>2011</v>
      </c>
      <c r="CH229" s="47" t="s">
        <v>45</v>
      </c>
      <c r="CI229" s="35">
        <f t="shared" si="203"/>
        <v>0.73799126637554591</v>
      </c>
      <c r="CJ229" s="35">
        <f t="shared" si="204"/>
        <v>0.7900035958288385</v>
      </c>
      <c r="CK229" s="35">
        <f t="shared" si="205"/>
        <v>0.9341619079610346</v>
      </c>
      <c r="CL229" s="20">
        <v>2977</v>
      </c>
      <c r="CM229" s="20">
        <f t="shared" si="186"/>
        <v>196</v>
      </c>
      <c r="CN229" s="20">
        <v>2781</v>
      </c>
      <c r="CO229" s="20">
        <v>2197</v>
      </c>
      <c r="CP229" s="20">
        <f t="shared" si="187"/>
        <v>584</v>
      </c>
      <c r="CQ229" s="20"/>
      <c r="CR229" s="20"/>
      <c r="CS229" s="46">
        <v>2011</v>
      </c>
      <c r="CT229" s="47" t="s">
        <v>45</v>
      </c>
      <c r="CU229" s="35">
        <f t="shared" si="188"/>
        <v>0.8024809160305344</v>
      </c>
      <c r="CV229" s="35">
        <f t="shared" si="189"/>
        <v>0.86880165289256195</v>
      </c>
      <c r="CW229" s="35">
        <f t="shared" si="190"/>
        <v>0.92366412213740456</v>
      </c>
      <c r="CX229" s="20">
        <v>1048</v>
      </c>
      <c r="CY229" s="27">
        <f t="shared" si="230"/>
        <v>80</v>
      </c>
      <c r="CZ229" s="20">
        <v>968</v>
      </c>
      <c r="DA229" s="20">
        <v>841</v>
      </c>
      <c r="DB229" s="20">
        <f t="shared" si="231"/>
        <v>127</v>
      </c>
      <c r="DC229" s="20"/>
      <c r="DD229" s="20"/>
      <c r="DE229" s="46">
        <v>2011</v>
      </c>
      <c r="DF229" s="47" t="s">
        <v>45</v>
      </c>
      <c r="DG229" s="35">
        <f t="shared" si="193"/>
        <v>0.96089008766014838</v>
      </c>
      <c r="DH229" s="35">
        <f t="shared" si="194"/>
        <v>0.98615916955017302</v>
      </c>
      <c r="DI229" s="35">
        <f t="shared" si="195"/>
        <v>0.97437626432906266</v>
      </c>
      <c r="DJ229" s="20">
        <v>1483</v>
      </c>
      <c r="DK229" s="27">
        <f t="shared" si="232"/>
        <v>38</v>
      </c>
      <c r="DL229" s="20">
        <v>1445</v>
      </c>
      <c r="DM229" s="20">
        <v>1425</v>
      </c>
      <c r="DN229" s="20">
        <f t="shared" si="233"/>
        <v>20</v>
      </c>
      <c r="DO229" s="20"/>
      <c r="DP229" s="20"/>
      <c r="DQ229" s="46"/>
      <c r="DR229" s="47"/>
      <c r="DS229" s="35"/>
      <c r="DT229" s="35"/>
      <c r="DU229" s="35"/>
      <c r="DV229" s="27"/>
      <c r="DW229" s="27"/>
      <c r="DX229" s="27"/>
      <c r="DY229" s="27"/>
      <c r="DZ229" s="27"/>
      <c r="EA229" s="27"/>
      <c r="EB229" s="27"/>
      <c r="EJ229" s="29"/>
      <c r="EK229" s="29"/>
      <c r="EL229" s="29"/>
    </row>
    <row r="230" spans="1:142" s="34" customFormat="1" ht="12.95" customHeight="1">
      <c r="A230" s="45">
        <v>2011</v>
      </c>
      <c r="B230" s="48" t="s">
        <v>46</v>
      </c>
      <c r="C230" s="35">
        <f t="shared" si="198"/>
        <v>0.89177508870894373</v>
      </c>
      <c r="D230" s="35">
        <f t="shared" si="199"/>
        <v>0.92593642246469232</v>
      </c>
      <c r="E230" s="35">
        <f t="shared" si="200"/>
        <v>0.9631061777818215</v>
      </c>
      <c r="F23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21982</v>
      </c>
      <c r="G230" s="20">
        <f t="shared" si="201"/>
        <v>811</v>
      </c>
      <c r="H23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21171</v>
      </c>
      <c r="I23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19603</v>
      </c>
      <c r="J230" s="20">
        <f t="shared" si="202"/>
        <v>1568</v>
      </c>
      <c r="K230" s="27"/>
      <c r="L230" s="27"/>
      <c r="M230" s="45">
        <v>2011</v>
      </c>
      <c r="N230" s="48" t="s">
        <v>46</v>
      </c>
      <c r="O230" s="35">
        <f t="shared" si="158"/>
        <v>0.88304523721956607</v>
      </c>
      <c r="P230" s="35">
        <f t="shared" si="159"/>
        <v>0.94323315655077589</v>
      </c>
      <c r="Q230" s="35">
        <f t="shared" si="160"/>
        <v>0.93618977565281358</v>
      </c>
      <c r="R230" s="20">
        <v>5438</v>
      </c>
      <c r="S230" s="27">
        <f t="shared" si="220"/>
        <v>347</v>
      </c>
      <c r="T230" s="20">
        <v>5091</v>
      </c>
      <c r="U230" s="20">
        <v>4802</v>
      </c>
      <c r="V230" s="20">
        <f t="shared" si="221"/>
        <v>289</v>
      </c>
      <c r="W230" s="20"/>
      <c r="X230" s="20"/>
      <c r="Y230" s="45"/>
      <c r="Z230" s="48"/>
      <c r="AA230" s="35"/>
      <c r="AB230" s="35"/>
      <c r="AC230" s="35"/>
      <c r="AD230" s="20"/>
      <c r="AE230" s="27"/>
      <c r="AF230" s="20"/>
      <c r="AG230" s="20"/>
      <c r="AH230" s="20"/>
      <c r="AI230" s="20"/>
      <c r="AJ230" s="20"/>
      <c r="AK230" s="45">
        <v>2011</v>
      </c>
      <c r="AL230" s="48" t="s">
        <v>46</v>
      </c>
      <c r="AM230" s="35">
        <f t="shared" si="163"/>
        <v>0.95048732943469783</v>
      </c>
      <c r="AN230" s="35">
        <f t="shared" si="164"/>
        <v>0.96726839912715734</v>
      </c>
      <c r="AO230" s="35">
        <f t="shared" si="165"/>
        <v>0.98265107212475633</v>
      </c>
      <c r="AP230" s="20">
        <v>5130</v>
      </c>
      <c r="AQ230" s="27">
        <f t="shared" si="222"/>
        <v>89</v>
      </c>
      <c r="AR230" s="20">
        <v>5041</v>
      </c>
      <c r="AS230" s="20">
        <v>4876</v>
      </c>
      <c r="AT230" s="20">
        <f t="shared" si="223"/>
        <v>165</v>
      </c>
      <c r="AU230" s="20"/>
      <c r="AV230" s="20"/>
      <c r="AW230" s="45">
        <v>2011</v>
      </c>
      <c r="AX230" s="48" t="s">
        <v>46</v>
      </c>
      <c r="AY230" s="35">
        <f t="shared" si="168"/>
        <v>0.8571428571428571</v>
      </c>
      <c r="AZ230" s="35">
        <f t="shared" si="169"/>
        <v>0.90877796901893293</v>
      </c>
      <c r="BA230" s="35">
        <f t="shared" si="170"/>
        <v>0.94318181818181823</v>
      </c>
      <c r="BB230" s="20">
        <v>616</v>
      </c>
      <c r="BC230" s="27">
        <f t="shared" si="224"/>
        <v>35</v>
      </c>
      <c r="BD230" s="20">
        <v>581</v>
      </c>
      <c r="BE230" s="20">
        <v>528</v>
      </c>
      <c r="BF230" s="20">
        <f t="shared" si="225"/>
        <v>53</v>
      </c>
      <c r="BG230" s="20"/>
      <c r="BH230" s="20"/>
      <c r="BI230" s="45">
        <v>2011</v>
      </c>
      <c r="BJ230" s="48" t="s">
        <v>46</v>
      </c>
      <c r="BK230" s="35">
        <f t="shared" si="173"/>
        <v>0.82986627043090644</v>
      </c>
      <c r="BL230" s="35">
        <f t="shared" si="174"/>
        <v>0.85725249424405214</v>
      </c>
      <c r="BM230" s="35">
        <f t="shared" si="175"/>
        <v>0.96805349182763745</v>
      </c>
      <c r="BN230" s="20">
        <v>2692</v>
      </c>
      <c r="BO230" s="27">
        <f t="shared" si="226"/>
        <v>86</v>
      </c>
      <c r="BP230" s="20">
        <v>2606</v>
      </c>
      <c r="BQ230" s="20">
        <v>2234</v>
      </c>
      <c r="BR230" s="20">
        <f t="shared" si="227"/>
        <v>372</v>
      </c>
      <c r="BS230" s="20"/>
      <c r="BT230" s="20"/>
      <c r="BU230" s="45">
        <v>2011</v>
      </c>
      <c r="BV230" s="48" t="s">
        <v>46</v>
      </c>
      <c r="BW230" s="35">
        <f t="shared" si="178"/>
        <v>0.93740902474526933</v>
      </c>
      <c r="BX230" s="35">
        <f t="shared" si="179"/>
        <v>0.95478131949592293</v>
      </c>
      <c r="BY230" s="35">
        <f t="shared" si="180"/>
        <v>0.9818049490538574</v>
      </c>
      <c r="BZ230" s="20">
        <v>2748</v>
      </c>
      <c r="CA230" s="27">
        <f t="shared" si="228"/>
        <v>50</v>
      </c>
      <c r="CB230" s="20">
        <v>2698</v>
      </c>
      <c r="CC230" s="20">
        <v>2576</v>
      </c>
      <c r="CD230" s="20">
        <f t="shared" si="229"/>
        <v>122</v>
      </c>
      <c r="CE230" s="20"/>
      <c r="CF230" s="20"/>
      <c r="CG230" s="45">
        <v>2011</v>
      </c>
      <c r="CH230" s="48" t="s">
        <v>46</v>
      </c>
      <c r="CI230" s="35">
        <f t="shared" si="203"/>
        <v>0.76968232044198892</v>
      </c>
      <c r="CJ230" s="35">
        <f t="shared" si="204"/>
        <v>0.81888317413666423</v>
      </c>
      <c r="CK230" s="35">
        <f t="shared" si="205"/>
        <v>0.93991712707182318</v>
      </c>
      <c r="CL230" s="20">
        <v>2896</v>
      </c>
      <c r="CM230" s="20">
        <f t="shared" si="186"/>
        <v>174</v>
      </c>
      <c r="CN230" s="20">
        <v>2722</v>
      </c>
      <c r="CO230" s="20">
        <v>2229</v>
      </c>
      <c r="CP230" s="20">
        <f t="shared" si="187"/>
        <v>493</v>
      </c>
      <c r="CQ230" s="20"/>
      <c r="CR230" s="20"/>
      <c r="CS230" s="45">
        <v>2011</v>
      </c>
      <c r="CT230" s="48" t="s">
        <v>46</v>
      </c>
      <c r="CU230" s="35">
        <f t="shared" si="188"/>
        <v>0.9263261296660118</v>
      </c>
      <c r="CV230" s="35">
        <f t="shared" si="189"/>
        <v>0.93551587301587302</v>
      </c>
      <c r="CW230" s="35">
        <f t="shared" si="190"/>
        <v>0.99017681728880158</v>
      </c>
      <c r="CX230" s="20">
        <v>1018</v>
      </c>
      <c r="CY230" s="27">
        <f t="shared" si="230"/>
        <v>10</v>
      </c>
      <c r="CZ230" s="20">
        <v>1008</v>
      </c>
      <c r="DA230" s="20">
        <v>943</v>
      </c>
      <c r="DB230" s="20">
        <f t="shared" si="231"/>
        <v>65</v>
      </c>
      <c r="DC230" s="20"/>
      <c r="DD230" s="20"/>
      <c r="DE230" s="45">
        <v>2011</v>
      </c>
      <c r="DF230" s="48" t="s">
        <v>46</v>
      </c>
      <c r="DG230" s="35">
        <f t="shared" si="193"/>
        <v>0.97991689750692523</v>
      </c>
      <c r="DH230" s="35">
        <f t="shared" si="194"/>
        <v>0.9936797752808989</v>
      </c>
      <c r="DI230" s="35">
        <f t="shared" si="195"/>
        <v>0.98614958448753465</v>
      </c>
      <c r="DJ230" s="20">
        <v>1444</v>
      </c>
      <c r="DK230" s="27">
        <f t="shared" si="232"/>
        <v>20</v>
      </c>
      <c r="DL230" s="20">
        <v>1424</v>
      </c>
      <c r="DM230" s="20">
        <v>1415</v>
      </c>
      <c r="DN230" s="20">
        <f t="shared" si="233"/>
        <v>9</v>
      </c>
      <c r="DO230" s="20"/>
      <c r="DP230" s="20"/>
      <c r="DQ230" s="45"/>
      <c r="DR230" s="48"/>
      <c r="DS230" s="35"/>
      <c r="DT230" s="35"/>
      <c r="DU230" s="35"/>
      <c r="DV230" s="27"/>
      <c r="DW230" s="27"/>
      <c r="DX230" s="27"/>
      <c r="DY230" s="27"/>
      <c r="DZ230" s="27"/>
      <c r="EA230" s="27"/>
      <c r="EB230" s="27"/>
      <c r="EJ230" s="29"/>
      <c r="EK230" s="29"/>
      <c r="EL230" s="29"/>
    </row>
    <row r="231" spans="1:142" s="34" customFormat="1" ht="12.95" customHeight="1">
      <c r="A231" s="46">
        <v>2011</v>
      </c>
      <c r="B231" s="47" t="s">
        <v>47</v>
      </c>
      <c r="C231" s="35">
        <f t="shared" si="198"/>
        <v>0.89935565840820397</v>
      </c>
      <c r="D231" s="35">
        <f t="shared" si="199"/>
        <v>0.93060381256456004</v>
      </c>
      <c r="E231" s="35">
        <f t="shared" si="200"/>
        <v>0.96642163535711045</v>
      </c>
      <c r="F23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22038</v>
      </c>
      <c r="G231" s="20">
        <f t="shared" si="201"/>
        <v>740</v>
      </c>
      <c r="H23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21298</v>
      </c>
      <c r="I23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19820</v>
      </c>
      <c r="J231" s="20">
        <f t="shared" si="202"/>
        <v>1478</v>
      </c>
      <c r="K231" s="27"/>
      <c r="L231" s="27"/>
      <c r="M231" s="46">
        <v>2011</v>
      </c>
      <c r="N231" s="47" t="s">
        <v>47</v>
      </c>
      <c r="O231" s="35">
        <f t="shared" si="158"/>
        <v>0.87803972526452567</v>
      </c>
      <c r="P231" s="35">
        <f t="shared" si="159"/>
        <v>0.93700475435816166</v>
      </c>
      <c r="Q231" s="35">
        <f t="shared" si="160"/>
        <v>0.93707072582142192</v>
      </c>
      <c r="R231" s="20">
        <v>5387</v>
      </c>
      <c r="S231" s="27">
        <f t="shared" si="220"/>
        <v>339</v>
      </c>
      <c r="T231" s="20">
        <v>5048</v>
      </c>
      <c r="U231" s="20">
        <v>4730</v>
      </c>
      <c r="V231" s="20">
        <f t="shared" si="221"/>
        <v>318</v>
      </c>
      <c r="W231" s="20"/>
      <c r="X231" s="20"/>
      <c r="Y231" s="46"/>
      <c r="Z231" s="47"/>
      <c r="AA231" s="35"/>
      <c r="AB231" s="35"/>
      <c r="AC231" s="35"/>
      <c r="AD231" s="20"/>
      <c r="AE231" s="27"/>
      <c r="AF231" s="20"/>
      <c r="AG231" s="20"/>
      <c r="AH231" s="20"/>
      <c r="AI231" s="20"/>
      <c r="AJ231" s="20"/>
      <c r="AK231" s="46">
        <v>2011</v>
      </c>
      <c r="AL231" s="47" t="s">
        <v>47</v>
      </c>
      <c r="AM231" s="35">
        <f t="shared" si="163"/>
        <v>0.9499217527386542</v>
      </c>
      <c r="AN231" s="35">
        <f t="shared" si="164"/>
        <v>0.96656050955414008</v>
      </c>
      <c r="AO231" s="35">
        <f t="shared" si="165"/>
        <v>0.98278560250391234</v>
      </c>
      <c r="AP231" s="20">
        <v>5112</v>
      </c>
      <c r="AQ231" s="27">
        <f t="shared" si="222"/>
        <v>88</v>
      </c>
      <c r="AR231" s="20">
        <v>5024</v>
      </c>
      <c r="AS231" s="20">
        <v>4856</v>
      </c>
      <c r="AT231" s="20">
        <f t="shared" si="223"/>
        <v>168</v>
      </c>
      <c r="AU231" s="20"/>
      <c r="AV231" s="20"/>
      <c r="AW231" s="46">
        <v>2011</v>
      </c>
      <c r="AX231" s="47" t="s">
        <v>47</v>
      </c>
      <c r="AY231" s="35">
        <f t="shared" si="168"/>
        <v>0.85535714285714282</v>
      </c>
      <c r="AZ231" s="35">
        <f t="shared" si="169"/>
        <v>0.89365671641791045</v>
      </c>
      <c r="BA231" s="35">
        <f t="shared" si="170"/>
        <v>0.95714285714285718</v>
      </c>
      <c r="BB231" s="20">
        <v>560</v>
      </c>
      <c r="BC231" s="27">
        <f t="shared" si="224"/>
        <v>24</v>
      </c>
      <c r="BD231" s="20">
        <v>536</v>
      </c>
      <c r="BE231" s="20">
        <v>479</v>
      </c>
      <c r="BF231" s="20">
        <f t="shared" si="225"/>
        <v>57</v>
      </c>
      <c r="BG231" s="20"/>
      <c r="BH231" s="20"/>
      <c r="BI231" s="46">
        <v>2011</v>
      </c>
      <c r="BJ231" s="47" t="s">
        <v>47</v>
      </c>
      <c r="BK231" s="35">
        <f t="shared" si="173"/>
        <v>0.86932650073206441</v>
      </c>
      <c r="BL231" s="35">
        <f t="shared" si="174"/>
        <v>0.88224368499257055</v>
      </c>
      <c r="BM231" s="35">
        <f t="shared" si="175"/>
        <v>0.98535871156661792</v>
      </c>
      <c r="BN231" s="20">
        <v>2732</v>
      </c>
      <c r="BO231" s="27">
        <f t="shared" si="226"/>
        <v>40</v>
      </c>
      <c r="BP231" s="20">
        <v>2692</v>
      </c>
      <c r="BQ231" s="20">
        <v>2375</v>
      </c>
      <c r="BR231" s="20">
        <f t="shared" si="227"/>
        <v>317</v>
      </c>
      <c r="BS231" s="20"/>
      <c r="BT231" s="20"/>
      <c r="BU231" s="46">
        <v>2011</v>
      </c>
      <c r="BV231" s="47" t="s">
        <v>47</v>
      </c>
      <c r="BW231" s="35">
        <f t="shared" si="178"/>
        <v>0.94474345174022245</v>
      </c>
      <c r="BX231" s="35">
        <f t="shared" si="179"/>
        <v>0.9591985428051002</v>
      </c>
      <c r="BY231" s="35">
        <f t="shared" si="180"/>
        <v>0.98493003229278797</v>
      </c>
      <c r="BZ231" s="20">
        <v>2787</v>
      </c>
      <c r="CA231" s="27">
        <f t="shared" si="228"/>
        <v>42</v>
      </c>
      <c r="CB231" s="20">
        <v>2745</v>
      </c>
      <c r="CC231" s="20">
        <v>2633</v>
      </c>
      <c r="CD231" s="20">
        <f t="shared" si="229"/>
        <v>112</v>
      </c>
      <c r="CE231" s="20"/>
      <c r="CF231" s="20"/>
      <c r="CG231" s="46">
        <v>2011</v>
      </c>
      <c r="CH231" s="47" t="s">
        <v>47</v>
      </c>
      <c r="CI231" s="35">
        <f t="shared" si="203"/>
        <v>0.793629278210776</v>
      </c>
      <c r="CJ231" s="35">
        <f t="shared" si="204"/>
        <v>0.84184040258806614</v>
      </c>
      <c r="CK231" s="35">
        <f t="shared" si="205"/>
        <v>0.94273127753303965</v>
      </c>
      <c r="CL231" s="20">
        <v>2951</v>
      </c>
      <c r="CM231" s="20">
        <f t="shared" si="186"/>
        <v>169</v>
      </c>
      <c r="CN231" s="20">
        <v>2782</v>
      </c>
      <c r="CO231" s="20">
        <v>2342</v>
      </c>
      <c r="CP231" s="20">
        <f t="shared" si="187"/>
        <v>440</v>
      </c>
      <c r="CQ231" s="20"/>
      <c r="CR231" s="20"/>
      <c r="CS231" s="46">
        <v>2011</v>
      </c>
      <c r="CT231" s="47" t="s">
        <v>47</v>
      </c>
      <c r="CU231" s="35">
        <f t="shared" si="188"/>
        <v>0.91442307692307689</v>
      </c>
      <c r="CV231" s="35">
        <f t="shared" si="189"/>
        <v>0.93694581280788181</v>
      </c>
      <c r="CW231" s="35">
        <f t="shared" si="190"/>
        <v>0.97596153846153844</v>
      </c>
      <c r="CX231" s="20">
        <v>1040</v>
      </c>
      <c r="CY231" s="27">
        <f t="shared" si="230"/>
        <v>25</v>
      </c>
      <c r="CZ231" s="20">
        <v>1015</v>
      </c>
      <c r="DA231" s="20">
        <v>951</v>
      </c>
      <c r="DB231" s="20">
        <f t="shared" si="231"/>
        <v>64</v>
      </c>
      <c r="DC231" s="20"/>
      <c r="DD231" s="20"/>
      <c r="DE231" s="46">
        <v>2011</v>
      </c>
      <c r="DF231" s="47" t="s">
        <v>47</v>
      </c>
      <c r="DG231" s="35">
        <f t="shared" si="193"/>
        <v>0.98978897208985706</v>
      </c>
      <c r="DH231" s="35">
        <f t="shared" si="194"/>
        <v>0.99862637362637363</v>
      </c>
      <c r="DI231" s="35">
        <f t="shared" si="195"/>
        <v>0.99115044247787609</v>
      </c>
      <c r="DJ231" s="20">
        <v>1469</v>
      </c>
      <c r="DK231" s="27">
        <f t="shared" si="232"/>
        <v>13</v>
      </c>
      <c r="DL231" s="20">
        <v>1456</v>
      </c>
      <c r="DM231" s="20">
        <v>1454</v>
      </c>
      <c r="DN231" s="20">
        <f t="shared" si="233"/>
        <v>2</v>
      </c>
      <c r="DO231" s="20"/>
      <c r="DP231" s="20"/>
      <c r="DQ231" s="46"/>
      <c r="DR231" s="47"/>
      <c r="DS231" s="35"/>
      <c r="DT231" s="35"/>
      <c r="DU231" s="35"/>
      <c r="DV231" s="27"/>
      <c r="DW231" s="27"/>
      <c r="DX231" s="27"/>
      <c r="DY231" s="27"/>
      <c r="DZ231" s="27"/>
      <c r="EA231" s="27"/>
      <c r="EB231" s="27"/>
      <c r="EJ231" s="29"/>
      <c r="EK231" s="29"/>
      <c r="EL231" s="29"/>
    </row>
    <row r="232" spans="1:142" s="34" customFormat="1" ht="12.95" customHeight="1">
      <c r="A232" s="45">
        <v>2011</v>
      </c>
      <c r="B232" s="48" t="s">
        <v>48</v>
      </c>
      <c r="C232" s="35">
        <f t="shared" si="198"/>
        <v>0.91334624608005899</v>
      </c>
      <c r="D232" s="35">
        <f t="shared" si="199"/>
        <v>0.93938244082910405</v>
      </c>
      <c r="E232" s="35">
        <f t="shared" si="200"/>
        <v>0.9722837114923446</v>
      </c>
      <c r="F23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21684</v>
      </c>
      <c r="G232" s="20">
        <f t="shared" si="201"/>
        <v>601</v>
      </c>
      <c r="H23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21083</v>
      </c>
      <c r="I23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19805</v>
      </c>
      <c r="J232" s="20">
        <f t="shared" si="202"/>
        <v>1278</v>
      </c>
      <c r="K232" s="27"/>
      <c r="L232" s="27"/>
      <c r="M232" s="45">
        <v>2011</v>
      </c>
      <c r="N232" s="48" t="s">
        <v>48</v>
      </c>
      <c r="O232" s="35">
        <f t="shared" si="158"/>
        <v>0.92650918635170598</v>
      </c>
      <c r="P232" s="35">
        <f t="shared" si="159"/>
        <v>0.96731258563319633</v>
      </c>
      <c r="Q232" s="35">
        <f t="shared" si="160"/>
        <v>0.95781777277840274</v>
      </c>
      <c r="R232" s="20">
        <v>5334</v>
      </c>
      <c r="S232" s="27">
        <f t="shared" si="220"/>
        <v>225</v>
      </c>
      <c r="T232" s="20">
        <v>5109</v>
      </c>
      <c r="U232" s="20">
        <v>4942</v>
      </c>
      <c r="V232" s="20">
        <f t="shared" si="221"/>
        <v>167</v>
      </c>
      <c r="W232" s="20"/>
      <c r="X232" s="20"/>
      <c r="Y232" s="45"/>
      <c r="Z232" s="48"/>
      <c r="AA232" s="35"/>
      <c r="AB232" s="35"/>
      <c r="AC232" s="35"/>
      <c r="AD232" s="20"/>
      <c r="AE232" s="27"/>
      <c r="AF232" s="20"/>
      <c r="AG232" s="20"/>
      <c r="AH232" s="20"/>
      <c r="AI232" s="20"/>
      <c r="AJ232" s="20"/>
      <c r="AK232" s="45">
        <v>2011</v>
      </c>
      <c r="AL232" s="48" t="s">
        <v>48</v>
      </c>
      <c r="AM232" s="35">
        <f t="shared" si="163"/>
        <v>0.97046580773042612</v>
      </c>
      <c r="AN232" s="35">
        <f t="shared" si="164"/>
        <v>0.97841726618705038</v>
      </c>
      <c r="AO232" s="35">
        <f t="shared" si="165"/>
        <v>0.99187314172447971</v>
      </c>
      <c r="AP232" s="20">
        <v>5045</v>
      </c>
      <c r="AQ232" s="27">
        <f t="shared" si="222"/>
        <v>41</v>
      </c>
      <c r="AR232" s="20">
        <v>5004</v>
      </c>
      <c r="AS232" s="20">
        <v>4896</v>
      </c>
      <c r="AT232" s="20">
        <f t="shared" si="223"/>
        <v>108</v>
      </c>
      <c r="AU232" s="20"/>
      <c r="AV232" s="20"/>
      <c r="AW232" s="45">
        <v>2011</v>
      </c>
      <c r="AX232" s="48" t="s">
        <v>48</v>
      </c>
      <c r="AY232" s="35">
        <f t="shared" si="168"/>
        <v>0.92006802721088432</v>
      </c>
      <c r="AZ232" s="35">
        <f t="shared" si="169"/>
        <v>0.92006802721088432</v>
      </c>
      <c r="BA232" s="35">
        <f t="shared" si="170"/>
        <v>1</v>
      </c>
      <c r="BB232" s="20">
        <v>588</v>
      </c>
      <c r="BC232" s="27">
        <f t="shared" si="224"/>
        <v>0</v>
      </c>
      <c r="BD232" s="20">
        <v>588</v>
      </c>
      <c r="BE232" s="20">
        <v>541</v>
      </c>
      <c r="BF232" s="20">
        <f t="shared" si="225"/>
        <v>47</v>
      </c>
      <c r="BG232" s="20"/>
      <c r="BH232" s="20"/>
      <c r="BI232" s="45">
        <v>2011</v>
      </c>
      <c r="BJ232" s="48" t="s">
        <v>48</v>
      </c>
      <c r="BK232" s="35">
        <f t="shared" si="173"/>
        <v>0.84456928838951306</v>
      </c>
      <c r="BL232" s="35">
        <f t="shared" si="174"/>
        <v>0.86697424067666284</v>
      </c>
      <c r="BM232" s="35">
        <f t="shared" si="175"/>
        <v>0.97415730337078654</v>
      </c>
      <c r="BN232" s="20">
        <v>2670</v>
      </c>
      <c r="BO232" s="27">
        <f t="shared" si="226"/>
        <v>69</v>
      </c>
      <c r="BP232" s="20">
        <v>2601</v>
      </c>
      <c r="BQ232" s="20">
        <v>2255</v>
      </c>
      <c r="BR232" s="20">
        <f t="shared" si="227"/>
        <v>346</v>
      </c>
      <c r="BS232" s="20"/>
      <c r="BT232" s="20"/>
      <c r="BU232" s="45">
        <v>2011</v>
      </c>
      <c r="BV232" s="48" t="s">
        <v>48</v>
      </c>
      <c r="BW232" s="35">
        <f t="shared" si="178"/>
        <v>0.92951541850220265</v>
      </c>
      <c r="BX232" s="35">
        <f t="shared" si="179"/>
        <v>0.95009380863039394</v>
      </c>
      <c r="BY232" s="35">
        <f t="shared" si="180"/>
        <v>0.97834067547723935</v>
      </c>
      <c r="BZ232" s="20">
        <v>2724</v>
      </c>
      <c r="CA232" s="27">
        <f t="shared" si="228"/>
        <v>59</v>
      </c>
      <c r="CB232" s="20">
        <v>2665</v>
      </c>
      <c r="CC232" s="20">
        <v>2532</v>
      </c>
      <c r="CD232" s="20">
        <f t="shared" si="229"/>
        <v>133</v>
      </c>
      <c r="CE232" s="20"/>
      <c r="CF232" s="20"/>
      <c r="CG232" s="45">
        <v>2011</v>
      </c>
      <c r="CH232" s="48" t="s">
        <v>48</v>
      </c>
      <c r="CI232" s="35">
        <f t="shared" si="203"/>
        <v>0.80604796663190825</v>
      </c>
      <c r="CJ232" s="35">
        <f t="shared" si="204"/>
        <v>0.85603543743078625</v>
      </c>
      <c r="CK232" s="35">
        <f t="shared" si="205"/>
        <v>0.94160583941605835</v>
      </c>
      <c r="CL232" s="20">
        <v>2877</v>
      </c>
      <c r="CM232" s="20">
        <f t="shared" si="186"/>
        <v>168</v>
      </c>
      <c r="CN232" s="20">
        <v>2709</v>
      </c>
      <c r="CO232" s="20">
        <v>2319</v>
      </c>
      <c r="CP232" s="20">
        <f t="shared" si="187"/>
        <v>390</v>
      </c>
      <c r="CQ232" s="20"/>
      <c r="CR232" s="20"/>
      <c r="CS232" s="45">
        <v>2011</v>
      </c>
      <c r="CT232" s="48" t="s">
        <v>48</v>
      </c>
      <c r="CU232" s="35">
        <f t="shared" si="188"/>
        <v>0.89239881539980259</v>
      </c>
      <c r="CV232" s="35">
        <f t="shared" si="189"/>
        <v>0.92150866462793068</v>
      </c>
      <c r="CW232" s="35">
        <f t="shared" si="190"/>
        <v>0.9684106614017769</v>
      </c>
      <c r="CX232" s="20">
        <v>1013</v>
      </c>
      <c r="CY232" s="27">
        <f t="shared" si="230"/>
        <v>32</v>
      </c>
      <c r="CZ232" s="20">
        <v>981</v>
      </c>
      <c r="DA232" s="20">
        <v>904</v>
      </c>
      <c r="DB232" s="20">
        <f t="shared" si="231"/>
        <v>77</v>
      </c>
      <c r="DC232" s="20"/>
      <c r="DD232" s="20"/>
      <c r="DE232" s="45">
        <v>2011</v>
      </c>
      <c r="DF232" s="48" t="s">
        <v>48</v>
      </c>
      <c r="DG232" s="35">
        <f t="shared" si="193"/>
        <v>0.98813677599441729</v>
      </c>
      <c r="DH232" s="35">
        <f t="shared" si="194"/>
        <v>0.99298737727910236</v>
      </c>
      <c r="DI232" s="35">
        <f t="shared" si="195"/>
        <v>0.99511514305652482</v>
      </c>
      <c r="DJ232" s="20">
        <v>1433</v>
      </c>
      <c r="DK232" s="27">
        <f t="shared" si="232"/>
        <v>7</v>
      </c>
      <c r="DL232" s="20">
        <v>1426</v>
      </c>
      <c r="DM232" s="20">
        <v>1416</v>
      </c>
      <c r="DN232" s="20">
        <f t="shared" si="233"/>
        <v>10</v>
      </c>
      <c r="DO232" s="20"/>
      <c r="DP232" s="20"/>
      <c r="DQ232" s="45"/>
      <c r="DR232" s="48"/>
      <c r="DS232" s="35"/>
      <c r="DT232" s="35"/>
      <c r="DU232" s="35"/>
      <c r="DV232" s="27"/>
      <c r="DW232" s="27"/>
      <c r="DX232" s="27"/>
      <c r="DY232" s="27"/>
      <c r="DZ232" s="27"/>
      <c r="EA232" s="27"/>
      <c r="EB232" s="27"/>
      <c r="EJ232" s="29"/>
      <c r="EK232" s="29"/>
      <c r="EL232" s="29"/>
    </row>
    <row r="233" spans="1:142" s="34" customFormat="1" ht="12.95" customHeight="1">
      <c r="A233" s="46">
        <v>2011</v>
      </c>
      <c r="B233" s="47" t="s">
        <v>49</v>
      </c>
      <c r="C233" s="35">
        <f t="shared" si="198"/>
        <v>0.90013605442176869</v>
      </c>
      <c r="D233" s="35">
        <f t="shared" si="199"/>
        <v>0.92204775620180246</v>
      </c>
      <c r="E233" s="35">
        <f t="shared" si="200"/>
        <v>0.97623582766439909</v>
      </c>
      <c r="F23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22050</v>
      </c>
      <c r="G233" s="20">
        <f t="shared" si="201"/>
        <v>524</v>
      </c>
      <c r="H23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21526</v>
      </c>
      <c r="I23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19848</v>
      </c>
      <c r="J233" s="20">
        <f t="shared" si="202"/>
        <v>1678</v>
      </c>
      <c r="K233" s="27"/>
      <c r="L233" s="27"/>
      <c r="M233" s="46">
        <v>2011</v>
      </c>
      <c r="N233" s="47" t="s">
        <v>49</v>
      </c>
      <c r="O233" s="35">
        <f t="shared" si="158"/>
        <v>0.91764051196438512</v>
      </c>
      <c r="P233" s="35">
        <f t="shared" si="159"/>
        <v>0.94697549770290967</v>
      </c>
      <c r="Q233" s="35">
        <f t="shared" si="160"/>
        <v>0.96902244481543309</v>
      </c>
      <c r="R233" s="20">
        <v>5391</v>
      </c>
      <c r="S233" s="27">
        <f t="shared" si="220"/>
        <v>167</v>
      </c>
      <c r="T233" s="20">
        <v>5224</v>
      </c>
      <c r="U233" s="20">
        <v>4947</v>
      </c>
      <c r="V233" s="20">
        <f t="shared" si="221"/>
        <v>277</v>
      </c>
      <c r="W233" s="20"/>
      <c r="X233" s="20"/>
      <c r="Y233" s="46"/>
      <c r="Z233" s="47"/>
      <c r="AA233" s="35"/>
      <c r="AB233" s="35"/>
      <c r="AC233" s="35"/>
      <c r="AD233" s="20"/>
      <c r="AE233" s="27"/>
      <c r="AF233" s="20"/>
      <c r="AG233" s="20"/>
      <c r="AH233" s="20"/>
      <c r="AI233" s="20"/>
      <c r="AJ233" s="20"/>
      <c r="AK233" s="46">
        <v>2011</v>
      </c>
      <c r="AL233" s="47" t="s">
        <v>49</v>
      </c>
      <c r="AM233" s="35">
        <f t="shared" si="163"/>
        <v>0.94449872972444793</v>
      </c>
      <c r="AN233" s="35">
        <f t="shared" si="164"/>
        <v>0.9623655913978495</v>
      </c>
      <c r="AO233" s="35">
        <f t="shared" si="165"/>
        <v>0.98143443423881183</v>
      </c>
      <c r="AP233" s="20">
        <v>5117</v>
      </c>
      <c r="AQ233" s="27">
        <f t="shared" si="222"/>
        <v>95</v>
      </c>
      <c r="AR233" s="20">
        <v>5022</v>
      </c>
      <c r="AS233" s="20">
        <v>4833</v>
      </c>
      <c r="AT233" s="20">
        <f t="shared" si="223"/>
        <v>189</v>
      </c>
      <c r="AU233" s="20"/>
      <c r="AV233" s="20"/>
      <c r="AW233" s="46">
        <v>2011</v>
      </c>
      <c r="AX233" s="47" t="s">
        <v>49</v>
      </c>
      <c r="AY233" s="35">
        <f t="shared" si="168"/>
        <v>0.84464285714285714</v>
      </c>
      <c r="AZ233" s="35">
        <f t="shared" si="169"/>
        <v>0.86471663619744055</v>
      </c>
      <c r="BA233" s="35">
        <f t="shared" si="170"/>
        <v>0.97678571428571426</v>
      </c>
      <c r="BB233" s="20">
        <v>560</v>
      </c>
      <c r="BC233" s="27">
        <f t="shared" si="224"/>
        <v>13</v>
      </c>
      <c r="BD233" s="20">
        <v>547</v>
      </c>
      <c r="BE233" s="20">
        <v>473</v>
      </c>
      <c r="BF233" s="20">
        <f t="shared" si="225"/>
        <v>74</v>
      </c>
      <c r="BG233" s="20"/>
      <c r="BH233" s="20"/>
      <c r="BI233" s="46">
        <v>2011</v>
      </c>
      <c r="BJ233" s="47" t="s">
        <v>49</v>
      </c>
      <c r="BK233" s="35">
        <f t="shared" si="173"/>
        <v>0.84522502744237105</v>
      </c>
      <c r="BL233" s="35">
        <f t="shared" si="174"/>
        <v>0.86419753086419748</v>
      </c>
      <c r="BM233" s="35">
        <f t="shared" si="175"/>
        <v>0.97804610318331509</v>
      </c>
      <c r="BN233" s="20">
        <v>2733</v>
      </c>
      <c r="BO233" s="27">
        <f t="shared" si="226"/>
        <v>60</v>
      </c>
      <c r="BP233" s="20">
        <v>2673</v>
      </c>
      <c r="BQ233" s="20">
        <v>2310</v>
      </c>
      <c r="BR233" s="20">
        <f t="shared" si="227"/>
        <v>363</v>
      </c>
      <c r="BS233" s="20"/>
      <c r="BT233" s="20"/>
      <c r="BU233" s="46">
        <v>2011</v>
      </c>
      <c r="BV233" s="47" t="s">
        <v>49</v>
      </c>
      <c r="BW233" s="35">
        <f t="shared" si="178"/>
        <v>0.92757260666905705</v>
      </c>
      <c r="BX233" s="35">
        <f t="shared" si="179"/>
        <v>0.94381612550164173</v>
      </c>
      <c r="BY233" s="35">
        <f t="shared" si="180"/>
        <v>0.98278953029759775</v>
      </c>
      <c r="BZ233" s="20">
        <v>2789</v>
      </c>
      <c r="CA233" s="27">
        <f t="shared" si="228"/>
        <v>48</v>
      </c>
      <c r="CB233" s="20">
        <v>2741</v>
      </c>
      <c r="CC233" s="20">
        <v>2587</v>
      </c>
      <c r="CD233" s="20">
        <f t="shared" si="229"/>
        <v>154</v>
      </c>
      <c r="CE233" s="20"/>
      <c r="CF233" s="20"/>
      <c r="CG233" s="46">
        <v>2011</v>
      </c>
      <c r="CH233" s="47" t="s">
        <v>49</v>
      </c>
      <c r="CI233" s="35">
        <f t="shared" si="203"/>
        <v>0.83700440528634357</v>
      </c>
      <c r="CJ233" s="35">
        <f t="shared" si="204"/>
        <v>0.86002785515320335</v>
      </c>
      <c r="CK233" s="35">
        <f t="shared" si="205"/>
        <v>0.97322941375804817</v>
      </c>
      <c r="CL233" s="20">
        <v>2951</v>
      </c>
      <c r="CM233" s="20">
        <f t="shared" si="186"/>
        <v>79</v>
      </c>
      <c r="CN233" s="20">
        <v>2872</v>
      </c>
      <c r="CO233" s="20">
        <v>2470</v>
      </c>
      <c r="CP233" s="20">
        <f t="shared" si="187"/>
        <v>402</v>
      </c>
      <c r="CQ233" s="20"/>
      <c r="CR233" s="20"/>
      <c r="CS233" s="46">
        <v>2011</v>
      </c>
      <c r="CT233" s="47" t="s">
        <v>49</v>
      </c>
      <c r="CU233" s="35">
        <f t="shared" si="188"/>
        <v>0.76442307692307687</v>
      </c>
      <c r="CV233" s="35">
        <f t="shared" si="189"/>
        <v>0.80221997981836524</v>
      </c>
      <c r="CW233" s="35">
        <f t="shared" si="190"/>
        <v>0.95288461538461533</v>
      </c>
      <c r="CX233" s="20">
        <v>1040</v>
      </c>
      <c r="CY233" s="27">
        <f t="shared" si="230"/>
        <v>49</v>
      </c>
      <c r="CZ233" s="20">
        <v>991</v>
      </c>
      <c r="DA233" s="20">
        <v>795</v>
      </c>
      <c r="DB233" s="20">
        <f t="shared" si="231"/>
        <v>196</v>
      </c>
      <c r="DC233" s="20"/>
      <c r="DD233" s="20"/>
      <c r="DE233" s="46">
        <v>2011</v>
      </c>
      <c r="DF233" s="47" t="s">
        <v>49</v>
      </c>
      <c r="DG233" s="35">
        <f t="shared" si="193"/>
        <v>0.97549353301565689</v>
      </c>
      <c r="DH233" s="35">
        <f t="shared" si="194"/>
        <v>0.98420329670329665</v>
      </c>
      <c r="DI233" s="35">
        <f t="shared" si="195"/>
        <v>0.99115044247787609</v>
      </c>
      <c r="DJ233" s="20">
        <v>1469</v>
      </c>
      <c r="DK233" s="27">
        <f t="shared" si="232"/>
        <v>13</v>
      </c>
      <c r="DL233" s="20">
        <v>1456</v>
      </c>
      <c r="DM233" s="20">
        <v>1433</v>
      </c>
      <c r="DN233" s="20">
        <f t="shared" si="233"/>
        <v>23</v>
      </c>
      <c r="DO233" s="20"/>
      <c r="DP233" s="20"/>
      <c r="DQ233" s="46"/>
      <c r="DR233" s="47"/>
      <c r="DS233" s="35"/>
      <c r="DT233" s="35"/>
      <c r="DU233" s="35"/>
      <c r="DV233" s="27"/>
      <c r="DW233" s="27"/>
      <c r="DX233" s="27"/>
      <c r="DY233" s="27"/>
      <c r="DZ233" s="27"/>
      <c r="EA233" s="27"/>
      <c r="EB233" s="27"/>
      <c r="EJ233" s="29"/>
      <c r="EK233" s="29"/>
      <c r="EL233" s="29"/>
    </row>
    <row r="234" spans="1:142" s="34" customFormat="1" ht="12.95" customHeight="1">
      <c r="A234" s="45">
        <v>2012</v>
      </c>
      <c r="B234" s="48" t="s">
        <v>38</v>
      </c>
      <c r="C234" s="35">
        <f t="shared" si="198"/>
        <v>0.92071406312602944</v>
      </c>
      <c r="D234" s="35">
        <f t="shared" si="199"/>
        <v>0.9394077034883721</v>
      </c>
      <c r="E234" s="35">
        <f t="shared" si="200"/>
        <v>0.98010060989182213</v>
      </c>
      <c r="F2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G234" s="20">
        <f t="shared" si="201"/>
        <v>447</v>
      </c>
      <c r="H2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22016</v>
      </c>
      <c r="I2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20682</v>
      </c>
      <c r="J234" s="20">
        <f t="shared" si="202"/>
        <v>1334</v>
      </c>
      <c r="K234" s="27"/>
      <c r="L234" s="27"/>
      <c r="M234" s="45">
        <v>2012</v>
      </c>
      <c r="N234" s="48" t="s">
        <v>38</v>
      </c>
      <c r="O234" s="35">
        <f t="shared" si="158"/>
        <v>0.95588501175194363</v>
      </c>
      <c r="P234" s="35">
        <f t="shared" si="159"/>
        <v>0.96991377728857087</v>
      </c>
      <c r="Q234" s="35">
        <f t="shared" si="160"/>
        <v>0.98553606942686678</v>
      </c>
      <c r="R234" s="20">
        <v>5531</v>
      </c>
      <c r="S234" s="27">
        <f t="shared" ref="S234:S245" si="234">R234-T234</f>
        <v>80</v>
      </c>
      <c r="T234" s="20">
        <v>5451</v>
      </c>
      <c r="U234" s="20">
        <v>5287</v>
      </c>
      <c r="V234" s="20">
        <f t="shared" ref="V234:V245" si="235">T234-U234</f>
        <v>164</v>
      </c>
      <c r="W234" s="20"/>
      <c r="X234" s="20"/>
      <c r="Y234" s="45"/>
      <c r="Z234" s="48"/>
      <c r="AA234" s="35"/>
      <c r="AB234" s="35"/>
      <c r="AC234" s="35"/>
      <c r="AD234" s="20"/>
      <c r="AE234" s="27"/>
      <c r="AF234" s="20"/>
      <c r="AG234" s="20"/>
      <c r="AH234" s="20"/>
      <c r="AI234" s="20"/>
      <c r="AJ234" s="20"/>
      <c r="AK234" s="45">
        <v>2012</v>
      </c>
      <c r="AL234" s="48" t="s">
        <v>38</v>
      </c>
      <c r="AM234" s="35">
        <f t="shared" si="163"/>
        <v>0.96671130667687011</v>
      </c>
      <c r="AN234" s="35">
        <f t="shared" si="164"/>
        <v>0.97774767801857587</v>
      </c>
      <c r="AO234" s="35">
        <f t="shared" si="165"/>
        <v>0.98871245456284673</v>
      </c>
      <c r="AP234" s="20">
        <v>5227</v>
      </c>
      <c r="AQ234" s="27">
        <f t="shared" ref="AQ234:AQ245" si="236">AP234-AR234</f>
        <v>59</v>
      </c>
      <c r="AR234" s="20">
        <v>5168</v>
      </c>
      <c r="AS234" s="20">
        <v>5053</v>
      </c>
      <c r="AT234" s="20">
        <f t="shared" ref="AT234:AT245" si="237">AR234-AS234</f>
        <v>115</v>
      </c>
      <c r="AU234" s="20"/>
      <c r="AV234" s="20"/>
      <c r="AW234" s="45">
        <v>2012</v>
      </c>
      <c r="AX234" s="48" t="s">
        <v>38</v>
      </c>
      <c r="AY234" s="35">
        <f t="shared" si="168"/>
        <v>0.90909090909090906</v>
      </c>
      <c r="AZ234" s="35">
        <f t="shared" si="169"/>
        <v>0.91803278688524592</v>
      </c>
      <c r="BA234" s="35">
        <f t="shared" si="170"/>
        <v>0.99025974025974028</v>
      </c>
      <c r="BB234" s="20">
        <v>616</v>
      </c>
      <c r="BC234" s="27">
        <f t="shared" ref="BC234:BC245" si="238">BB234-BD234</f>
        <v>6</v>
      </c>
      <c r="BD234" s="20">
        <v>610</v>
      </c>
      <c r="BE234" s="20">
        <v>560</v>
      </c>
      <c r="BF234" s="20">
        <f t="shared" ref="BF234:BF245" si="239">BD234-BE234</f>
        <v>50</v>
      </c>
      <c r="BG234" s="20"/>
      <c r="BH234" s="20"/>
      <c r="BI234" s="45">
        <v>2012</v>
      </c>
      <c r="BJ234" s="48" t="s">
        <v>38</v>
      </c>
      <c r="BK234" s="35">
        <f t="shared" si="173"/>
        <v>0.88526963445530216</v>
      </c>
      <c r="BL234" s="35">
        <f t="shared" si="174"/>
        <v>0.91610486891385767</v>
      </c>
      <c r="BM234" s="35">
        <f t="shared" si="175"/>
        <v>0.96634093376764385</v>
      </c>
      <c r="BN234" s="20">
        <v>2763</v>
      </c>
      <c r="BO234" s="27">
        <f t="shared" ref="BO234:BO245" si="240">BN234-BP234</f>
        <v>93</v>
      </c>
      <c r="BP234" s="20">
        <v>2670</v>
      </c>
      <c r="BQ234" s="20">
        <v>2446</v>
      </c>
      <c r="BR234" s="20">
        <f t="shared" ref="BR234:BR245" si="241">BP234-BQ234</f>
        <v>224</v>
      </c>
      <c r="BS234" s="20"/>
      <c r="BT234" s="20"/>
      <c r="BU234" s="45">
        <v>2012</v>
      </c>
      <c r="BV234" s="48" t="s">
        <v>38</v>
      </c>
      <c r="BW234" s="35">
        <f t="shared" si="178"/>
        <v>0.92725337118523776</v>
      </c>
      <c r="BX234" s="35">
        <f t="shared" si="179"/>
        <v>0.96456256921373196</v>
      </c>
      <c r="BY234" s="35">
        <f t="shared" si="180"/>
        <v>0.96132008516678491</v>
      </c>
      <c r="BZ234" s="20">
        <v>2818</v>
      </c>
      <c r="CA234" s="27">
        <f t="shared" ref="CA234:CA245" si="242">BZ234-CB234</f>
        <v>109</v>
      </c>
      <c r="CB234" s="20">
        <v>2709</v>
      </c>
      <c r="CC234" s="20">
        <v>2613</v>
      </c>
      <c r="CD234" s="20">
        <f t="shared" ref="CD234:CD245" si="243">CB234-CC234</f>
        <v>96</v>
      </c>
      <c r="CE234" s="20"/>
      <c r="CF234" s="20"/>
      <c r="CG234" s="45">
        <v>2012</v>
      </c>
      <c r="CH234" s="48" t="s">
        <v>38</v>
      </c>
      <c r="CI234" s="35">
        <f t="shared" si="203"/>
        <v>0.84111521666106814</v>
      </c>
      <c r="CJ234" s="35">
        <f t="shared" si="204"/>
        <v>0.85286103542234337</v>
      </c>
      <c r="CK234" s="35">
        <f t="shared" si="205"/>
        <v>0.98622774605307362</v>
      </c>
      <c r="CL234" s="20">
        <v>2977</v>
      </c>
      <c r="CM234" s="20">
        <f t="shared" si="186"/>
        <v>41</v>
      </c>
      <c r="CN234" s="20">
        <v>2936</v>
      </c>
      <c r="CO234" s="20">
        <v>2504</v>
      </c>
      <c r="CP234" s="20">
        <f t="shared" si="187"/>
        <v>432</v>
      </c>
      <c r="CQ234" s="20"/>
      <c r="CR234" s="20"/>
      <c r="CS234" s="45">
        <v>2012</v>
      </c>
      <c r="CT234" s="48" t="s">
        <v>38</v>
      </c>
      <c r="CU234" s="35">
        <f t="shared" si="188"/>
        <v>0.74904580152671751</v>
      </c>
      <c r="CV234" s="35">
        <f t="shared" si="189"/>
        <v>0.7741617357001972</v>
      </c>
      <c r="CW234" s="35">
        <f t="shared" si="190"/>
        <v>0.96755725190839692</v>
      </c>
      <c r="CX234" s="20">
        <v>1048</v>
      </c>
      <c r="CY234" s="27">
        <f t="shared" ref="CY234:CY245" si="244">CX234-CZ234</f>
        <v>34</v>
      </c>
      <c r="CZ234" s="20">
        <v>1014</v>
      </c>
      <c r="DA234" s="20">
        <v>785</v>
      </c>
      <c r="DB234" s="20">
        <f t="shared" ref="DB234:DB245" si="245">CZ234-DA234</f>
        <v>229</v>
      </c>
      <c r="DC234" s="20"/>
      <c r="DD234" s="20"/>
      <c r="DE234" s="45">
        <v>2012</v>
      </c>
      <c r="DF234" s="48" t="s">
        <v>38</v>
      </c>
      <c r="DG234" s="35">
        <f t="shared" si="193"/>
        <v>0.96695886716115986</v>
      </c>
      <c r="DH234" s="35">
        <f t="shared" si="194"/>
        <v>0.98353909465020573</v>
      </c>
      <c r="DI234" s="35">
        <f t="shared" si="195"/>
        <v>0.98314227916385699</v>
      </c>
      <c r="DJ234" s="20">
        <v>1483</v>
      </c>
      <c r="DK234" s="27">
        <f t="shared" ref="DK234:DK245" si="246">DJ234-DL234</f>
        <v>25</v>
      </c>
      <c r="DL234" s="20">
        <v>1458</v>
      </c>
      <c r="DM234" s="20">
        <v>1434</v>
      </c>
      <c r="DN234" s="20">
        <f t="shared" ref="DN234:DN245" si="247">DL234-DM234</f>
        <v>24</v>
      </c>
      <c r="DO234" s="20"/>
      <c r="DP234" s="20"/>
      <c r="DQ234" s="45"/>
      <c r="DR234" s="48"/>
      <c r="DS234" s="35"/>
      <c r="DT234" s="35"/>
      <c r="DU234" s="35"/>
      <c r="DV234" s="27"/>
      <c r="DW234" s="27"/>
      <c r="DX234" s="27"/>
      <c r="DY234" s="27"/>
      <c r="DZ234" s="27"/>
      <c r="EA234" s="27"/>
      <c r="EB234" s="27"/>
      <c r="EJ234" s="29"/>
      <c r="EK234" s="29"/>
      <c r="EL234" s="29"/>
    </row>
    <row r="235" spans="1:142" s="34" customFormat="1" ht="12.95" customHeight="1">
      <c r="A235" s="46">
        <v>2012</v>
      </c>
      <c r="B235" s="47" t="s">
        <v>39</v>
      </c>
      <c r="C235" s="35">
        <f t="shared" si="198"/>
        <v>0.8822978765334778</v>
      </c>
      <c r="D235" s="35">
        <f t="shared" si="199"/>
        <v>0.90668826894840771</v>
      </c>
      <c r="E235" s="35">
        <f t="shared" si="200"/>
        <v>0.97309947282849685</v>
      </c>
      <c r="F2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20297</v>
      </c>
      <c r="G235" s="20">
        <f t="shared" si="201"/>
        <v>546</v>
      </c>
      <c r="H2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19751</v>
      </c>
      <c r="I2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17908</v>
      </c>
      <c r="J235" s="20">
        <f t="shared" si="202"/>
        <v>1843</v>
      </c>
      <c r="K235" s="27"/>
      <c r="L235" s="27"/>
      <c r="M235" s="46">
        <v>2012</v>
      </c>
      <c r="N235" s="47" t="s">
        <v>39</v>
      </c>
      <c r="O235" s="35">
        <f t="shared" si="158"/>
        <v>0.90558375634517763</v>
      </c>
      <c r="P235" s="35">
        <f t="shared" si="159"/>
        <v>0.93756569266344336</v>
      </c>
      <c r="Q235" s="35">
        <f t="shared" si="160"/>
        <v>0.96588832487309639</v>
      </c>
      <c r="R235" s="20">
        <v>4925</v>
      </c>
      <c r="S235" s="27">
        <f t="shared" si="234"/>
        <v>168</v>
      </c>
      <c r="T235" s="20">
        <v>4757</v>
      </c>
      <c r="U235" s="20">
        <v>4460</v>
      </c>
      <c r="V235" s="20">
        <f t="shared" si="235"/>
        <v>297</v>
      </c>
      <c r="W235" s="20"/>
      <c r="X235" s="20"/>
      <c r="Y235" s="46"/>
      <c r="Z235" s="47"/>
      <c r="AA235" s="35"/>
      <c r="AB235" s="35"/>
      <c r="AC235" s="35"/>
      <c r="AD235" s="20"/>
      <c r="AE235" s="27"/>
      <c r="AF235" s="20"/>
      <c r="AG235" s="20"/>
      <c r="AH235" s="20"/>
      <c r="AI235" s="20"/>
      <c r="AJ235" s="20"/>
      <c r="AK235" s="46">
        <v>2012</v>
      </c>
      <c r="AL235" s="47" t="s">
        <v>39</v>
      </c>
      <c r="AM235" s="35">
        <f t="shared" si="163"/>
        <v>0.93963310580204773</v>
      </c>
      <c r="AN235" s="35">
        <f t="shared" si="164"/>
        <v>0.96116081169539602</v>
      </c>
      <c r="AO235" s="35">
        <f t="shared" si="165"/>
        <v>0.97760238907849828</v>
      </c>
      <c r="AP235" s="20">
        <v>4688</v>
      </c>
      <c r="AQ235" s="27">
        <f t="shared" si="236"/>
        <v>105</v>
      </c>
      <c r="AR235" s="20">
        <v>4583</v>
      </c>
      <c r="AS235" s="20">
        <v>4405</v>
      </c>
      <c r="AT235" s="20">
        <f t="shared" si="237"/>
        <v>178</v>
      </c>
      <c r="AU235" s="20"/>
      <c r="AV235" s="20"/>
      <c r="AW235" s="46">
        <v>2012</v>
      </c>
      <c r="AX235" s="47" t="s">
        <v>39</v>
      </c>
      <c r="AY235" s="35">
        <f t="shared" si="168"/>
        <v>0.83531746031746035</v>
      </c>
      <c r="AZ235" s="35">
        <f t="shared" si="169"/>
        <v>0.85743380855397144</v>
      </c>
      <c r="BA235" s="35">
        <f t="shared" si="170"/>
        <v>0.97420634920634919</v>
      </c>
      <c r="BB235" s="20">
        <v>504</v>
      </c>
      <c r="BC235" s="27">
        <f t="shared" si="238"/>
        <v>13</v>
      </c>
      <c r="BD235" s="20">
        <v>491</v>
      </c>
      <c r="BE235" s="20">
        <v>421</v>
      </c>
      <c r="BF235" s="20">
        <f t="shared" si="239"/>
        <v>70</v>
      </c>
      <c r="BG235" s="20"/>
      <c r="BH235" s="20"/>
      <c r="BI235" s="46">
        <v>2012</v>
      </c>
      <c r="BJ235" s="47" t="s">
        <v>39</v>
      </c>
      <c r="BK235" s="35">
        <f t="shared" si="173"/>
        <v>0.84478672985781988</v>
      </c>
      <c r="BL235" s="35">
        <f t="shared" si="174"/>
        <v>0.85697115384615385</v>
      </c>
      <c r="BM235" s="35">
        <f t="shared" si="175"/>
        <v>0.98578199052132698</v>
      </c>
      <c r="BN235" s="20">
        <v>2532</v>
      </c>
      <c r="BO235" s="27">
        <f t="shared" si="240"/>
        <v>36</v>
      </c>
      <c r="BP235" s="20">
        <v>2496</v>
      </c>
      <c r="BQ235" s="20">
        <v>2139</v>
      </c>
      <c r="BR235" s="20">
        <f t="shared" si="241"/>
        <v>357</v>
      </c>
      <c r="BS235" s="20"/>
      <c r="BT235" s="20"/>
      <c r="BU235" s="46">
        <v>2012</v>
      </c>
      <c r="BV235" s="47" t="s">
        <v>39</v>
      </c>
      <c r="BW235" s="35">
        <f t="shared" si="178"/>
        <v>0.91201550387596897</v>
      </c>
      <c r="BX235" s="35">
        <f t="shared" si="179"/>
        <v>0.93373015873015874</v>
      </c>
      <c r="BY235" s="35">
        <f t="shared" si="180"/>
        <v>0.97674418604651159</v>
      </c>
      <c r="BZ235" s="20">
        <v>2580</v>
      </c>
      <c r="CA235" s="27">
        <f t="shared" si="242"/>
        <v>60</v>
      </c>
      <c r="CB235" s="20">
        <v>2520</v>
      </c>
      <c r="CC235" s="20">
        <v>2353</v>
      </c>
      <c r="CD235" s="20">
        <f t="shared" si="243"/>
        <v>167</v>
      </c>
      <c r="CE235" s="20"/>
      <c r="CF235" s="20"/>
      <c r="CG235" s="46">
        <v>2012</v>
      </c>
      <c r="CH235" s="47" t="s">
        <v>39</v>
      </c>
      <c r="CI235" s="35">
        <f t="shared" si="203"/>
        <v>0.78605330412559327</v>
      </c>
      <c r="CJ235" s="35">
        <f t="shared" si="204"/>
        <v>0.80909432544156334</v>
      </c>
      <c r="CK235" s="35">
        <f t="shared" si="205"/>
        <v>0.9715224534501643</v>
      </c>
      <c r="CL235" s="20">
        <v>2739</v>
      </c>
      <c r="CM235" s="20">
        <f t="shared" si="186"/>
        <v>78</v>
      </c>
      <c r="CN235" s="20">
        <v>2661</v>
      </c>
      <c r="CO235" s="20">
        <v>2153</v>
      </c>
      <c r="CP235" s="20">
        <f t="shared" si="187"/>
        <v>508</v>
      </c>
      <c r="CQ235" s="20"/>
      <c r="CR235" s="20"/>
      <c r="CS235" s="46">
        <v>2012</v>
      </c>
      <c r="CT235" s="47" t="s">
        <v>39</v>
      </c>
      <c r="CU235" s="35">
        <f t="shared" si="188"/>
        <v>0.74896694214876036</v>
      </c>
      <c r="CV235" s="35">
        <f t="shared" si="189"/>
        <v>0.75995807127882598</v>
      </c>
      <c r="CW235" s="35">
        <f t="shared" si="190"/>
        <v>0.98553719008264462</v>
      </c>
      <c r="CX235" s="20">
        <v>968</v>
      </c>
      <c r="CY235" s="27">
        <f t="shared" si="244"/>
        <v>14</v>
      </c>
      <c r="CZ235" s="20">
        <v>954</v>
      </c>
      <c r="DA235" s="20">
        <v>725</v>
      </c>
      <c r="DB235" s="20">
        <f t="shared" si="245"/>
        <v>229</v>
      </c>
      <c r="DC235" s="20"/>
      <c r="DD235" s="20"/>
      <c r="DE235" s="46">
        <v>2012</v>
      </c>
      <c r="DF235" s="47" t="s">
        <v>39</v>
      </c>
      <c r="DG235" s="35">
        <f t="shared" si="193"/>
        <v>0.91991182953710504</v>
      </c>
      <c r="DH235" s="35">
        <f t="shared" si="194"/>
        <v>0.97129557796741661</v>
      </c>
      <c r="DI235" s="35">
        <f t="shared" si="195"/>
        <v>0.9470977222630419</v>
      </c>
      <c r="DJ235" s="20">
        <v>1361</v>
      </c>
      <c r="DK235" s="27">
        <f t="shared" si="246"/>
        <v>72</v>
      </c>
      <c r="DL235" s="20">
        <v>1289</v>
      </c>
      <c r="DM235" s="20">
        <v>1252</v>
      </c>
      <c r="DN235" s="20">
        <f t="shared" si="247"/>
        <v>37</v>
      </c>
      <c r="DO235" s="20"/>
      <c r="DP235" s="20"/>
      <c r="DQ235" s="46"/>
      <c r="DR235" s="47"/>
      <c r="DS235" s="35"/>
      <c r="DT235" s="35"/>
      <c r="DU235" s="35"/>
      <c r="DV235" s="27"/>
      <c r="DW235" s="27"/>
      <c r="DX235" s="27"/>
      <c r="DY235" s="27"/>
      <c r="DZ235" s="27"/>
      <c r="EA235" s="27"/>
      <c r="EB235" s="27"/>
      <c r="EJ235" s="29"/>
      <c r="EK235" s="29"/>
      <c r="EL235" s="29"/>
    </row>
    <row r="236" spans="1:142" s="34" customFormat="1" ht="12.95" customHeight="1">
      <c r="A236" s="45">
        <v>2012</v>
      </c>
      <c r="B236" s="48" t="s">
        <v>40</v>
      </c>
      <c r="C236" s="35">
        <f t="shared" si="198"/>
        <v>0.84369299221357064</v>
      </c>
      <c r="D236" s="35">
        <f t="shared" si="199"/>
        <v>0.88068366541266085</v>
      </c>
      <c r="E236" s="35">
        <f t="shared" si="200"/>
        <v>0.95799777530589547</v>
      </c>
      <c r="F2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22475</v>
      </c>
      <c r="G236" s="20">
        <f t="shared" si="201"/>
        <v>944</v>
      </c>
      <c r="H2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21531</v>
      </c>
      <c r="I2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18962</v>
      </c>
      <c r="J236" s="20">
        <f t="shared" si="202"/>
        <v>2569</v>
      </c>
      <c r="K236" s="27"/>
      <c r="L236" s="27"/>
      <c r="M236" s="45">
        <v>2012</v>
      </c>
      <c r="N236" s="48" t="s">
        <v>40</v>
      </c>
      <c r="O236" s="35">
        <f t="shared" si="158"/>
        <v>0.88256549232158987</v>
      </c>
      <c r="P236" s="35">
        <f t="shared" si="159"/>
        <v>0.90951405697263077</v>
      </c>
      <c r="Q236" s="35">
        <f t="shared" si="160"/>
        <v>0.97037037037037033</v>
      </c>
      <c r="R236" s="20">
        <v>5535</v>
      </c>
      <c r="S236" s="27">
        <f t="shared" si="234"/>
        <v>164</v>
      </c>
      <c r="T236" s="20">
        <v>5371</v>
      </c>
      <c r="U236" s="20">
        <v>4885</v>
      </c>
      <c r="V236" s="20">
        <f t="shared" si="235"/>
        <v>486</v>
      </c>
      <c r="W236" s="20"/>
      <c r="X236" s="20"/>
      <c r="Y236" s="45"/>
      <c r="Z236" s="48"/>
      <c r="AA236" s="35"/>
      <c r="AB236" s="35"/>
      <c r="AC236" s="35"/>
      <c r="AD236" s="20"/>
      <c r="AE236" s="27"/>
      <c r="AF236" s="20"/>
      <c r="AG236" s="20"/>
      <c r="AH236" s="20"/>
      <c r="AI236" s="20"/>
      <c r="AJ236" s="20"/>
      <c r="AK236" s="45">
        <v>2012</v>
      </c>
      <c r="AL236" s="48" t="s">
        <v>40</v>
      </c>
      <c r="AM236" s="35">
        <f t="shared" si="163"/>
        <v>0.89277522935779818</v>
      </c>
      <c r="AN236" s="35">
        <f t="shared" si="164"/>
        <v>0.92825914149443556</v>
      </c>
      <c r="AO236" s="35">
        <f t="shared" si="165"/>
        <v>0.96177370030581044</v>
      </c>
      <c r="AP236" s="20">
        <v>5232</v>
      </c>
      <c r="AQ236" s="27">
        <f t="shared" si="236"/>
        <v>200</v>
      </c>
      <c r="AR236" s="20">
        <v>5032</v>
      </c>
      <c r="AS236" s="20">
        <v>4671</v>
      </c>
      <c r="AT236" s="20">
        <f t="shared" si="237"/>
        <v>361</v>
      </c>
      <c r="AU236" s="20"/>
      <c r="AV236" s="20"/>
      <c r="AW236" s="45">
        <v>2012</v>
      </c>
      <c r="AX236" s="48" t="s">
        <v>40</v>
      </c>
      <c r="AY236" s="35">
        <f t="shared" si="168"/>
        <v>0.74025974025974028</v>
      </c>
      <c r="AZ236" s="35">
        <f t="shared" si="169"/>
        <v>0.77815699658703075</v>
      </c>
      <c r="BA236" s="35">
        <f t="shared" si="170"/>
        <v>0.95129870129870131</v>
      </c>
      <c r="BB236" s="20">
        <v>616</v>
      </c>
      <c r="BC236" s="27">
        <f t="shared" si="238"/>
        <v>30</v>
      </c>
      <c r="BD236" s="20">
        <v>586</v>
      </c>
      <c r="BE236" s="20">
        <v>456</v>
      </c>
      <c r="BF236" s="20">
        <f t="shared" si="239"/>
        <v>130</v>
      </c>
      <c r="BG236" s="20"/>
      <c r="BH236" s="20"/>
      <c r="BI236" s="45">
        <v>2012</v>
      </c>
      <c r="BJ236" s="48" t="s">
        <v>40</v>
      </c>
      <c r="BK236" s="35">
        <f t="shared" si="173"/>
        <v>0.8238060781476122</v>
      </c>
      <c r="BL236" s="35">
        <f t="shared" si="174"/>
        <v>0.84458456973293772</v>
      </c>
      <c r="BM236" s="35">
        <f t="shared" si="175"/>
        <v>0.97539797395079597</v>
      </c>
      <c r="BN236" s="20">
        <v>2764</v>
      </c>
      <c r="BO236" s="27">
        <f t="shared" si="240"/>
        <v>68</v>
      </c>
      <c r="BP236" s="20">
        <v>2696</v>
      </c>
      <c r="BQ236" s="20">
        <v>2277</v>
      </c>
      <c r="BR236" s="20">
        <f t="shared" si="241"/>
        <v>419</v>
      </c>
      <c r="BS236" s="20"/>
      <c r="BT236" s="20"/>
      <c r="BU236" s="45">
        <v>2012</v>
      </c>
      <c r="BV236" s="48" t="s">
        <v>40</v>
      </c>
      <c r="BW236" s="35">
        <f t="shared" si="178"/>
        <v>0.86808510638297876</v>
      </c>
      <c r="BX236" s="35">
        <f t="shared" si="179"/>
        <v>0.9276241000378932</v>
      </c>
      <c r="BY236" s="35">
        <f t="shared" si="180"/>
        <v>0.93581560283687948</v>
      </c>
      <c r="BZ236" s="20">
        <v>2820</v>
      </c>
      <c r="CA236" s="27">
        <f t="shared" si="242"/>
        <v>181</v>
      </c>
      <c r="CB236" s="20">
        <v>2639</v>
      </c>
      <c r="CC236" s="20">
        <v>2448</v>
      </c>
      <c r="CD236" s="20">
        <f t="shared" si="243"/>
        <v>191</v>
      </c>
      <c r="CE236" s="20"/>
      <c r="CF236" s="20"/>
      <c r="CG236" s="45">
        <v>2012</v>
      </c>
      <c r="CH236" s="48" t="s">
        <v>40</v>
      </c>
      <c r="CI236" s="35">
        <f t="shared" si="203"/>
        <v>0.73731944910984215</v>
      </c>
      <c r="CJ236" s="35">
        <f t="shared" si="204"/>
        <v>0.79934450109249822</v>
      </c>
      <c r="CK236" s="35">
        <f t="shared" si="205"/>
        <v>0.92240510581121937</v>
      </c>
      <c r="CL236" s="20">
        <v>2977</v>
      </c>
      <c r="CM236" s="20">
        <f t="shared" si="186"/>
        <v>231</v>
      </c>
      <c r="CN236" s="20">
        <v>2746</v>
      </c>
      <c r="CO236" s="20">
        <v>2195</v>
      </c>
      <c r="CP236" s="20">
        <f t="shared" si="187"/>
        <v>551</v>
      </c>
      <c r="CQ236" s="20"/>
      <c r="CR236" s="20"/>
      <c r="CS236" s="45">
        <v>2012</v>
      </c>
      <c r="CT236" s="48" t="s">
        <v>40</v>
      </c>
      <c r="CU236" s="35">
        <f t="shared" si="188"/>
        <v>0.57061068702290074</v>
      </c>
      <c r="CV236" s="35">
        <f t="shared" si="189"/>
        <v>0.59502487562189055</v>
      </c>
      <c r="CW236" s="35">
        <f t="shared" si="190"/>
        <v>0.95896946564885499</v>
      </c>
      <c r="CX236" s="20">
        <v>1048</v>
      </c>
      <c r="CY236" s="27">
        <f t="shared" si="244"/>
        <v>43</v>
      </c>
      <c r="CZ236" s="20">
        <v>1005</v>
      </c>
      <c r="DA236" s="20">
        <v>598</v>
      </c>
      <c r="DB236" s="20">
        <f t="shared" si="245"/>
        <v>407</v>
      </c>
      <c r="DC236" s="20"/>
      <c r="DD236" s="20"/>
      <c r="DE236" s="45">
        <v>2012</v>
      </c>
      <c r="DF236" s="48" t="s">
        <v>40</v>
      </c>
      <c r="DG236" s="35">
        <f t="shared" si="193"/>
        <v>0.96561024949426832</v>
      </c>
      <c r="DH236" s="35">
        <f t="shared" si="194"/>
        <v>0.98351648351648346</v>
      </c>
      <c r="DI236" s="35">
        <f t="shared" si="195"/>
        <v>0.98179366149696556</v>
      </c>
      <c r="DJ236" s="20">
        <v>1483</v>
      </c>
      <c r="DK236" s="27">
        <f t="shared" si="246"/>
        <v>27</v>
      </c>
      <c r="DL236" s="20">
        <v>1456</v>
      </c>
      <c r="DM236" s="20">
        <v>1432</v>
      </c>
      <c r="DN236" s="20">
        <f t="shared" si="247"/>
        <v>24</v>
      </c>
      <c r="DO236" s="20"/>
      <c r="DP236" s="20"/>
      <c r="DQ236" s="45"/>
      <c r="DR236" s="48"/>
      <c r="DS236" s="35"/>
      <c r="DT236" s="35"/>
      <c r="DU236" s="35"/>
      <c r="DV236" s="27"/>
      <c r="DW236" s="27"/>
      <c r="DX236" s="27"/>
      <c r="DY236" s="27"/>
      <c r="DZ236" s="27"/>
      <c r="EA236" s="27"/>
      <c r="EB236" s="27"/>
      <c r="EJ236" s="29"/>
      <c r="EK236" s="29"/>
      <c r="EL236" s="29"/>
    </row>
    <row r="237" spans="1:142" s="34" customFormat="1" ht="12.95" customHeight="1">
      <c r="A237" s="46">
        <v>2012</v>
      </c>
      <c r="B237" s="47" t="s">
        <v>41</v>
      </c>
      <c r="C237" s="35">
        <f t="shared" si="198"/>
        <v>0.74277694429656871</v>
      </c>
      <c r="D237" s="35">
        <f t="shared" si="199"/>
        <v>0.83590218397690763</v>
      </c>
      <c r="E237" s="35">
        <f t="shared" si="200"/>
        <v>0.88859313749213575</v>
      </c>
      <c r="F2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20663</v>
      </c>
      <c r="G237" s="20">
        <f t="shared" si="201"/>
        <v>2302</v>
      </c>
      <c r="H2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18361</v>
      </c>
      <c r="I2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15348</v>
      </c>
      <c r="J237" s="20">
        <f t="shared" si="202"/>
        <v>3013</v>
      </c>
      <c r="K237" s="27"/>
      <c r="L237" s="27"/>
      <c r="M237" s="46">
        <v>2012</v>
      </c>
      <c r="N237" s="47" t="s">
        <v>41</v>
      </c>
      <c r="O237" s="35">
        <f t="shared" si="158"/>
        <v>0.87234042553191493</v>
      </c>
      <c r="P237" s="35">
        <f t="shared" si="159"/>
        <v>0.92665245202558633</v>
      </c>
      <c r="Q237" s="35">
        <f t="shared" si="160"/>
        <v>0.94138900040144524</v>
      </c>
      <c r="R237" s="20">
        <v>4982</v>
      </c>
      <c r="S237" s="27">
        <f t="shared" si="234"/>
        <v>292</v>
      </c>
      <c r="T237" s="20">
        <v>4690</v>
      </c>
      <c r="U237" s="20">
        <v>4346</v>
      </c>
      <c r="V237" s="20">
        <f t="shared" si="235"/>
        <v>344</v>
      </c>
      <c r="W237" s="20"/>
      <c r="X237" s="20"/>
      <c r="Y237" s="46"/>
      <c r="Z237" s="47"/>
      <c r="AA237" s="35"/>
      <c r="AB237" s="35"/>
      <c r="AC237" s="35"/>
      <c r="AD237" s="20"/>
      <c r="AE237" s="27"/>
      <c r="AF237" s="20"/>
      <c r="AG237" s="20"/>
      <c r="AH237" s="20"/>
      <c r="AI237" s="20"/>
      <c r="AJ237" s="20"/>
      <c r="AK237" s="46">
        <v>2012</v>
      </c>
      <c r="AL237" s="47" t="s">
        <v>41</v>
      </c>
      <c r="AM237" s="35">
        <f t="shared" si="163"/>
        <v>0.89369747899159668</v>
      </c>
      <c r="AN237" s="35">
        <f t="shared" si="164"/>
        <v>0.94094226940942272</v>
      </c>
      <c r="AO237" s="35">
        <f t="shared" si="165"/>
        <v>0.94978991596638651</v>
      </c>
      <c r="AP237" s="20">
        <v>4760</v>
      </c>
      <c r="AQ237" s="27">
        <f t="shared" si="236"/>
        <v>239</v>
      </c>
      <c r="AR237" s="20">
        <v>4521</v>
      </c>
      <c r="AS237" s="20">
        <v>4254</v>
      </c>
      <c r="AT237" s="20">
        <f t="shared" si="237"/>
        <v>267</v>
      </c>
      <c r="AU237" s="20"/>
      <c r="AV237" s="20"/>
      <c r="AW237" s="46">
        <v>2012</v>
      </c>
      <c r="AX237" s="47" t="s">
        <v>41</v>
      </c>
      <c r="AY237" s="35">
        <f t="shared" si="168"/>
        <v>0.72899159663865543</v>
      </c>
      <c r="AZ237" s="35">
        <f t="shared" si="169"/>
        <v>0.80138568129330257</v>
      </c>
      <c r="BA237" s="35">
        <f t="shared" si="170"/>
        <v>0.90966386554621848</v>
      </c>
      <c r="BB237" s="20">
        <v>476</v>
      </c>
      <c r="BC237" s="27">
        <f t="shared" si="238"/>
        <v>43</v>
      </c>
      <c r="BD237" s="20">
        <v>433</v>
      </c>
      <c r="BE237" s="20">
        <v>347</v>
      </c>
      <c r="BF237" s="20">
        <f t="shared" si="239"/>
        <v>86</v>
      </c>
      <c r="BG237" s="20"/>
      <c r="BH237" s="20"/>
      <c r="BI237" s="46">
        <v>2012</v>
      </c>
      <c r="BJ237" s="47" t="s">
        <v>41</v>
      </c>
      <c r="BK237" s="35">
        <f t="shared" si="173"/>
        <v>0.41502890173410406</v>
      </c>
      <c r="BL237" s="35">
        <f t="shared" si="174"/>
        <v>0.46382428940568476</v>
      </c>
      <c r="BM237" s="35">
        <f t="shared" si="175"/>
        <v>0.89479768786127167</v>
      </c>
      <c r="BN237" s="20">
        <v>2595</v>
      </c>
      <c r="BO237" s="27">
        <f t="shared" si="240"/>
        <v>273</v>
      </c>
      <c r="BP237" s="20">
        <v>2322</v>
      </c>
      <c r="BQ237" s="20">
        <v>1077</v>
      </c>
      <c r="BR237" s="20">
        <f t="shared" si="241"/>
        <v>1245</v>
      </c>
      <c r="BS237" s="20"/>
      <c r="BT237" s="20"/>
      <c r="BU237" s="46">
        <v>2012</v>
      </c>
      <c r="BV237" s="47" t="s">
        <v>41</v>
      </c>
      <c r="BW237" s="35">
        <f t="shared" si="178"/>
        <v>0.66275992438563325</v>
      </c>
      <c r="BX237" s="35">
        <f t="shared" si="179"/>
        <v>0.88179074446680084</v>
      </c>
      <c r="BY237" s="35">
        <f t="shared" si="180"/>
        <v>0.75160680529300572</v>
      </c>
      <c r="BZ237" s="20">
        <v>2645</v>
      </c>
      <c r="CA237" s="27">
        <f t="shared" si="242"/>
        <v>657</v>
      </c>
      <c r="CB237" s="20">
        <v>1988</v>
      </c>
      <c r="CC237" s="20">
        <v>1753</v>
      </c>
      <c r="CD237" s="20">
        <f t="shared" si="243"/>
        <v>235</v>
      </c>
      <c r="CE237" s="20"/>
      <c r="CF237" s="20"/>
      <c r="CG237" s="46">
        <v>2012</v>
      </c>
      <c r="CH237" s="47" t="s">
        <v>41</v>
      </c>
      <c r="CI237" s="35">
        <f t="shared" si="203"/>
        <v>0.6306434411660149</v>
      </c>
      <c r="CJ237" s="35">
        <f t="shared" si="204"/>
        <v>0.81189931350114419</v>
      </c>
      <c r="CK237" s="35">
        <f t="shared" si="205"/>
        <v>0.77675079985780304</v>
      </c>
      <c r="CL237" s="20">
        <v>2813</v>
      </c>
      <c r="CM237" s="20">
        <f t="shared" si="186"/>
        <v>628</v>
      </c>
      <c r="CN237" s="20">
        <v>2185</v>
      </c>
      <c r="CO237" s="20">
        <v>1774</v>
      </c>
      <c r="CP237" s="20">
        <f t="shared" si="187"/>
        <v>411</v>
      </c>
      <c r="CQ237" s="20"/>
      <c r="CR237" s="20"/>
      <c r="CS237" s="46">
        <v>2012</v>
      </c>
      <c r="CT237" s="47" t="s">
        <v>41</v>
      </c>
      <c r="CU237" s="35">
        <f t="shared" si="188"/>
        <v>0.42713567839195982</v>
      </c>
      <c r="CV237" s="35">
        <f t="shared" si="189"/>
        <v>0.51143200962695545</v>
      </c>
      <c r="CW237" s="35">
        <f t="shared" si="190"/>
        <v>0.8351758793969849</v>
      </c>
      <c r="CX237" s="20">
        <v>995</v>
      </c>
      <c r="CY237" s="27">
        <f t="shared" si="244"/>
        <v>164</v>
      </c>
      <c r="CZ237" s="20">
        <v>831</v>
      </c>
      <c r="DA237" s="20">
        <v>425</v>
      </c>
      <c r="DB237" s="20">
        <f t="shared" si="245"/>
        <v>406</v>
      </c>
      <c r="DC237" s="20"/>
      <c r="DD237" s="20"/>
      <c r="DE237" s="46">
        <v>2012</v>
      </c>
      <c r="DF237" s="47" t="s">
        <v>41</v>
      </c>
      <c r="DG237" s="35">
        <f t="shared" si="193"/>
        <v>0.98210450966356477</v>
      </c>
      <c r="DH237" s="35">
        <f t="shared" si="194"/>
        <v>0.98634076204169663</v>
      </c>
      <c r="DI237" s="35">
        <f t="shared" si="195"/>
        <v>0.99570508231925559</v>
      </c>
      <c r="DJ237" s="20">
        <v>1397</v>
      </c>
      <c r="DK237" s="27">
        <f t="shared" si="246"/>
        <v>6</v>
      </c>
      <c r="DL237" s="20">
        <v>1391</v>
      </c>
      <c r="DM237" s="20">
        <v>1372</v>
      </c>
      <c r="DN237" s="20">
        <f t="shared" si="247"/>
        <v>19</v>
      </c>
      <c r="DO237" s="20"/>
      <c r="DP237" s="20"/>
      <c r="DQ237" s="46"/>
      <c r="DR237" s="47"/>
      <c r="DS237" s="35"/>
      <c r="DT237" s="35"/>
      <c r="DU237" s="35"/>
      <c r="DV237" s="27"/>
      <c r="DW237" s="27"/>
      <c r="DX237" s="27"/>
      <c r="DY237" s="27"/>
      <c r="DZ237" s="27"/>
      <c r="EA237" s="27"/>
      <c r="EB237" s="27"/>
      <c r="EJ237" s="29"/>
      <c r="EK237" s="29"/>
      <c r="EL237" s="29"/>
    </row>
    <row r="238" spans="1:142" s="34" customFormat="1" ht="12.95" customHeight="1">
      <c r="A238" s="45">
        <v>2012</v>
      </c>
      <c r="B238" s="48" t="s">
        <v>42</v>
      </c>
      <c r="C238" s="35">
        <f t="shared" si="198"/>
        <v>0.71418903676968193</v>
      </c>
      <c r="D238" s="35">
        <f t="shared" si="199"/>
        <v>0.78308186989859019</v>
      </c>
      <c r="E238" s="35">
        <f t="shared" si="200"/>
        <v>0.91202346041055715</v>
      </c>
      <c r="F2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G238" s="20">
        <f t="shared" si="201"/>
        <v>1950</v>
      </c>
      <c r="H2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20215</v>
      </c>
      <c r="I2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15830</v>
      </c>
      <c r="J238" s="20">
        <f t="shared" si="202"/>
        <v>4385</v>
      </c>
      <c r="K238" s="27"/>
      <c r="L238" s="27"/>
      <c r="M238" s="45">
        <v>2012</v>
      </c>
      <c r="N238" s="48" t="s">
        <v>42</v>
      </c>
      <c r="O238" s="35">
        <f t="shared" si="158"/>
        <v>0.80283766353418096</v>
      </c>
      <c r="P238" s="35">
        <f t="shared" si="159"/>
        <v>0.86654733492442326</v>
      </c>
      <c r="Q238" s="35">
        <f t="shared" si="160"/>
        <v>0.92647871752349364</v>
      </c>
      <c r="R238" s="20">
        <v>5427</v>
      </c>
      <c r="S238" s="27">
        <f t="shared" si="234"/>
        <v>399</v>
      </c>
      <c r="T238" s="20">
        <v>5028</v>
      </c>
      <c r="U238" s="20">
        <v>4357</v>
      </c>
      <c r="V238" s="20">
        <f t="shared" si="235"/>
        <v>671</v>
      </c>
      <c r="W238" s="20"/>
      <c r="X238" s="20"/>
      <c r="Y238" s="45"/>
      <c r="Z238" s="48"/>
      <c r="AA238" s="35"/>
      <c r="AB238" s="35"/>
      <c r="AC238" s="35"/>
      <c r="AD238" s="20"/>
      <c r="AE238" s="27"/>
      <c r="AF238" s="20"/>
      <c r="AG238" s="20"/>
      <c r="AH238" s="20"/>
      <c r="AI238" s="20"/>
      <c r="AJ238" s="20"/>
      <c r="AK238" s="45">
        <v>2012</v>
      </c>
      <c r="AL238" s="48" t="s">
        <v>42</v>
      </c>
      <c r="AM238" s="35">
        <f t="shared" si="163"/>
        <v>0.81524698560871256</v>
      </c>
      <c r="AN238" s="35">
        <f t="shared" si="164"/>
        <v>0.89400725101300915</v>
      </c>
      <c r="AO238" s="35">
        <f t="shared" si="165"/>
        <v>0.91190198366394404</v>
      </c>
      <c r="AP238" s="20">
        <v>5142</v>
      </c>
      <c r="AQ238" s="27">
        <f t="shared" si="236"/>
        <v>453</v>
      </c>
      <c r="AR238" s="20">
        <v>4689</v>
      </c>
      <c r="AS238" s="20">
        <v>4192</v>
      </c>
      <c r="AT238" s="20">
        <f t="shared" si="237"/>
        <v>497</v>
      </c>
      <c r="AU238" s="20"/>
      <c r="AV238" s="20"/>
      <c r="AW238" s="45">
        <v>2012</v>
      </c>
      <c r="AX238" s="48" t="s">
        <v>42</v>
      </c>
      <c r="AY238" s="35">
        <f t="shared" si="168"/>
        <v>0.62755102040816324</v>
      </c>
      <c r="AZ238" s="35">
        <f t="shared" si="169"/>
        <v>0.71098265895953761</v>
      </c>
      <c r="BA238" s="35">
        <f t="shared" si="170"/>
        <v>0.88265306122448983</v>
      </c>
      <c r="BB238" s="20">
        <v>588</v>
      </c>
      <c r="BC238" s="27">
        <f t="shared" si="238"/>
        <v>69</v>
      </c>
      <c r="BD238" s="20">
        <v>519</v>
      </c>
      <c r="BE238" s="20">
        <v>369</v>
      </c>
      <c r="BF238" s="20">
        <f t="shared" si="239"/>
        <v>150</v>
      </c>
      <c r="BG238" s="20"/>
      <c r="BH238" s="20"/>
      <c r="BI238" s="45">
        <v>2012</v>
      </c>
      <c r="BJ238" s="48" t="s">
        <v>42</v>
      </c>
      <c r="BK238" s="35">
        <f t="shared" si="173"/>
        <v>0.38380153228748631</v>
      </c>
      <c r="BL238" s="35">
        <f t="shared" si="174"/>
        <v>0.41499013806706114</v>
      </c>
      <c r="BM238" s="35">
        <f t="shared" si="175"/>
        <v>0.92484494709959864</v>
      </c>
      <c r="BN238" s="20">
        <v>2741</v>
      </c>
      <c r="BO238" s="27">
        <f t="shared" si="240"/>
        <v>206</v>
      </c>
      <c r="BP238" s="20">
        <v>2535</v>
      </c>
      <c r="BQ238" s="20">
        <v>1052</v>
      </c>
      <c r="BR238" s="20">
        <f t="shared" si="241"/>
        <v>1483</v>
      </c>
      <c r="BS238" s="20"/>
      <c r="BT238" s="20"/>
      <c r="BU238" s="45">
        <v>2012</v>
      </c>
      <c r="BV238" s="48" t="s">
        <v>42</v>
      </c>
      <c r="BW238" s="35">
        <f t="shared" si="178"/>
        <v>0.705798138869005</v>
      </c>
      <c r="BX238" s="35">
        <f t="shared" si="179"/>
        <v>0.84598884598884594</v>
      </c>
      <c r="BY238" s="35">
        <f t="shared" si="180"/>
        <v>0.83428775948460987</v>
      </c>
      <c r="BZ238" s="20">
        <v>2794</v>
      </c>
      <c r="CA238" s="27">
        <f t="shared" si="242"/>
        <v>463</v>
      </c>
      <c r="CB238" s="20">
        <v>2331</v>
      </c>
      <c r="CC238" s="20">
        <v>1972</v>
      </c>
      <c r="CD238" s="20">
        <f t="shared" si="243"/>
        <v>359</v>
      </c>
      <c r="CE238" s="20"/>
      <c r="CF238" s="20"/>
      <c r="CG238" s="45">
        <v>2012</v>
      </c>
      <c r="CH238" s="48" t="s">
        <v>42</v>
      </c>
      <c r="CI238" s="35">
        <f t="shared" si="203"/>
        <v>0.67849898580121704</v>
      </c>
      <c r="CJ238" s="35">
        <f t="shared" si="204"/>
        <v>0.72298270893371763</v>
      </c>
      <c r="CK238" s="35">
        <f t="shared" si="205"/>
        <v>0.93847194050033811</v>
      </c>
      <c r="CL238" s="20">
        <v>2958</v>
      </c>
      <c r="CM238" s="20">
        <f t="shared" si="186"/>
        <v>182</v>
      </c>
      <c r="CN238" s="20">
        <v>2776</v>
      </c>
      <c r="CO238" s="20">
        <v>2007</v>
      </c>
      <c r="CP238" s="20">
        <f t="shared" si="187"/>
        <v>769</v>
      </c>
      <c r="CQ238" s="20"/>
      <c r="CR238" s="20"/>
      <c r="CS238" s="45">
        <v>2012</v>
      </c>
      <c r="CT238" s="48" t="s">
        <v>42</v>
      </c>
      <c r="CU238" s="35">
        <f t="shared" si="188"/>
        <v>0.538830297219559</v>
      </c>
      <c r="CV238" s="35">
        <f t="shared" si="189"/>
        <v>0.57230142566191444</v>
      </c>
      <c r="CW238" s="35">
        <f t="shared" si="190"/>
        <v>0.94151486097794823</v>
      </c>
      <c r="CX238" s="20">
        <v>1043</v>
      </c>
      <c r="CY238" s="27">
        <f t="shared" si="244"/>
        <v>61</v>
      </c>
      <c r="CZ238" s="20">
        <v>982</v>
      </c>
      <c r="DA238" s="20">
        <v>562</v>
      </c>
      <c r="DB238" s="20">
        <f t="shared" si="245"/>
        <v>420</v>
      </c>
      <c r="DC238" s="20"/>
      <c r="DD238" s="20"/>
      <c r="DE238" s="45">
        <v>2012</v>
      </c>
      <c r="DF238" s="48" t="s">
        <v>42</v>
      </c>
      <c r="DG238" s="35">
        <f t="shared" si="193"/>
        <v>0.89605978260869568</v>
      </c>
      <c r="DH238" s="35">
        <f t="shared" si="194"/>
        <v>0.9734317343173432</v>
      </c>
      <c r="DI238" s="35">
        <f t="shared" si="195"/>
        <v>0.92051630434782605</v>
      </c>
      <c r="DJ238" s="20">
        <v>1472</v>
      </c>
      <c r="DK238" s="27">
        <f t="shared" si="246"/>
        <v>117</v>
      </c>
      <c r="DL238" s="20">
        <v>1355</v>
      </c>
      <c r="DM238" s="20">
        <v>1319</v>
      </c>
      <c r="DN238" s="20">
        <f t="shared" si="247"/>
        <v>36</v>
      </c>
      <c r="DO238" s="20"/>
      <c r="DP238" s="20"/>
      <c r="DQ238" s="45"/>
      <c r="DR238" s="48"/>
      <c r="DS238" s="35"/>
      <c r="DT238" s="35"/>
      <c r="DU238" s="35"/>
      <c r="DV238" s="27"/>
      <c r="DW238" s="27"/>
      <c r="DX238" s="27"/>
      <c r="DY238" s="27"/>
      <c r="DZ238" s="27"/>
      <c r="EA238" s="27"/>
      <c r="EB238" s="27"/>
      <c r="EJ238" s="29"/>
      <c r="EK238" s="29"/>
      <c r="EL238" s="29"/>
    </row>
    <row r="239" spans="1:142" s="34" customFormat="1" ht="12.95" customHeight="1">
      <c r="A239" s="46">
        <v>2012</v>
      </c>
      <c r="B239" s="47" t="s">
        <v>43</v>
      </c>
      <c r="C239" s="35">
        <f t="shared" si="198"/>
        <v>0.76732420515200739</v>
      </c>
      <c r="D239" s="35">
        <f t="shared" si="199"/>
        <v>0.80346034214618978</v>
      </c>
      <c r="E239" s="35">
        <f t="shared" si="200"/>
        <v>0.95502436760269205</v>
      </c>
      <c r="F2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21545</v>
      </c>
      <c r="G239" s="20">
        <f t="shared" si="201"/>
        <v>969</v>
      </c>
      <c r="H2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20576</v>
      </c>
      <c r="I2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16532</v>
      </c>
      <c r="J239" s="20">
        <f t="shared" si="202"/>
        <v>4044</v>
      </c>
      <c r="K239" s="27"/>
      <c r="L239" s="27"/>
      <c r="M239" s="46">
        <v>2012</v>
      </c>
      <c r="N239" s="47" t="s">
        <v>43</v>
      </c>
      <c r="O239" s="35">
        <f t="shared" si="158"/>
        <v>0.88185255198487711</v>
      </c>
      <c r="P239" s="35">
        <f t="shared" si="159"/>
        <v>0.90670553935860054</v>
      </c>
      <c r="Q239" s="35">
        <f t="shared" si="160"/>
        <v>0.97258979206049145</v>
      </c>
      <c r="R239" s="20">
        <v>5290</v>
      </c>
      <c r="S239" s="27">
        <f t="shared" si="234"/>
        <v>145</v>
      </c>
      <c r="T239" s="20">
        <v>5145</v>
      </c>
      <c r="U239" s="20">
        <v>4665</v>
      </c>
      <c r="V239" s="20">
        <f t="shared" si="235"/>
        <v>480</v>
      </c>
      <c r="W239" s="20"/>
      <c r="X239" s="20"/>
      <c r="Y239" s="46"/>
      <c r="Z239" s="47"/>
      <c r="AA239" s="35"/>
      <c r="AB239" s="35"/>
      <c r="AC239" s="35"/>
      <c r="AD239" s="20"/>
      <c r="AE239" s="27"/>
      <c r="AF239" s="20"/>
      <c r="AG239" s="20"/>
      <c r="AH239" s="20"/>
      <c r="AI239" s="20"/>
      <c r="AJ239" s="20"/>
      <c r="AK239" s="46">
        <v>2012</v>
      </c>
      <c r="AL239" s="47" t="s">
        <v>43</v>
      </c>
      <c r="AM239" s="35">
        <f t="shared" si="163"/>
        <v>0.89900199600798403</v>
      </c>
      <c r="AN239" s="35">
        <f t="shared" si="164"/>
        <v>0.92981007431874485</v>
      </c>
      <c r="AO239" s="35">
        <f t="shared" si="165"/>
        <v>0.96686626746506987</v>
      </c>
      <c r="AP239" s="20">
        <v>5010</v>
      </c>
      <c r="AQ239" s="27">
        <f t="shared" si="236"/>
        <v>166</v>
      </c>
      <c r="AR239" s="20">
        <v>4844</v>
      </c>
      <c r="AS239" s="20">
        <v>4504</v>
      </c>
      <c r="AT239" s="20">
        <f t="shared" si="237"/>
        <v>340</v>
      </c>
      <c r="AU239" s="20"/>
      <c r="AV239" s="20"/>
      <c r="AW239" s="46">
        <v>2012</v>
      </c>
      <c r="AX239" s="47" t="s">
        <v>43</v>
      </c>
      <c r="AY239" s="35">
        <f t="shared" si="168"/>
        <v>0.69464285714285712</v>
      </c>
      <c r="AZ239" s="35">
        <f t="shared" si="169"/>
        <v>0.76725838264299806</v>
      </c>
      <c r="BA239" s="35">
        <f t="shared" si="170"/>
        <v>0.90535714285714286</v>
      </c>
      <c r="BB239" s="20">
        <v>560</v>
      </c>
      <c r="BC239" s="27">
        <f t="shared" si="238"/>
        <v>53</v>
      </c>
      <c r="BD239" s="20">
        <v>507</v>
      </c>
      <c r="BE239" s="20">
        <v>389</v>
      </c>
      <c r="BF239" s="20">
        <f t="shared" si="239"/>
        <v>118</v>
      </c>
      <c r="BG239" s="20"/>
      <c r="BH239" s="20"/>
      <c r="BI239" s="46">
        <v>2012</v>
      </c>
      <c r="BJ239" s="47" t="s">
        <v>43</v>
      </c>
      <c r="BK239" s="35">
        <f t="shared" si="173"/>
        <v>0.39323308270676693</v>
      </c>
      <c r="BL239" s="35">
        <f t="shared" si="174"/>
        <v>0.40668740279937793</v>
      </c>
      <c r="BM239" s="35">
        <f t="shared" si="175"/>
        <v>0.96691729323308273</v>
      </c>
      <c r="BN239" s="20">
        <v>2660</v>
      </c>
      <c r="BO239" s="27">
        <f t="shared" si="240"/>
        <v>88</v>
      </c>
      <c r="BP239" s="20">
        <v>2572</v>
      </c>
      <c r="BQ239" s="20">
        <v>1046</v>
      </c>
      <c r="BR239" s="20">
        <f t="shared" si="241"/>
        <v>1526</v>
      </c>
      <c r="BS239" s="20"/>
      <c r="BT239" s="20"/>
      <c r="BU239" s="46">
        <v>2012</v>
      </c>
      <c r="BV239" s="47" t="s">
        <v>43</v>
      </c>
      <c r="BW239" s="35">
        <f t="shared" si="178"/>
        <v>0.74254143646408843</v>
      </c>
      <c r="BX239" s="35">
        <f t="shared" si="179"/>
        <v>0.85532456512515909</v>
      </c>
      <c r="BY239" s="35">
        <f t="shared" si="180"/>
        <v>0.86813996316758746</v>
      </c>
      <c r="BZ239" s="20">
        <v>2715</v>
      </c>
      <c r="CA239" s="27">
        <f t="shared" si="242"/>
        <v>358</v>
      </c>
      <c r="CB239" s="20">
        <v>2357</v>
      </c>
      <c r="CC239" s="20">
        <v>2016</v>
      </c>
      <c r="CD239" s="20">
        <f t="shared" si="243"/>
        <v>341</v>
      </c>
      <c r="CE239" s="20"/>
      <c r="CF239" s="20"/>
      <c r="CG239" s="46">
        <v>2012</v>
      </c>
      <c r="CH239" s="47" t="s">
        <v>43</v>
      </c>
      <c r="CI239" s="35">
        <f t="shared" si="203"/>
        <v>0.64529616724738681</v>
      </c>
      <c r="CJ239" s="35">
        <f t="shared" si="204"/>
        <v>0.67517316806416328</v>
      </c>
      <c r="CK239" s="35">
        <f t="shared" si="205"/>
        <v>0.95574912891986064</v>
      </c>
      <c r="CL239" s="20">
        <v>2870</v>
      </c>
      <c r="CM239" s="20">
        <f t="shared" si="186"/>
        <v>127</v>
      </c>
      <c r="CN239" s="20">
        <v>2743</v>
      </c>
      <c r="CO239" s="20">
        <v>1852</v>
      </c>
      <c r="CP239" s="20">
        <f t="shared" si="187"/>
        <v>891</v>
      </c>
      <c r="CQ239" s="20"/>
      <c r="CR239" s="20"/>
      <c r="CS239" s="46">
        <v>2012</v>
      </c>
      <c r="CT239" s="47" t="s">
        <v>43</v>
      </c>
      <c r="CU239" s="35">
        <f t="shared" si="188"/>
        <v>0.6524752475247525</v>
      </c>
      <c r="CV239" s="35">
        <f t="shared" si="189"/>
        <v>0.6717635066258919</v>
      </c>
      <c r="CW239" s="35">
        <f t="shared" si="190"/>
        <v>0.97128712871287126</v>
      </c>
      <c r="CX239" s="20">
        <v>1010</v>
      </c>
      <c r="CY239" s="27">
        <f t="shared" si="244"/>
        <v>29</v>
      </c>
      <c r="CZ239" s="20">
        <v>981</v>
      </c>
      <c r="DA239" s="20">
        <v>659</v>
      </c>
      <c r="DB239" s="20">
        <f t="shared" si="245"/>
        <v>322</v>
      </c>
      <c r="DC239" s="20"/>
      <c r="DD239" s="20"/>
      <c r="DE239" s="46">
        <v>2012</v>
      </c>
      <c r="DF239" s="47" t="s">
        <v>43</v>
      </c>
      <c r="DG239" s="35">
        <f t="shared" si="193"/>
        <v>0.97972027972027975</v>
      </c>
      <c r="DH239" s="35">
        <f t="shared" si="194"/>
        <v>0.98177995795374917</v>
      </c>
      <c r="DI239" s="35">
        <f t="shared" si="195"/>
        <v>0.99790209790209794</v>
      </c>
      <c r="DJ239" s="20">
        <v>1430</v>
      </c>
      <c r="DK239" s="27">
        <f t="shared" si="246"/>
        <v>3</v>
      </c>
      <c r="DL239" s="20">
        <v>1427</v>
      </c>
      <c r="DM239" s="20">
        <v>1401</v>
      </c>
      <c r="DN239" s="20">
        <f t="shared" si="247"/>
        <v>26</v>
      </c>
      <c r="DO239" s="20"/>
      <c r="DP239" s="20"/>
      <c r="DQ239" s="46"/>
      <c r="DR239" s="47"/>
      <c r="DS239" s="35"/>
      <c r="DT239" s="35"/>
      <c r="DU239" s="35"/>
      <c r="DV239" s="27"/>
      <c r="DW239" s="27"/>
      <c r="DX239" s="27"/>
      <c r="DY239" s="27"/>
      <c r="DZ239" s="27"/>
      <c r="EA239" s="27"/>
      <c r="EB239" s="27"/>
      <c r="EJ239" s="29"/>
      <c r="EK239" s="29"/>
      <c r="EL239" s="29"/>
    </row>
    <row r="240" spans="1:142" s="34" customFormat="1" ht="12.95" customHeight="1">
      <c r="A240" s="45">
        <v>2012</v>
      </c>
      <c r="B240" s="48" t="s">
        <v>44</v>
      </c>
      <c r="C240" s="35">
        <f t="shared" si="198"/>
        <v>0.77667493796526055</v>
      </c>
      <c r="D240" s="35">
        <f t="shared" si="199"/>
        <v>0.82661096706040527</v>
      </c>
      <c r="E240" s="35">
        <f t="shared" si="200"/>
        <v>0.93958944281524925</v>
      </c>
      <c r="F2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G240" s="20">
        <f t="shared" si="201"/>
        <v>1339</v>
      </c>
      <c r="H2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20826</v>
      </c>
      <c r="I2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J240" s="20">
        <f t="shared" si="202"/>
        <v>3611</v>
      </c>
      <c r="K240" s="27"/>
      <c r="L240" s="27"/>
      <c r="M240" s="45">
        <v>2012</v>
      </c>
      <c r="N240" s="48" t="s">
        <v>44</v>
      </c>
      <c r="O240" s="35">
        <f t="shared" si="158"/>
        <v>0.91487009397457164</v>
      </c>
      <c r="P240" s="35">
        <f t="shared" si="159"/>
        <v>0.92786395066342742</v>
      </c>
      <c r="Q240" s="35">
        <f t="shared" si="160"/>
        <v>0.98599594619495112</v>
      </c>
      <c r="R240" s="20">
        <v>5427</v>
      </c>
      <c r="S240" s="27">
        <f t="shared" si="234"/>
        <v>76</v>
      </c>
      <c r="T240" s="20">
        <v>5351</v>
      </c>
      <c r="U240" s="20">
        <v>4965</v>
      </c>
      <c r="V240" s="20">
        <f t="shared" si="235"/>
        <v>386</v>
      </c>
      <c r="W240" s="20"/>
      <c r="X240" s="20"/>
      <c r="Y240" s="45"/>
      <c r="Z240" s="48"/>
      <c r="AA240" s="35"/>
      <c r="AB240" s="35"/>
      <c r="AC240" s="35"/>
      <c r="AD240" s="20"/>
      <c r="AE240" s="27"/>
      <c r="AF240" s="20"/>
      <c r="AG240" s="20"/>
      <c r="AH240" s="20"/>
      <c r="AI240" s="20"/>
      <c r="AJ240" s="20"/>
      <c r="AK240" s="45">
        <v>2012</v>
      </c>
      <c r="AL240" s="48" t="s">
        <v>44</v>
      </c>
      <c r="AM240" s="35">
        <f t="shared" si="163"/>
        <v>0.92998833138856474</v>
      </c>
      <c r="AN240" s="35">
        <f t="shared" si="164"/>
        <v>0.94730586370839942</v>
      </c>
      <c r="AO240" s="35">
        <f t="shared" si="165"/>
        <v>0.98171917541812526</v>
      </c>
      <c r="AP240" s="20">
        <v>5142</v>
      </c>
      <c r="AQ240" s="27">
        <f t="shared" si="236"/>
        <v>94</v>
      </c>
      <c r="AR240" s="20">
        <v>5048</v>
      </c>
      <c r="AS240" s="20">
        <v>4782</v>
      </c>
      <c r="AT240" s="20">
        <f t="shared" si="237"/>
        <v>266</v>
      </c>
      <c r="AU240" s="20"/>
      <c r="AV240" s="20"/>
      <c r="AW240" s="45">
        <v>2012</v>
      </c>
      <c r="AX240" s="48" t="s">
        <v>44</v>
      </c>
      <c r="AY240" s="35">
        <f t="shared" si="168"/>
        <v>0.66666666666666663</v>
      </c>
      <c r="AZ240" s="35">
        <f t="shared" si="169"/>
        <v>0.69503546099290781</v>
      </c>
      <c r="BA240" s="35">
        <f t="shared" si="170"/>
        <v>0.95918367346938771</v>
      </c>
      <c r="BB240" s="20">
        <v>588</v>
      </c>
      <c r="BC240" s="27">
        <f t="shared" si="238"/>
        <v>24</v>
      </c>
      <c r="BD240" s="20">
        <v>564</v>
      </c>
      <c r="BE240" s="20">
        <v>392</v>
      </c>
      <c r="BF240" s="20">
        <f t="shared" si="239"/>
        <v>172</v>
      </c>
      <c r="BG240" s="20"/>
      <c r="BH240" s="20"/>
      <c r="BI240" s="45">
        <v>2012</v>
      </c>
      <c r="BJ240" s="48" t="s">
        <v>44</v>
      </c>
      <c r="BK240" s="35">
        <f t="shared" si="173"/>
        <v>0.47245530828164906</v>
      </c>
      <c r="BL240" s="35">
        <f t="shared" si="174"/>
        <v>0.4853823088455772</v>
      </c>
      <c r="BM240" s="35">
        <f t="shared" si="175"/>
        <v>0.97336738416636259</v>
      </c>
      <c r="BN240" s="20">
        <v>2741</v>
      </c>
      <c r="BO240" s="27">
        <f t="shared" si="240"/>
        <v>73</v>
      </c>
      <c r="BP240" s="20">
        <v>2668</v>
      </c>
      <c r="BQ240" s="20">
        <v>1295</v>
      </c>
      <c r="BR240" s="20">
        <f t="shared" si="241"/>
        <v>1373</v>
      </c>
      <c r="BS240" s="20"/>
      <c r="BT240" s="20"/>
      <c r="BU240" s="45">
        <v>2012</v>
      </c>
      <c r="BV240" s="48" t="s">
        <v>44</v>
      </c>
      <c r="BW240" s="35">
        <f t="shared" si="178"/>
        <v>0.77415891195418751</v>
      </c>
      <c r="BX240" s="35">
        <f t="shared" si="179"/>
        <v>0.84261784183872224</v>
      </c>
      <c r="BY240" s="35">
        <f t="shared" si="180"/>
        <v>0.91875447387258413</v>
      </c>
      <c r="BZ240" s="20">
        <v>2794</v>
      </c>
      <c r="CA240" s="27">
        <f t="shared" si="242"/>
        <v>227</v>
      </c>
      <c r="CB240" s="20">
        <v>2567</v>
      </c>
      <c r="CC240" s="20">
        <v>2163</v>
      </c>
      <c r="CD240" s="20">
        <f t="shared" si="243"/>
        <v>404</v>
      </c>
      <c r="CE240" s="20"/>
      <c r="CF240" s="20"/>
      <c r="CG240" s="45">
        <v>2012</v>
      </c>
      <c r="CH240" s="48" t="s">
        <v>44</v>
      </c>
      <c r="CI240" s="35">
        <f t="shared" si="203"/>
        <v>0.51419878296146049</v>
      </c>
      <c r="CJ240" s="35">
        <f t="shared" si="204"/>
        <v>0.70319001386962554</v>
      </c>
      <c r="CK240" s="35">
        <f t="shared" si="205"/>
        <v>0.73123732251521301</v>
      </c>
      <c r="CL240" s="20">
        <v>2958</v>
      </c>
      <c r="CM240" s="20">
        <f t="shared" si="186"/>
        <v>795</v>
      </c>
      <c r="CN240" s="20">
        <v>2163</v>
      </c>
      <c r="CO240" s="20">
        <v>1521</v>
      </c>
      <c r="CP240" s="20">
        <f t="shared" si="187"/>
        <v>642</v>
      </c>
      <c r="CQ240" s="20"/>
      <c r="CR240" s="20"/>
      <c r="CS240" s="45">
        <v>2012</v>
      </c>
      <c r="CT240" s="48" t="s">
        <v>44</v>
      </c>
      <c r="CU240" s="35">
        <f t="shared" si="188"/>
        <v>0.63950143815915628</v>
      </c>
      <c r="CV240" s="35">
        <f t="shared" si="189"/>
        <v>0.66236345580933464</v>
      </c>
      <c r="CW240" s="35">
        <f t="shared" si="190"/>
        <v>0.96548418024928095</v>
      </c>
      <c r="CX240" s="20">
        <v>1043</v>
      </c>
      <c r="CY240" s="27">
        <f t="shared" si="244"/>
        <v>36</v>
      </c>
      <c r="CZ240" s="20">
        <v>1007</v>
      </c>
      <c r="DA240" s="20">
        <v>667</v>
      </c>
      <c r="DB240" s="20">
        <f t="shared" si="245"/>
        <v>340</v>
      </c>
      <c r="DC240" s="20"/>
      <c r="DD240" s="20"/>
      <c r="DE240" s="45">
        <v>2012</v>
      </c>
      <c r="DF240" s="48" t="s">
        <v>44</v>
      </c>
      <c r="DG240" s="35">
        <f t="shared" si="193"/>
        <v>0.97146739130434778</v>
      </c>
      <c r="DH240" s="35">
        <f t="shared" si="194"/>
        <v>0.98079561042524011</v>
      </c>
      <c r="DI240" s="35">
        <f t="shared" si="195"/>
        <v>0.99048913043478259</v>
      </c>
      <c r="DJ240" s="20">
        <v>1472</v>
      </c>
      <c r="DK240" s="27">
        <f t="shared" si="246"/>
        <v>14</v>
      </c>
      <c r="DL240" s="20">
        <v>1458</v>
      </c>
      <c r="DM240" s="20">
        <v>1430</v>
      </c>
      <c r="DN240" s="20">
        <f t="shared" si="247"/>
        <v>28</v>
      </c>
      <c r="DO240" s="20"/>
      <c r="DP240" s="20"/>
      <c r="DQ240" s="45"/>
      <c r="DR240" s="48"/>
      <c r="DS240" s="35"/>
      <c r="DT240" s="35"/>
      <c r="DU240" s="35"/>
      <c r="DV240" s="27"/>
      <c r="DW240" s="27"/>
      <c r="DX240" s="27"/>
      <c r="DY240" s="27"/>
      <c r="DZ240" s="27"/>
      <c r="EA240" s="27"/>
      <c r="EB240" s="27"/>
      <c r="EJ240" s="29"/>
      <c r="EK240" s="29"/>
      <c r="EL240" s="29"/>
    </row>
    <row r="241" spans="1:142" s="34" customFormat="1" ht="12.95" customHeight="1">
      <c r="A241" s="46">
        <v>2012</v>
      </c>
      <c r="B241" s="47" t="s">
        <v>45</v>
      </c>
      <c r="C241" s="35">
        <f t="shared" si="198"/>
        <v>0.75294483708938975</v>
      </c>
      <c r="D241" s="35">
        <f t="shared" si="199"/>
        <v>0.84340768771161123</v>
      </c>
      <c r="E241" s="35">
        <f t="shared" si="200"/>
        <v>0.89274125438947416</v>
      </c>
      <c r="F2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G241" s="20">
        <f t="shared" si="201"/>
        <v>2413</v>
      </c>
      <c r="H2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20084</v>
      </c>
      <c r="I2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16939</v>
      </c>
      <c r="J241" s="20">
        <f t="shared" si="202"/>
        <v>3145</v>
      </c>
      <c r="K241" s="27"/>
      <c r="L241" s="27"/>
      <c r="M241" s="46">
        <v>2012</v>
      </c>
      <c r="N241" s="47" t="s">
        <v>45</v>
      </c>
      <c r="O241" s="35">
        <f t="shared" si="158"/>
        <v>0.89177021429857739</v>
      </c>
      <c r="P241" s="35">
        <f t="shared" si="159"/>
        <v>0.91264283081459641</v>
      </c>
      <c r="Q241" s="35">
        <f t="shared" si="160"/>
        <v>0.97712947956059792</v>
      </c>
      <c r="R241" s="20">
        <v>5553</v>
      </c>
      <c r="S241" s="27">
        <f t="shared" si="234"/>
        <v>127</v>
      </c>
      <c r="T241" s="20">
        <v>5426</v>
      </c>
      <c r="U241" s="20">
        <v>4952</v>
      </c>
      <c r="V241" s="20">
        <f t="shared" si="235"/>
        <v>474</v>
      </c>
      <c r="W241" s="20"/>
      <c r="X241" s="20"/>
      <c r="Y241" s="46"/>
      <c r="Z241" s="47"/>
      <c r="AA241" s="35"/>
      <c r="AB241" s="35"/>
      <c r="AC241" s="35"/>
      <c r="AD241" s="20"/>
      <c r="AE241" s="27"/>
      <c r="AF241" s="20"/>
      <c r="AG241" s="20"/>
      <c r="AH241" s="20"/>
      <c r="AI241" s="20"/>
      <c r="AJ241" s="20"/>
      <c r="AK241" s="46">
        <v>2012</v>
      </c>
      <c r="AL241" s="47" t="s">
        <v>45</v>
      </c>
      <c r="AM241" s="35">
        <f t="shared" si="163"/>
        <v>0.90787461773700306</v>
      </c>
      <c r="AN241" s="35">
        <f t="shared" si="164"/>
        <v>0.92755321226322984</v>
      </c>
      <c r="AO241" s="35">
        <f t="shared" si="165"/>
        <v>0.97878440366972475</v>
      </c>
      <c r="AP241" s="20">
        <v>5232</v>
      </c>
      <c r="AQ241" s="27">
        <f t="shared" si="236"/>
        <v>111</v>
      </c>
      <c r="AR241" s="20">
        <v>5121</v>
      </c>
      <c r="AS241" s="20">
        <v>4750</v>
      </c>
      <c r="AT241" s="20">
        <f t="shared" si="237"/>
        <v>371</v>
      </c>
      <c r="AU241" s="20"/>
      <c r="AV241" s="20"/>
      <c r="AW241" s="46">
        <v>2012</v>
      </c>
      <c r="AX241" s="47" t="s">
        <v>45</v>
      </c>
      <c r="AY241" s="35">
        <f t="shared" si="168"/>
        <v>0.58116883116883122</v>
      </c>
      <c r="AZ241" s="35">
        <f t="shared" si="169"/>
        <v>0.62807017543859645</v>
      </c>
      <c r="BA241" s="35">
        <f t="shared" si="170"/>
        <v>0.92532467532467533</v>
      </c>
      <c r="BB241" s="20">
        <v>616</v>
      </c>
      <c r="BC241" s="27">
        <f t="shared" si="238"/>
        <v>46</v>
      </c>
      <c r="BD241" s="20">
        <v>570</v>
      </c>
      <c r="BE241" s="20">
        <v>358</v>
      </c>
      <c r="BF241" s="20">
        <f t="shared" si="239"/>
        <v>212</v>
      </c>
      <c r="BG241" s="20"/>
      <c r="BH241" s="20"/>
      <c r="BI241" s="46">
        <v>2012</v>
      </c>
      <c r="BJ241" s="47" t="s">
        <v>45</v>
      </c>
      <c r="BK241" s="35">
        <f t="shared" si="173"/>
        <v>0.65101156069364163</v>
      </c>
      <c r="BL241" s="35">
        <f t="shared" si="174"/>
        <v>0.67364485981308408</v>
      </c>
      <c r="BM241" s="35">
        <f t="shared" si="175"/>
        <v>0.96640173410404628</v>
      </c>
      <c r="BN241" s="20">
        <v>2768</v>
      </c>
      <c r="BO241" s="27">
        <f t="shared" si="240"/>
        <v>93</v>
      </c>
      <c r="BP241" s="20">
        <v>2675</v>
      </c>
      <c r="BQ241" s="20">
        <v>1802</v>
      </c>
      <c r="BR241" s="20">
        <f t="shared" si="241"/>
        <v>873</v>
      </c>
      <c r="BS241" s="20"/>
      <c r="BT241" s="20"/>
      <c r="BU241" s="46">
        <v>2012</v>
      </c>
      <c r="BV241" s="47" t="s">
        <v>45</v>
      </c>
      <c r="BW241" s="35">
        <f t="shared" si="178"/>
        <v>0.66347517730496453</v>
      </c>
      <c r="BX241" s="35">
        <f t="shared" si="179"/>
        <v>0.82677861246133455</v>
      </c>
      <c r="BY241" s="35">
        <f t="shared" si="180"/>
        <v>0.80248226950354606</v>
      </c>
      <c r="BZ241" s="20">
        <v>2820</v>
      </c>
      <c r="CA241" s="27">
        <f t="shared" si="242"/>
        <v>557</v>
      </c>
      <c r="CB241" s="20">
        <v>2263</v>
      </c>
      <c r="CC241" s="20">
        <v>1871</v>
      </c>
      <c r="CD241" s="20">
        <f t="shared" si="243"/>
        <v>392</v>
      </c>
      <c r="CE241" s="20"/>
      <c r="CF241" s="20"/>
      <c r="CG241" s="46">
        <v>2012</v>
      </c>
      <c r="CH241" s="47" t="s">
        <v>45</v>
      </c>
      <c r="CI241" s="35">
        <f t="shared" si="203"/>
        <v>0.3322136378904938</v>
      </c>
      <c r="CJ241" s="35">
        <f t="shared" si="204"/>
        <v>0.63438101347017317</v>
      </c>
      <c r="CK241" s="35">
        <f t="shared" si="205"/>
        <v>0.52368155861605648</v>
      </c>
      <c r="CL241" s="20">
        <v>2977</v>
      </c>
      <c r="CM241" s="20">
        <f t="shared" si="186"/>
        <v>1418</v>
      </c>
      <c r="CN241" s="20">
        <v>1559</v>
      </c>
      <c r="CO241" s="20">
        <v>989</v>
      </c>
      <c r="CP241" s="20">
        <f t="shared" si="187"/>
        <v>570</v>
      </c>
      <c r="CQ241" s="20"/>
      <c r="CR241" s="20"/>
      <c r="CS241" s="46">
        <v>2012</v>
      </c>
      <c r="CT241" s="47" t="s">
        <v>45</v>
      </c>
      <c r="CU241" s="35">
        <f t="shared" si="188"/>
        <v>0.72900763358778631</v>
      </c>
      <c r="CV241" s="35">
        <f t="shared" si="189"/>
        <v>0.76171485543369888</v>
      </c>
      <c r="CW241" s="35">
        <f t="shared" si="190"/>
        <v>0.95706106870229013</v>
      </c>
      <c r="CX241" s="20">
        <v>1048</v>
      </c>
      <c r="CY241" s="27">
        <f t="shared" si="244"/>
        <v>45</v>
      </c>
      <c r="CZ241" s="20">
        <v>1003</v>
      </c>
      <c r="DA241" s="20">
        <v>764</v>
      </c>
      <c r="DB241" s="20">
        <f t="shared" si="245"/>
        <v>239</v>
      </c>
      <c r="DC241" s="20"/>
      <c r="DD241" s="20"/>
      <c r="DE241" s="46">
        <v>2012</v>
      </c>
      <c r="DF241" s="47" t="s">
        <v>45</v>
      </c>
      <c r="DG241" s="35">
        <f t="shared" si="193"/>
        <v>0.97977073499662848</v>
      </c>
      <c r="DH241" s="35">
        <f t="shared" si="194"/>
        <v>0.99045671438309479</v>
      </c>
      <c r="DI241" s="35">
        <f t="shared" si="195"/>
        <v>0.98921105866486847</v>
      </c>
      <c r="DJ241" s="20">
        <v>1483</v>
      </c>
      <c r="DK241" s="27">
        <f t="shared" si="246"/>
        <v>16</v>
      </c>
      <c r="DL241" s="20">
        <v>1467</v>
      </c>
      <c r="DM241" s="20">
        <v>1453</v>
      </c>
      <c r="DN241" s="20">
        <f t="shared" si="247"/>
        <v>14</v>
      </c>
      <c r="DO241" s="20"/>
      <c r="DP241" s="20"/>
      <c r="DQ241" s="46"/>
      <c r="DR241" s="47"/>
      <c r="DS241" s="35"/>
      <c r="DT241" s="35"/>
      <c r="DU241" s="35"/>
      <c r="DV241" s="27"/>
      <c r="DW241" s="27"/>
      <c r="DX241" s="27"/>
      <c r="DY241" s="27"/>
      <c r="DZ241" s="27"/>
      <c r="EA241" s="27"/>
      <c r="EB241" s="27"/>
      <c r="EJ241" s="29"/>
      <c r="EK241" s="29"/>
      <c r="EL241" s="29"/>
    </row>
    <row r="242" spans="1:142" s="34" customFormat="1" ht="12.95" customHeight="1">
      <c r="A242" s="45">
        <v>2012</v>
      </c>
      <c r="B242" s="48" t="s">
        <v>46</v>
      </c>
      <c r="C242" s="35">
        <f t="shared" si="198"/>
        <v>0.69386220509446372</v>
      </c>
      <c r="D242" s="35">
        <f t="shared" si="199"/>
        <v>0.80422703998256895</v>
      </c>
      <c r="E242" s="35">
        <f t="shared" si="200"/>
        <v>0.86276905724222197</v>
      </c>
      <c r="F24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21278</v>
      </c>
      <c r="G242" s="20">
        <f t="shared" si="201"/>
        <v>2920</v>
      </c>
      <c r="H24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18358</v>
      </c>
      <c r="I24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14764</v>
      </c>
      <c r="J242" s="20">
        <f t="shared" si="202"/>
        <v>3594</v>
      </c>
      <c r="K242" s="27"/>
      <c r="L242" s="27"/>
      <c r="M242" s="45">
        <v>2012</v>
      </c>
      <c r="N242" s="48" t="s">
        <v>46</v>
      </c>
      <c r="O242" s="35">
        <f t="shared" si="158"/>
        <v>0.80192122958693568</v>
      </c>
      <c r="P242" s="35">
        <f t="shared" si="159"/>
        <v>0.85867105533840771</v>
      </c>
      <c r="Q242" s="35">
        <f t="shared" si="160"/>
        <v>0.93390970220941405</v>
      </c>
      <c r="R242" s="20">
        <v>5205</v>
      </c>
      <c r="S242" s="27">
        <f t="shared" si="234"/>
        <v>344</v>
      </c>
      <c r="T242" s="20">
        <v>4861</v>
      </c>
      <c r="U242" s="20">
        <v>4174</v>
      </c>
      <c r="V242" s="20">
        <f t="shared" si="235"/>
        <v>687</v>
      </c>
      <c r="W242" s="20"/>
      <c r="X242" s="20"/>
      <c r="Y242" s="45"/>
      <c r="Z242" s="48"/>
      <c r="AA242" s="35"/>
      <c r="AB242" s="35"/>
      <c r="AC242" s="35"/>
      <c r="AD242" s="20"/>
      <c r="AE242" s="27"/>
      <c r="AF242" s="20"/>
      <c r="AG242" s="20"/>
      <c r="AH242" s="20"/>
      <c r="AI242" s="20"/>
      <c r="AJ242" s="20"/>
      <c r="AK242" s="45">
        <v>2012</v>
      </c>
      <c r="AL242" s="48" t="s">
        <v>46</v>
      </c>
      <c r="AM242" s="35">
        <f t="shared" si="163"/>
        <v>0.82129817444219066</v>
      </c>
      <c r="AN242" s="35">
        <f t="shared" si="164"/>
        <v>0.87545945945945947</v>
      </c>
      <c r="AO242" s="35">
        <f t="shared" si="165"/>
        <v>0.93813387423935091</v>
      </c>
      <c r="AP242" s="20">
        <v>4930</v>
      </c>
      <c r="AQ242" s="27">
        <f t="shared" si="236"/>
        <v>305</v>
      </c>
      <c r="AR242" s="20">
        <v>4625</v>
      </c>
      <c r="AS242" s="20">
        <v>4049</v>
      </c>
      <c r="AT242" s="20">
        <f t="shared" si="237"/>
        <v>576</v>
      </c>
      <c r="AU242" s="20"/>
      <c r="AV242" s="20"/>
      <c r="AW242" s="45">
        <v>2012</v>
      </c>
      <c r="AX242" s="48" t="s">
        <v>46</v>
      </c>
      <c r="AY242" s="35">
        <f t="shared" si="168"/>
        <v>0.46052631578947367</v>
      </c>
      <c r="AZ242" s="35">
        <f t="shared" si="169"/>
        <v>0.5125523012552301</v>
      </c>
      <c r="BA242" s="35">
        <f t="shared" si="170"/>
        <v>0.89849624060150379</v>
      </c>
      <c r="BB242" s="20">
        <v>532</v>
      </c>
      <c r="BC242" s="27">
        <f t="shared" si="238"/>
        <v>54</v>
      </c>
      <c r="BD242" s="20">
        <v>478</v>
      </c>
      <c r="BE242" s="20">
        <v>245</v>
      </c>
      <c r="BF242" s="20">
        <f t="shared" si="239"/>
        <v>233</v>
      </c>
      <c r="BG242" s="20"/>
      <c r="BH242" s="20"/>
      <c r="BI242" s="45">
        <v>2012</v>
      </c>
      <c r="BJ242" s="48" t="s">
        <v>46</v>
      </c>
      <c r="BK242" s="35">
        <f t="shared" si="173"/>
        <v>0.63526295875898597</v>
      </c>
      <c r="BL242" s="35">
        <f t="shared" si="174"/>
        <v>0.65052305308020142</v>
      </c>
      <c r="BM242" s="35">
        <f t="shared" si="175"/>
        <v>0.97654180855088912</v>
      </c>
      <c r="BN242" s="20">
        <v>2643</v>
      </c>
      <c r="BO242" s="27">
        <f t="shared" si="240"/>
        <v>62</v>
      </c>
      <c r="BP242" s="20">
        <v>2581</v>
      </c>
      <c r="BQ242" s="20">
        <v>1679</v>
      </c>
      <c r="BR242" s="20">
        <f t="shared" si="241"/>
        <v>902</v>
      </c>
      <c r="BS242" s="20"/>
      <c r="BT242" s="20"/>
      <c r="BU242" s="45">
        <v>2012</v>
      </c>
      <c r="BV242" s="48" t="s">
        <v>46</v>
      </c>
      <c r="BW242" s="35">
        <f t="shared" si="178"/>
        <v>0.60787226141849238</v>
      </c>
      <c r="BX242" s="35">
        <f t="shared" si="179"/>
        <v>0.84034907597535935</v>
      </c>
      <c r="BY242" s="35">
        <f t="shared" si="180"/>
        <v>0.72335685109543257</v>
      </c>
      <c r="BZ242" s="20">
        <v>2693</v>
      </c>
      <c r="CA242" s="27">
        <f t="shared" si="242"/>
        <v>745</v>
      </c>
      <c r="CB242" s="20">
        <v>1948</v>
      </c>
      <c r="CC242" s="20">
        <v>1637</v>
      </c>
      <c r="CD242" s="20">
        <f t="shared" si="243"/>
        <v>311</v>
      </c>
      <c r="CE242" s="20"/>
      <c r="CF242" s="20"/>
      <c r="CG242" s="45">
        <v>2012</v>
      </c>
      <c r="CH242" s="48" t="s">
        <v>46</v>
      </c>
      <c r="CI242" s="35">
        <f t="shared" si="203"/>
        <v>0.32970887407927041</v>
      </c>
      <c r="CJ242" s="35">
        <f t="shared" si="204"/>
        <v>0.62128222075346995</v>
      </c>
      <c r="CK242" s="35">
        <f t="shared" si="205"/>
        <v>0.53069098561908101</v>
      </c>
      <c r="CL242" s="20">
        <v>2851</v>
      </c>
      <c r="CM242" s="20">
        <f t="shared" si="186"/>
        <v>1338</v>
      </c>
      <c r="CN242" s="20">
        <v>1513</v>
      </c>
      <c r="CO242" s="20">
        <v>940</v>
      </c>
      <c r="CP242" s="20">
        <f t="shared" si="187"/>
        <v>573</v>
      </c>
      <c r="CQ242" s="20"/>
      <c r="CR242" s="20"/>
      <c r="CS242" s="45">
        <v>2012</v>
      </c>
      <c r="CT242" s="48" t="s">
        <v>46</v>
      </c>
      <c r="CU242" s="35">
        <f t="shared" si="188"/>
        <v>0.68159203980099503</v>
      </c>
      <c r="CV242" s="35">
        <f t="shared" si="189"/>
        <v>0.70328542094455848</v>
      </c>
      <c r="CW242" s="35">
        <f t="shared" si="190"/>
        <v>0.96915422885572144</v>
      </c>
      <c r="CX242" s="20">
        <v>1005</v>
      </c>
      <c r="CY242" s="27">
        <f t="shared" si="244"/>
        <v>31</v>
      </c>
      <c r="CZ242" s="20">
        <v>974</v>
      </c>
      <c r="DA242" s="20">
        <v>685</v>
      </c>
      <c r="DB242" s="20">
        <f t="shared" si="245"/>
        <v>289</v>
      </c>
      <c r="DC242" s="20"/>
      <c r="DD242" s="20"/>
      <c r="DE242" s="45">
        <v>2012</v>
      </c>
      <c r="DF242" s="48" t="s">
        <v>46</v>
      </c>
      <c r="DG242" s="35">
        <f t="shared" si="193"/>
        <v>0.95489781536293161</v>
      </c>
      <c r="DH242" s="35">
        <f t="shared" si="194"/>
        <v>0.98330914368650213</v>
      </c>
      <c r="DI242" s="35">
        <f t="shared" si="195"/>
        <v>0.97110641296687805</v>
      </c>
      <c r="DJ242" s="20">
        <v>1419</v>
      </c>
      <c r="DK242" s="27">
        <f t="shared" si="246"/>
        <v>41</v>
      </c>
      <c r="DL242" s="20">
        <v>1378</v>
      </c>
      <c r="DM242" s="20">
        <v>1355</v>
      </c>
      <c r="DN242" s="20">
        <f t="shared" si="247"/>
        <v>23</v>
      </c>
      <c r="DO242" s="20"/>
      <c r="DP242" s="20"/>
      <c r="DQ242" s="45"/>
      <c r="DR242" s="48"/>
      <c r="DS242" s="35"/>
      <c r="DT242" s="35"/>
      <c r="DU242" s="35"/>
      <c r="DV242" s="27"/>
      <c r="DW242" s="27"/>
      <c r="DX242" s="27"/>
      <c r="DY242" s="27"/>
      <c r="DZ242" s="27"/>
      <c r="EA242" s="27"/>
      <c r="EB242" s="27"/>
      <c r="EJ242" s="29"/>
      <c r="EK242" s="29"/>
      <c r="EL242" s="29"/>
    </row>
    <row r="243" spans="1:142" s="34" customFormat="1" ht="12.95" customHeight="1">
      <c r="A243" s="46">
        <v>2012</v>
      </c>
      <c r="B243" s="47" t="s">
        <v>47</v>
      </c>
      <c r="C243" s="35">
        <f t="shared" si="198"/>
        <v>0.76152990882810767</v>
      </c>
      <c r="D243" s="35">
        <f t="shared" si="199"/>
        <v>0.85057870945308234</v>
      </c>
      <c r="E243" s="35">
        <f t="shared" si="200"/>
        <v>0.89530798309984438</v>
      </c>
      <c r="F24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43" s="20">
        <f t="shared" si="201"/>
        <v>2354</v>
      </c>
      <c r="H24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20131</v>
      </c>
      <c r="I24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17123</v>
      </c>
      <c r="J243" s="20">
        <f t="shared" si="202"/>
        <v>3008</v>
      </c>
      <c r="K243" s="27"/>
      <c r="L243" s="27"/>
      <c r="M243" s="46">
        <v>2012</v>
      </c>
      <c r="N243" s="47" t="s">
        <v>47</v>
      </c>
      <c r="O243" s="35">
        <f t="shared" si="158"/>
        <v>0.88121845710165825</v>
      </c>
      <c r="P243" s="35">
        <f t="shared" si="159"/>
        <v>0.90503517215845986</v>
      </c>
      <c r="Q243" s="35">
        <f t="shared" si="160"/>
        <v>0.97368421052631582</v>
      </c>
      <c r="R243" s="20">
        <v>5548</v>
      </c>
      <c r="S243" s="27">
        <f t="shared" si="234"/>
        <v>146</v>
      </c>
      <c r="T243" s="20">
        <v>5402</v>
      </c>
      <c r="U243" s="20">
        <v>4889</v>
      </c>
      <c r="V243" s="20">
        <f t="shared" si="235"/>
        <v>513</v>
      </c>
      <c r="W243" s="20"/>
      <c r="X243" s="20"/>
      <c r="Y243" s="46"/>
      <c r="Z243" s="47"/>
      <c r="AA243" s="35"/>
      <c r="AB243" s="35"/>
      <c r="AC243" s="35"/>
      <c r="AD243" s="20"/>
      <c r="AE243" s="27"/>
      <c r="AF243" s="20"/>
      <c r="AG243" s="20"/>
      <c r="AH243" s="20"/>
      <c r="AI243" s="20"/>
      <c r="AJ243" s="20"/>
      <c r="AK243" s="46">
        <v>2012</v>
      </c>
      <c r="AL243" s="47" t="s">
        <v>47</v>
      </c>
      <c r="AM243" s="35">
        <f t="shared" si="163"/>
        <v>0.87698488616797399</v>
      </c>
      <c r="AN243" s="35">
        <f t="shared" si="164"/>
        <v>0.91187587030037798</v>
      </c>
      <c r="AO243" s="35">
        <f t="shared" si="165"/>
        <v>0.96173713411134498</v>
      </c>
      <c r="AP243" s="20">
        <v>5227</v>
      </c>
      <c r="AQ243" s="27">
        <f t="shared" si="236"/>
        <v>200</v>
      </c>
      <c r="AR243" s="20">
        <v>5027</v>
      </c>
      <c r="AS243" s="20">
        <v>4584</v>
      </c>
      <c r="AT243" s="20">
        <f t="shared" si="237"/>
        <v>443</v>
      </c>
      <c r="AU243" s="20"/>
      <c r="AV243" s="20"/>
      <c r="AW243" s="46">
        <v>2012</v>
      </c>
      <c r="AX243" s="47" t="s">
        <v>47</v>
      </c>
      <c r="AY243" s="35">
        <f t="shared" si="168"/>
        <v>0.65746753246753242</v>
      </c>
      <c r="AZ243" s="35">
        <f t="shared" si="169"/>
        <v>0.71052631578947367</v>
      </c>
      <c r="BA243" s="35">
        <f t="shared" si="170"/>
        <v>0.92532467532467533</v>
      </c>
      <c r="BB243" s="20">
        <v>616</v>
      </c>
      <c r="BC243" s="27">
        <f t="shared" si="238"/>
        <v>46</v>
      </c>
      <c r="BD243" s="20">
        <v>570</v>
      </c>
      <c r="BE243" s="20">
        <v>405</v>
      </c>
      <c r="BF243" s="20">
        <f t="shared" si="239"/>
        <v>165</v>
      </c>
      <c r="BG243" s="20"/>
      <c r="BH243" s="20"/>
      <c r="BI243" s="46">
        <v>2012</v>
      </c>
      <c r="BJ243" s="47" t="s">
        <v>47</v>
      </c>
      <c r="BK243" s="35">
        <f t="shared" si="173"/>
        <v>0.71604046242774566</v>
      </c>
      <c r="BL243" s="35">
        <f t="shared" si="174"/>
        <v>0.72787366874770476</v>
      </c>
      <c r="BM243" s="35">
        <f t="shared" si="175"/>
        <v>0.98374277456647397</v>
      </c>
      <c r="BN243" s="20">
        <v>2768</v>
      </c>
      <c r="BO243" s="27">
        <f t="shared" si="240"/>
        <v>45</v>
      </c>
      <c r="BP243" s="20">
        <v>2723</v>
      </c>
      <c r="BQ243" s="20">
        <v>1982</v>
      </c>
      <c r="BR243" s="20">
        <f t="shared" si="241"/>
        <v>741</v>
      </c>
      <c r="BS243" s="20"/>
      <c r="BT243" s="20"/>
      <c r="BU243" s="46">
        <v>2012</v>
      </c>
      <c r="BV243" s="47" t="s">
        <v>47</v>
      </c>
      <c r="BW243" s="35">
        <f t="shared" si="178"/>
        <v>0.63378282469836766</v>
      </c>
      <c r="BX243" s="35">
        <f t="shared" si="179"/>
        <v>0.88547347545860189</v>
      </c>
      <c r="BY243" s="35">
        <f t="shared" si="180"/>
        <v>0.71575585521646556</v>
      </c>
      <c r="BZ243" s="20">
        <v>2818</v>
      </c>
      <c r="CA243" s="27">
        <f t="shared" si="242"/>
        <v>801</v>
      </c>
      <c r="CB243" s="20">
        <v>2017</v>
      </c>
      <c r="CC243" s="20">
        <v>1786</v>
      </c>
      <c r="CD243" s="20">
        <f t="shared" si="243"/>
        <v>231</v>
      </c>
      <c r="CE243" s="20"/>
      <c r="CF243" s="20"/>
      <c r="CG243" s="46">
        <v>2012</v>
      </c>
      <c r="CH243" s="47" t="s">
        <v>47</v>
      </c>
      <c r="CI243" s="35">
        <f t="shared" si="203"/>
        <v>0.46422573060127648</v>
      </c>
      <c r="CJ243" s="35">
        <f t="shared" si="204"/>
        <v>0.68687872763419489</v>
      </c>
      <c r="CK243" s="35">
        <f t="shared" si="205"/>
        <v>0.675848169297951</v>
      </c>
      <c r="CL243" s="20">
        <v>2977</v>
      </c>
      <c r="CM243" s="20">
        <f t="shared" si="186"/>
        <v>965</v>
      </c>
      <c r="CN243" s="20">
        <v>2012</v>
      </c>
      <c r="CO243" s="20">
        <v>1382</v>
      </c>
      <c r="CP243" s="20">
        <f t="shared" si="187"/>
        <v>630</v>
      </c>
      <c r="CQ243" s="20"/>
      <c r="CR243" s="20"/>
      <c r="CS243" s="46">
        <v>2012</v>
      </c>
      <c r="CT243" s="47" t="s">
        <v>47</v>
      </c>
      <c r="CU243" s="35">
        <f t="shared" si="188"/>
        <v>0.65267175572519087</v>
      </c>
      <c r="CV243" s="35">
        <f t="shared" si="189"/>
        <v>0.73076923076923073</v>
      </c>
      <c r="CW243" s="35">
        <f t="shared" si="190"/>
        <v>0.89312977099236646</v>
      </c>
      <c r="CX243" s="20">
        <v>1048</v>
      </c>
      <c r="CY243" s="27">
        <f t="shared" si="244"/>
        <v>112</v>
      </c>
      <c r="CZ243" s="20">
        <v>936</v>
      </c>
      <c r="DA243" s="20">
        <v>684</v>
      </c>
      <c r="DB243" s="20">
        <f t="shared" si="245"/>
        <v>252</v>
      </c>
      <c r="DC243" s="20"/>
      <c r="DD243" s="20"/>
      <c r="DE243" s="46">
        <v>2012</v>
      </c>
      <c r="DF243" s="47" t="s">
        <v>47</v>
      </c>
      <c r="DG243" s="35">
        <f t="shared" si="193"/>
        <v>0.95144976399190828</v>
      </c>
      <c r="DH243" s="35">
        <f t="shared" si="194"/>
        <v>0.97714681440443218</v>
      </c>
      <c r="DI243" s="35">
        <f t="shared" si="195"/>
        <v>0.973701955495617</v>
      </c>
      <c r="DJ243" s="20">
        <v>1483</v>
      </c>
      <c r="DK243" s="27">
        <f t="shared" si="246"/>
        <v>39</v>
      </c>
      <c r="DL243" s="20">
        <v>1444</v>
      </c>
      <c r="DM243" s="20">
        <v>1411</v>
      </c>
      <c r="DN243" s="20">
        <f t="shared" si="247"/>
        <v>33</v>
      </c>
      <c r="DO243" s="20"/>
      <c r="DP243" s="20"/>
      <c r="DQ243" s="46"/>
      <c r="DR243" s="47"/>
      <c r="DS243" s="35"/>
      <c r="DT243" s="35"/>
      <c r="DU243" s="35"/>
      <c r="DV243" s="27"/>
      <c r="DW243" s="27"/>
      <c r="DX243" s="27"/>
      <c r="DY243" s="27"/>
      <c r="DZ243" s="27"/>
      <c r="EA243" s="27"/>
      <c r="EB243" s="27"/>
      <c r="EJ243" s="29"/>
      <c r="EK243" s="29"/>
      <c r="EL243" s="29"/>
    </row>
    <row r="244" spans="1:142" s="34" customFormat="1" ht="12.95" customHeight="1">
      <c r="A244" s="45">
        <v>2012</v>
      </c>
      <c r="B244" s="48" t="s">
        <v>48</v>
      </c>
      <c r="C244" s="35">
        <f t="shared" si="198"/>
        <v>0.75240727942870311</v>
      </c>
      <c r="D244" s="35">
        <f t="shared" si="199"/>
        <v>0.84660445826853292</v>
      </c>
      <c r="E244" s="35">
        <f t="shared" si="200"/>
        <v>0.88873531444367659</v>
      </c>
      <c r="F24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21705</v>
      </c>
      <c r="G244" s="20">
        <f t="shared" si="201"/>
        <v>2415</v>
      </c>
      <c r="H24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19290</v>
      </c>
      <c r="I24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16331</v>
      </c>
      <c r="J244" s="20">
        <f t="shared" si="202"/>
        <v>2959</v>
      </c>
      <c r="K244" s="27"/>
      <c r="L244" s="27"/>
      <c r="M244" s="45">
        <v>2012</v>
      </c>
      <c r="N244" s="48" t="s">
        <v>48</v>
      </c>
      <c r="O244" s="35">
        <f t="shared" si="158"/>
        <v>0.84301999626238089</v>
      </c>
      <c r="P244" s="35">
        <f t="shared" si="159"/>
        <v>0.90418921627580673</v>
      </c>
      <c r="Q244" s="35">
        <f t="shared" si="160"/>
        <v>0.9323490936273594</v>
      </c>
      <c r="R244" s="20">
        <v>5351</v>
      </c>
      <c r="S244" s="27">
        <f t="shared" si="234"/>
        <v>362</v>
      </c>
      <c r="T244" s="20">
        <v>4989</v>
      </c>
      <c r="U244" s="20">
        <v>4511</v>
      </c>
      <c r="V244" s="20">
        <f t="shared" si="235"/>
        <v>478</v>
      </c>
      <c r="W244" s="20"/>
      <c r="X244" s="20"/>
      <c r="Y244" s="45"/>
      <c r="Z244" s="48"/>
      <c r="AA244" s="35"/>
      <c r="AB244" s="35"/>
      <c r="AC244" s="35"/>
      <c r="AD244" s="20"/>
      <c r="AE244" s="27"/>
      <c r="AF244" s="20"/>
      <c r="AG244" s="20"/>
      <c r="AH244" s="20"/>
      <c r="AI244" s="20"/>
      <c r="AJ244" s="20"/>
      <c r="AK244" s="45">
        <v>2012</v>
      </c>
      <c r="AL244" s="48" t="s">
        <v>48</v>
      </c>
      <c r="AM244" s="35">
        <f t="shared" si="163"/>
        <v>0.84539147670961345</v>
      </c>
      <c r="AN244" s="35">
        <f t="shared" si="164"/>
        <v>0.91327623126338331</v>
      </c>
      <c r="AO244" s="35">
        <f t="shared" si="165"/>
        <v>0.92566897918731417</v>
      </c>
      <c r="AP244" s="20">
        <v>5045</v>
      </c>
      <c r="AQ244" s="27">
        <f t="shared" si="236"/>
        <v>375</v>
      </c>
      <c r="AR244" s="20">
        <v>4670</v>
      </c>
      <c r="AS244" s="20">
        <v>4265</v>
      </c>
      <c r="AT244" s="20">
        <f t="shared" si="237"/>
        <v>405</v>
      </c>
      <c r="AU244" s="20"/>
      <c r="AV244" s="20"/>
      <c r="AW244" s="45">
        <v>2012</v>
      </c>
      <c r="AX244" s="48" t="s">
        <v>48</v>
      </c>
      <c r="AY244" s="35">
        <f t="shared" si="168"/>
        <v>0.72108843537414968</v>
      </c>
      <c r="AZ244" s="35">
        <f t="shared" si="169"/>
        <v>0.80303030303030298</v>
      </c>
      <c r="BA244" s="35">
        <f t="shared" si="170"/>
        <v>0.89795918367346939</v>
      </c>
      <c r="BB244" s="20">
        <v>588</v>
      </c>
      <c r="BC244" s="27">
        <f t="shared" si="238"/>
        <v>60</v>
      </c>
      <c r="BD244" s="20">
        <v>528</v>
      </c>
      <c r="BE244" s="20">
        <v>424</v>
      </c>
      <c r="BF244" s="20">
        <f t="shared" si="239"/>
        <v>104</v>
      </c>
      <c r="BG244" s="20"/>
      <c r="BH244" s="20"/>
      <c r="BI244" s="45">
        <v>2012</v>
      </c>
      <c r="BJ244" s="48" t="s">
        <v>48</v>
      </c>
      <c r="BK244" s="35">
        <f t="shared" si="173"/>
        <v>0.59985041136873596</v>
      </c>
      <c r="BL244" s="35">
        <f t="shared" si="174"/>
        <v>0.63399209486166008</v>
      </c>
      <c r="BM244" s="35">
        <f t="shared" si="175"/>
        <v>0.94614809274495137</v>
      </c>
      <c r="BN244" s="20">
        <v>2674</v>
      </c>
      <c r="BO244" s="27">
        <f t="shared" si="240"/>
        <v>144</v>
      </c>
      <c r="BP244" s="20">
        <v>2530</v>
      </c>
      <c r="BQ244" s="20">
        <v>1604</v>
      </c>
      <c r="BR244" s="20">
        <f t="shared" si="241"/>
        <v>926</v>
      </c>
      <c r="BS244" s="20"/>
      <c r="BT244" s="20"/>
      <c r="BU244" s="45">
        <v>2012</v>
      </c>
      <c r="BV244" s="48" t="s">
        <v>48</v>
      </c>
      <c r="BW244" s="35">
        <f t="shared" si="178"/>
        <v>0.73825256975036713</v>
      </c>
      <c r="BX244" s="35">
        <f t="shared" si="179"/>
        <v>0.88356766256590513</v>
      </c>
      <c r="BY244" s="35">
        <f t="shared" si="180"/>
        <v>0.83553597650513955</v>
      </c>
      <c r="BZ244" s="20">
        <v>2724</v>
      </c>
      <c r="CA244" s="27">
        <f t="shared" si="242"/>
        <v>448</v>
      </c>
      <c r="CB244" s="20">
        <v>2276</v>
      </c>
      <c r="CC244" s="20">
        <v>2011</v>
      </c>
      <c r="CD244" s="20">
        <f t="shared" si="243"/>
        <v>265</v>
      </c>
      <c r="CE244" s="20"/>
      <c r="CF244" s="20"/>
      <c r="CG244" s="45">
        <v>2012</v>
      </c>
      <c r="CH244" s="48" t="s">
        <v>48</v>
      </c>
      <c r="CI244" s="35">
        <f t="shared" si="203"/>
        <v>0.53110879388251653</v>
      </c>
      <c r="CJ244" s="35">
        <f t="shared" si="204"/>
        <v>0.76095617529880477</v>
      </c>
      <c r="CK244" s="35">
        <f t="shared" si="205"/>
        <v>0.69794925269377828</v>
      </c>
      <c r="CL244" s="20">
        <v>2877</v>
      </c>
      <c r="CM244" s="20">
        <f t="shared" si="186"/>
        <v>869</v>
      </c>
      <c r="CN244" s="20">
        <v>2008</v>
      </c>
      <c r="CO244" s="20">
        <v>1528</v>
      </c>
      <c r="CP244" s="20">
        <f t="shared" si="187"/>
        <v>480</v>
      </c>
      <c r="CQ244" s="20"/>
      <c r="CR244" s="20"/>
      <c r="CS244" s="45">
        <v>2012</v>
      </c>
      <c r="CT244" s="48" t="s">
        <v>48</v>
      </c>
      <c r="CU244" s="35">
        <f t="shared" si="188"/>
        <v>0.64659427443237905</v>
      </c>
      <c r="CV244" s="35">
        <f t="shared" si="189"/>
        <v>0.69903948772678759</v>
      </c>
      <c r="CW244" s="35">
        <f t="shared" si="190"/>
        <v>0.92497532082922018</v>
      </c>
      <c r="CX244" s="20">
        <v>1013</v>
      </c>
      <c r="CY244" s="27">
        <f t="shared" si="244"/>
        <v>76</v>
      </c>
      <c r="CZ244" s="20">
        <v>937</v>
      </c>
      <c r="DA244" s="20">
        <v>655</v>
      </c>
      <c r="DB244" s="20">
        <f t="shared" si="245"/>
        <v>282</v>
      </c>
      <c r="DC244" s="20"/>
      <c r="DD244" s="20"/>
      <c r="DE244" s="45">
        <v>2012</v>
      </c>
      <c r="DF244" s="48" t="s">
        <v>48</v>
      </c>
      <c r="DG244" s="35">
        <f t="shared" si="193"/>
        <v>0.93021632937892529</v>
      </c>
      <c r="DH244" s="35">
        <f t="shared" si="194"/>
        <v>0.98594674556213013</v>
      </c>
      <c r="DI244" s="35">
        <f t="shared" si="195"/>
        <v>0.94347522679692952</v>
      </c>
      <c r="DJ244" s="20">
        <v>1433</v>
      </c>
      <c r="DK244" s="27">
        <f t="shared" si="246"/>
        <v>81</v>
      </c>
      <c r="DL244" s="20">
        <v>1352</v>
      </c>
      <c r="DM244" s="20">
        <v>1333</v>
      </c>
      <c r="DN244" s="20">
        <f t="shared" si="247"/>
        <v>19</v>
      </c>
      <c r="DO244" s="20"/>
      <c r="DP244" s="20"/>
      <c r="DQ244" s="45"/>
      <c r="DR244" s="48"/>
      <c r="DS244" s="35"/>
      <c r="DT244" s="35"/>
      <c r="DU244" s="35"/>
      <c r="DV244" s="27"/>
      <c r="DW244" s="27"/>
      <c r="DX244" s="27"/>
      <c r="DY244" s="27"/>
      <c r="DZ244" s="27"/>
      <c r="EA244" s="27"/>
      <c r="EB244" s="27"/>
      <c r="EJ244" s="29"/>
      <c r="EK244" s="29"/>
      <c r="EL244" s="29"/>
    </row>
    <row r="245" spans="1:142" s="34" customFormat="1" ht="12.95" customHeight="1">
      <c r="A245" s="46">
        <v>2012</v>
      </c>
      <c r="B245" s="47" t="s">
        <v>49</v>
      </c>
      <c r="C245" s="35">
        <f t="shared" si="198"/>
        <v>0.79268123642748234</v>
      </c>
      <c r="D245" s="35">
        <f t="shared" si="199"/>
        <v>0.88011080900836203</v>
      </c>
      <c r="E245" s="35">
        <f t="shared" si="200"/>
        <v>0.90066072171140787</v>
      </c>
      <c r="F24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21643</v>
      </c>
      <c r="G245" s="20">
        <f t="shared" si="201"/>
        <v>2150</v>
      </c>
      <c r="H24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I24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17156</v>
      </c>
      <c r="J245" s="20">
        <f t="shared" si="202"/>
        <v>2337</v>
      </c>
      <c r="K245" s="27"/>
      <c r="L245" s="27"/>
      <c r="M245" s="46">
        <v>2012</v>
      </c>
      <c r="N245" s="47" t="s">
        <v>49</v>
      </c>
      <c r="O245" s="35">
        <f t="shared" si="158"/>
        <v>0.87283786352404491</v>
      </c>
      <c r="P245" s="35">
        <f t="shared" si="159"/>
        <v>0.90643505724437423</v>
      </c>
      <c r="Q245" s="35">
        <f t="shared" si="160"/>
        <v>0.96293480326934044</v>
      </c>
      <c r="R245" s="20">
        <v>5261</v>
      </c>
      <c r="S245" s="27">
        <f t="shared" si="234"/>
        <v>195</v>
      </c>
      <c r="T245" s="20">
        <v>5066</v>
      </c>
      <c r="U245" s="20">
        <v>4592</v>
      </c>
      <c r="V245" s="20">
        <f t="shared" si="235"/>
        <v>474</v>
      </c>
      <c r="W245" s="20"/>
      <c r="X245" s="20"/>
      <c r="Y245" s="46"/>
      <c r="Z245" s="47"/>
      <c r="AA245" s="35"/>
      <c r="AB245" s="35"/>
      <c r="AC245" s="35"/>
      <c r="AD245" s="20"/>
      <c r="AE245" s="27"/>
      <c r="AF245" s="20"/>
      <c r="AG245" s="20"/>
      <c r="AH245" s="20"/>
      <c r="AI245" s="20"/>
      <c r="AJ245" s="20"/>
      <c r="AK245" s="46">
        <v>2012</v>
      </c>
      <c r="AL245" s="47" t="s">
        <v>49</v>
      </c>
      <c r="AM245" s="35">
        <f t="shared" si="163"/>
        <v>0.89424230307876851</v>
      </c>
      <c r="AN245" s="35">
        <f t="shared" si="164"/>
        <v>0.92955112219451375</v>
      </c>
      <c r="AO245" s="35">
        <f t="shared" si="165"/>
        <v>0.96201519392243107</v>
      </c>
      <c r="AP245" s="20">
        <v>5002</v>
      </c>
      <c r="AQ245" s="27">
        <f t="shared" si="236"/>
        <v>190</v>
      </c>
      <c r="AR245" s="20">
        <v>4812</v>
      </c>
      <c r="AS245" s="20">
        <v>4473</v>
      </c>
      <c r="AT245" s="20">
        <f t="shared" si="237"/>
        <v>339</v>
      </c>
      <c r="AU245" s="20"/>
      <c r="AV245" s="20"/>
      <c r="AW245" s="46">
        <v>2012</v>
      </c>
      <c r="AX245" s="47" t="s">
        <v>49</v>
      </c>
      <c r="AY245" s="35">
        <f t="shared" si="168"/>
        <v>0.77976190476190477</v>
      </c>
      <c r="AZ245" s="35">
        <f t="shared" si="169"/>
        <v>0.83974358974358976</v>
      </c>
      <c r="BA245" s="35">
        <f t="shared" si="170"/>
        <v>0.9285714285714286</v>
      </c>
      <c r="BB245" s="20">
        <v>504</v>
      </c>
      <c r="BC245" s="27">
        <f t="shared" si="238"/>
        <v>36</v>
      </c>
      <c r="BD245" s="20">
        <v>468</v>
      </c>
      <c r="BE245" s="20">
        <v>393</v>
      </c>
      <c r="BF245" s="20">
        <f t="shared" si="239"/>
        <v>75</v>
      </c>
      <c r="BG245" s="20"/>
      <c r="BH245" s="20"/>
      <c r="BI245" s="46">
        <v>2012</v>
      </c>
      <c r="BJ245" s="47" t="s">
        <v>49</v>
      </c>
      <c r="BK245" s="35">
        <f t="shared" si="173"/>
        <v>0.70288248337028825</v>
      </c>
      <c r="BL245" s="35">
        <f t="shared" si="174"/>
        <v>0.71936459909228445</v>
      </c>
      <c r="BM245" s="35">
        <f t="shared" si="175"/>
        <v>0.97708795269770876</v>
      </c>
      <c r="BN245" s="20">
        <v>2706</v>
      </c>
      <c r="BO245" s="27">
        <f t="shared" si="240"/>
        <v>62</v>
      </c>
      <c r="BP245" s="20">
        <v>2644</v>
      </c>
      <c r="BQ245" s="20">
        <v>1902</v>
      </c>
      <c r="BR245" s="20">
        <f t="shared" si="241"/>
        <v>742</v>
      </c>
      <c r="BS245" s="20"/>
      <c r="BT245" s="20"/>
      <c r="BU245" s="46">
        <v>2012</v>
      </c>
      <c r="BV245" s="47" t="s">
        <v>49</v>
      </c>
      <c r="BW245" s="35">
        <f t="shared" si="178"/>
        <v>0.84771573604060912</v>
      </c>
      <c r="BX245" s="35">
        <f t="shared" si="179"/>
        <v>0.90235430335777689</v>
      </c>
      <c r="BY245" s="35">
        <f t="shared" si="180"/>
        <v>0.93944887599709936</v>
      </c>
      <c r="BZ245" s="20">
        <v>2758</v>
      </c>
      <c r="CA245" s="27">
        <f t="shared" si="242"/>
        <v>167</v>
      </c>
      <c r="CB245" s="20">
        <v>2591</v>
      </c>
      <c r="CC245" s="20">
        <v>2338</v>
      </c>
      <c r="CD245" s="20">
        <f t="shared" si="243"/>
        <v>253</v>
      </c>
      <c r="CE245" s="20"/>
      <c r="CF245" s="20"/>
      <c r="CG245" s="46">
        <v>2012</v>
      </c>
      <c r="CH245" s="47" t="s">
        <v>49</v>
      </c>
      <c r="CI245" s="35">
        <f t="shared" si="203"/>
        <v>0.454017094017094</v>
      </c>
      <c r="CJ245" s="35">
        <f t="shared" si="204"/>
        <v>0.87310979618671924</v>
      </c>
      <c r="CK245" s="35">
        <f t="shared" si="205"/>
        <v>0.52</v>
      </c>
      <c r="CL245" s="20">
        <v>2925</v>
      </c>
      <c r="CM245" s="20">
        <f t="shared" si="186"/>
        <v>1404</v>
      </c>
      <c r="CN245" s="20">
        <v>1521</v>
      </c>
      <c r="CO245" s="20">
        <v>1328</v>
      </c>
      <c r="CP245" s="20">
        <f t="shared" si="187"/>
        <v>193</v>
      </c>
      <c r="CQ245" s="20"/>
      <c r="CR245" s="20"/>
      <c r="CS245" s="46">
        <v>2012</v>
      </c>
      <c r="CT245" s="47" t="s">
        <v>49</v>
      </c>
      <c r="CU245" s="35">
        <f t="shared" si="188"/>
        <v>0.69767441860465118</v>
      </c>
      <c r="CV245" s="35">
        <f t="shared" si="189"/>
        <v>0.75235109717868343</v>
      </c>
      <c r="CW245" s="35">
        <f t="shared" si="190"/>
        <v>0.92732558139534882</v>
      </c>
      <c r="CX245" s="20">
        <v>1032</v>
      </c>
      <c r="CY245" s="27">
        <f t="shared" si="244"/>
        <v>75</v>
      </c>
      <c r="CZ245" s="20">
        <v>957</v>
      </c>
      <c r="DA245" s="20">
        <v>720</v>
      </c>
      <c r="DB245" s="20">
        <f t="shared" si="245"/>
        <v>237</v>
      </c>
      <c r="DC245" s="20"/>
      <c r="DD245" s="20"/>
      <c r="DE245" s="46">
        <v>2012</v>
      </c>
      <c r="DF245" s="47" t="s">
        <v>49</v>
      </c>
      <c r="DG245" s="35">
        <f t="shared" si="193"/>
        <v>0.96907216494845361</v>
      </c>
      <c r="DH245" s="35">
        <f t="shared" si="194"/>
        <v>0.98326359832635979</v>
      </c>
      <c r="DI245" s="35">
        <f t="shared" si="195"/>
        <v>0.9855670103092784</v>
      </c>
      <c r="DJ245" s="20">
        <v>1455</v>
      </c>
      <c r="DK245" s="27">
        <f t="shared" si="246"/>
        <v>21</v>
      </c>
      <c r="DL245" s="20">
        <v>1434</v>
      </c>
      <c r="DM245" s="20">
        <v>1410</v>
      </c>
      <c r="DN245" s="20">
        <f t="shared" si="247"/>
        <v>24</v>
      </c>
      <c r="DO245" s="20"/>
      <c r="DP245" s="20"/>
      <c r="DQ245" s="46"/>
      <c r="DR245" s="47"/>
      <c r="DS245" s="35"/>
      <c r="DT245" s="35"/>
      <c r="DU245" s="35"/>
      <c r="DV245" s="27"/>
      <c r="DW245" s="27"/>
      <c r="DX245" s="27"/>
      <c r="DY245" s="27"/>
      <c r="DZ245" s="27"/>
      <c r="EA245" s="27"/>
      <c r="EB245" s="27"/>
      <c r="EJ245" s="29"/>
      <c r="EK245" s="29"/>
      <c r="EL245" s="29"/>
    </row>
    <row r="246" spans="1:142" s="34" customFormat="1" ht="12.95" customHeight="1">
      <c r="A246" s="45">
        <v>2013</v>
      </c>
      <c r="B246" s="48" t="s">
        <v>38</v>
      </c>
      <c r="C246" s="35">
        <f t="shared" si="198"/>
        <v>0.84742630487694948</v>
      </c>
      <c r="D246" s="35">
        <f t="shared" si="199"/>
        <v>0.90690270609232548</v>
      </c>
      <c r="E246" s="35">
        <f t="shared" si="200"/>
        <v>0.9344181015054539</v>
      </c>
      <c r="F24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22186</v>
      </c>
      <c r="G246" s="20">
        <f t="shared" si="201"/>
        <v>1455</v>
      </c>
      <c r="H24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I24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18801</v>
      </c>
      <c r="J246" s="20">
        <f t="shared" si="202"/>
        <v>1930</v>
      </c>
      <c r="K246" s="27"/>
      <c r="L246" s="27"/>
      <c r="M246" s="45">
        <v>2013</v>
      </c>
      <c r="N246" s="48" t="s">
        <v>38</v>
      </c>
      <c r="O246" s="35">
        <f t="shared" si="158"/>
        <v>0.88186661767407681</v>
      </c>
      <c r="P246" s="35">
        <f t="shared" si="159"/>
        <v>0.92825372268420037</v>
      </c>
      <c r="Q246" s="35">
        <f t="shared" si="160"/>
        <v>0.9500275583318023</v>
      </c>
      <c r="R246" s="20">
        <v>5443</v>
      </c>
      <c r="S246" s="27">
        <f t="shared" ref="S246:S257" si="248">R246-T246</f>
        <v>272</v>
      </c>
      <c r="T246" s="20">
        <v>5171</v>
      </c>
      <c r="U246" s="20">
        <v>4800</v>
      </c>
      <c r="V246" s="20">
        <f t="shared" ref="V246:V257" si="249">T246-U246</f>
        <v>371</v>
      </c>
      <c r="W246" s="20"/>
      <c r="X246" s="20"/>
      <c r="Y246" s="45"/>
      <c r="Z246" s="48"/>
      <c r="AA246" s="35"/>
      <c r="AB246" s="35"/>
      <c r="AC246" s="35"/>
      <c r="AD246" s="20"/>
      <c r="AE246" s="27"/>
      <c r="AF246" s="20"/>
      <c r="AG246" s="20"/>
      <c r="AH246" s="20"/>
      <c r="AI246" s="20"/>
      <c r="AJ246" s="20"/>
      <c r="AK246" s="45">
        <v>2013</v>
      </c>
      <c r="AL246" s="48" t="s">
        <v>38</v>
      </c>
      <c r="AM246" s="35">
        <f t="shared" si="163"/>
        <v>0.92104239595488135</v>
      </c>
      <c r="AN246" s="35">
        <f t="shared" si="164"/>
        <v>0.9483380056067281</v>
      </c>
      <c r="AO246" s="35">
        <f t="shared" si="165"/>
        <v>0.97121742512640996</v>
      </c>
      <c r="AP246" s="20">
        <v>5142</v>
      </c>
      <c r="AQ246" s="27">
        <f t="shared" ref="AQ246:AQ257" si="250">AP246-AR246</f>
        <v>148</v>
      </c>
      <c r="AR246" s="20">
        <v>4994</v>
      </c>
      <c r="AS246" s="20">
        <v>4736</v>
      </c>
      <c r="AT246" s="20">
        <f t="shared" ref="AT246:AT257" si="251">AR246-AS246</f>
        <v>258</v>
      </c>
      <c r="AU246" s="20"/>
      <c r="AV246" s="20"/>
      <c r="AW246" s="45">
        <v>2013</v>
      </c>
      <c r="AX246" s="48" t="s">
        <v>38</v>
      </c>
      <c r="AY246" s="35">
        <f t="shared" si="168"/>
        <v>0.86904761904761907</v>
      </c>
      <c r="AZ246" s="35">
        <f t="shared" si="169"/>
        <v>0.92072072072072075</v>
      </c>
      <c r="BA246" s="35">
        <f t="shared" si="170"/>
        <v>0.94387755102040816</v>
      </c>
      <c r="BB246" s="20">
        <v>588</v>
      </c>
      <c r="BC246" s="27">
        <f t="shared" ref="BC246:BC257" si="252">BB246-BD246</f>
        <v>33</v>
      </c>
      <c r="BD246" s="20">
        <v>555</v>
      </c>
      <c r="BE246" s="20">
        <v>511</v>
      </c>
      <c r="BF246" s="20">
        <f t="shared" ref="BF246:BF257" si="253">BD246-BE246</f>
        <v>44</v>
      </c>
      <c r="BG246" s="20"/>
      <c r="BH246" s="20"/>
      <c r="BI246" s="45">
        <v>2013</v>
      </c>
      <c r="BJ246" s="48" t="s">
        <v>38</v>
      </c>
      <c r="BK246" s="35">
        <f t="shared" si="173"/>
        <v>0.79606700655498908</v>
      </c>
      <c r="BL246" s="35">
        <f t="shared" si="174"/>
        <v>0.81083086053412468</v>
      </c>
      <c r="BM246" s="35">
        <f t="shared" si="175"/>
        <v>0.98179169701383828</v>
      </c>
      <c r="BN246" s="20">
        <v>2746</v>
      </c>
      <c r="BO246" s="27">
        <f t="shared" ref="BO246:BO257" si="254">BN246-BP246</f>
        <v>50</v>
      </c>
      <c r="BP246" s="20">
        <v>2696</v>
      </c>
      <c r="BQ246" s="20">
        <v>2186</v>
      </c>
      <c r="BR246" s="20">
        <f t="shared" ref="BR246:BR257" si="255">BP246-BQ246</f>
        <v>510</v>
      </c>
      <c r="BS246" s="20"/>
      <c r="BT246" s="20"/>
      <c r="BU246" s="45">
        <v>2013</v>
      </c>
      <c r="BV246" s="48" t="s">
        <v>38</v>
      </c>
      <c r="BW246" s="35">
        <f t="shared" si="178"/>
        <v>0.90050107372942023</v>
      </c>
      <c r="BX246" s="35">
        <f t="shared" si="179"/>
        <v>0.93531598513011149</v>
      </c>
      <c r="BY246" s="35">
        <f t="shared" si="180"/>
        <v>0.96277738010021474</v>
      </c>
      <c r="BZ246" s="20">
        <v>2794</v>
      </c>
      <c r="CA246" s="27">
        <f t="shared" ref="CA246:CA257" si="256">BZ246-CB246</f>
        <v>104</v>
      </c>
      <c r="CB246" s="20">
        <v>2690</v>
      </c>
      <c r="CC246" s="20">
        <v>2516</v>
      </c>
      <c r="CD246" s="20">
        <f t="shared" ref="CD246:CD257" si="257">CB246-CC246</f>
        <v>174</v>
      </c>
      <c r="CE246" s="20"/>
      <c r="CF246" s="20"/>
      <c r="CG246" s="45">
        <v>2013</v>
      </c>
      <c r="CH246" s="48" t="s">
        <v>38</v>
      </c>
      <c r="CI246" s="35">
        <f t="shared" si="203"/>
        <v>0.6345503718728871</v>
      </c>
      <c r="CJ246" s="35">
        <f t="shared" si="204"/>
        <v>0.86418047882136284</v>
      </c>
      <c r="CK246" s="35">
        <f t="shared" si="205"/>
        <v>0.73427991886409738</v>
      </c>
      <c r="CL246" s="20">
        <v>2958</v>
      </c>
      <c r="CM246" s="20">
        <f t="shared" si="186"/>
        <v>786</v>
      </c>
      <c r="CN246" s="20">
        <v>2172</v>
      </c>
      <c r="CO246" s="20">
        <v>1877</v>
      </c>
      <c r="CP246" s="20">
        <f t="shared" si="187"/>
        <v>295</v>
      </c>
      <c r="CQ246" s="20"/>
      <c r="CR246" s="20"/>
      <c r="CS246" s="45">
        <v>2013</v>
      </c>
      <c r="CT246" s="48" t="s">
        <v>38</v>
      </c>
      <c r="CU246" s="35">
        <f t="shared" si="188"/>
        <v>0.71716203259827416</v>
      </c>
      <c r="CV246" s="35">
        <f t="shared" si="189"/>
        <v>0.74725274725274726</v>
      </c>
      <c r="CW246" s="35">
        <f t="shared" si="190"/>
        <v>0.95973154362416102</v>
      </c>
      <c r="CX246" s="20">
        <v>1043</v>
      </c>
      <c r="CY246" s="27">
        <f t="shared" ref="CY246:CY257" si="258">CX246-CZ246</f>
        <v>42</v>
      </c>
      <c r="CZ246" s="20">
        <v>1001</v>
      </c>
      <c r="DA246" s="20">
        <v>748</v>
      </c>
      <c r="DB246" s="20">
        <f t="shared" ref="DB246:DB257" si="259">CZ246-DA246</f>
        <v>253</v>
      </c>
      <c r="DC246" s="20"/>
      <c r="DD246" s="20"/>
      <c r="DE246" s="45">
        <v>2013</v>
      </c>
      <c r="DF246" s="48" t="s">
        <v>38</v>
      </c>
      <c r="DG246" s="35">
        <f t="shared" si="193"/>
        <v>0.96942934782608692</v>
      </c>
      <c r="DH246" s="35">
        <f t="shared" si="194"/>
        <v>0.98278236914600547</v>
      </c>
      <c r="DI246" s="35">
        <f t="shared" si="195"/>
        <v>0.98641304347826086</v>
      </c>
      <c r="DJ246" s="20">
        <v>1472</v>
      </c>
      <c r="DK246" s="27">
        <f t="shared" ref="DK246:DK257" si="260">DJ246-DL246</f>
        <v>20</v>
      </c>
      <c r="DL246" s="20">
        <v>1452</v>
      </c>
      <c r="DM246" s="20">
        <v>1427</v>
      </c>
      <c r="DN246" s="20">
        <f t="shared" ref="DN246:DN257" si="261">DL246-DM246</f>
        <v>25</v>
      </c>
      <c r="DO246" s="20"/>
      <c r="DP246" s="20"/>
      <c r="DQ246" s="45"/>
      <c r="DR246" s="48"/>
      <c r="DS246" s="35"/>
      <c r="DT246" s="35"/>
      <c r="DU246" s="35"/>
      <c r="DV246" s="27"/>
      <c r="DW246" s="27"/>
      <c r="DX246" s="27"/>
      <c r="DY246" s="27"/>
      <c r="DZ246" s="27"/>
      <c r="EA246" s="27"/>
      <c r="EB246" s="27"/>
      <c r="EJ246" s="29"/>
      <c r="EK246" s="29"/>
      <c r="EL246" s="29"/>
    </row>
    <row r="247" spans="1:142" s="34" customFormat="1" ht="12.95" customHeight="1">
      <c r="A247" s="46">
        <v>2013</v>
      </c>
      <c r="B247" s="47" t="s">
        <v>39</v>
      </c>
      <c r="C247" s="35">
        <f t="shared" si="198"/>
        <v>0.81701625724396121</v>
      </c>
      <c r="D247" s="35">
        <f t="shared" si="199"/>
        <v>0.85146980224478885</v>
      </c>
      <c r="E247" s="35">
        <f t="shared" si="200"/>
        <v>0.95953638648135797</v>
      </c>
      <c r="F24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19499</v>
      </c>
      <c r="G247" s="20">
        <f t="shared" si="201"/>
        <v>789</v>
      </c>
      <c r="H24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18710</v>
      </c>
      <c r="I24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15931</v>
      </c>
      <c r="J247" s="20">
        <f t="shared" si="202"/>
        <v>2779</v>
      </c>
      <c r="K247" s="27"/>
      <c r="L247" s="27"/>
      <c r="M247" s="46">
        <v>2013</v>
      </c>
      <c r="N247" s="47" t="s">
        <v>39</v>
      </c>
      <c r="O247" s="35">
        <f t="shared" si="158"/>
        <v>0.82145123757139837</v>
      </c>
      <c r="P247" s="35">
        <f t="shared" si="159"/>
        <v>0.85641817379797092</v>
      </c>
      <c r="Q247" s="35">
        <f t="shared" si="160"/>
        <v>0.95917072138777237</v>
      </c>
      <c r="R247" s="20">
        <v>4727</v>
      </c>
      <c r="S247" s="27">
        <f t="shared" si="248"/>
        <v>193</v>
      </c>
      <c r="T247" s="20">
        <v>4534</v>
      </c>
      <c r="U247" s="20">
        <v>3883</v>
      </c>
      <c r="V247" s="20">
        <f t="shared" si="249"/>
        <v>651</v>
      </c>
      <c r="W247" s="20"/>
      <c r="X247" s="20"/>
      <c r="Y247" s="46"/>
      <c r="Z247" s="47"/>
      <c r="AA247" s="35"/>
      <c r="AB247" s="35"/>
      <c r="AC247" s="35"/>
      <c r="AD247" s="20"/>
      <c r="AE247" s="27"/>
      <c r="AF247" s="20"/>
      <c r="AG247" s="20"/>
      <c r="AH247" s="20"/>
      <c r="AI247" s="20"/>
      <c r="AJ247" s="20"/>
      <c r="AK247" s="46">
        <v>2013</v>
      </c>
      <c r="AL247" s="47" t="s">
        <v>39</v>
      </c>
      <c r="AM247" s="35">
        <f t="shared" si="163"/>
        <v>0.87463816521932758</v>
      </c>
      <c r="AN247" s="35">
        <f t="shared" si="164"/>
        <v>0.90674053554939982</v>
      </c>
      <c r="AO247" s="35">
        <f t="shared" si="165"/>
        <v>0.96459585838343354</v>
      </c>
      <c r="AP247" s="20">
        <v>4491</v>
      </c>
      <c r="AQ247" s="27">
        <f t="shared" si="250"/>
        <v>159</v>
      </c>
      <c r="AR247" s="20">
        <v>4332</v>
      </c>
      <c r="AS247" s="20">
        <v>3928</v>
      </c>
      <c r="AT247" s="20">
        <f t="shared" si="251"/>
        <v>404</v>
      </c>
      <c r="AU247" s="20"/>
      <c r="AV247" s="20"/>
      <c r="AW247" s="46">
        <v>2013</v>
      </c>
      <c r="AX247" s="47" t="s">
        <v>39</v>
      </c>
      <c r="AY247" s="35">
        <f t="shared" si="168"/>
        <v>0.69747899159663862</v>
      </c>
      <c r="AZ247" s="35">
        <f t="shared" si="169"/>
        <v>0.77030162412993042</v>
      </c>
      <c r="BA247" s="35">
        <f t="shared" si="170"/>
        <v>0.90546218487394958</v>
      </c>
      <c r="BB247" s="20">
        <v>476</v>
      </c>
      <c r="BC247" s="27">
        <f t="shared" si="252"/>
        <v>45</v>
      </c>
      <c r="BD247" s="20">
        <v>431</v>
      </c>
      <c r="BE247" s="20">
        <v>332</v>
      </c>
      <c r="BF247" s="20">
        <f t="shared" si="253"/>
        <v>99</v>
      </c>
      <c r="BG247" s="20"/>
      <c r="BH247" s="20"/>
      <c r="BI247" s="46">
        <v>2013</v>
      </c>
      <c r="BJ247" s="47" t="s">
        <v>39</v>
      </c>
      <c r="BK247" s="35">
        <f t="shared" si="173"/>
        <v>0.72645372645372641</v>
      </c>
      <c r="BL247" s="35">
        <f t="shared" si="174"/>
        <v>0.74194897532413218</v>
      </c>
      <c r="BM247" s="35">
        <f t="shared" si="175"/>
        <v>0.97911547911547914</v>
      </c>
      <c r="BN247" s="20">
        <v>2442</v>
      </c>
      <c r="BO247" s="27">
        <f t="shared" si="254"/>
        <v>51</v>
      </c>
      <c r="BP247" s="20">
        <v>2391</v>
      </c>
      <c r="BQ247" s="20">
        <v>1774</v>
      </c>
      <c r="BR247" s="20">
        <f t="shared" si="255"/>
        <v>617</v>
      </c>
      <c r="BS247" s="20"/>
      <c r="BT247" s="20"/>
      <c r="BU247" s="46">
        <v>2013</v>
      </c>
      <c r="BV247" s="47" t="s">
        <v>39</v>
      </c>
      <c r="BW247" s="35">
        <f t="shared" si="178"/>
        <v>0.85927419354838708</v>
      </c>
      <c r="BX247" s="35">
        <f t="shared" si="179"/>
        <v>0.8980193847450485</v>
      </c>
      <c r="BY247" s="35">
        <f t="shared" si="180"/>
        <v>0.95685483870967747</v>
      </c>
      <c r="BZ247" s="20">
        <v>2480</v>
      </c>
      <c r="CA247" s="27">
        <f t="shared" si="256"/>
        <v>107</v>
      </c>
      <c r="CB247" s="20">
        <v>2373</v>
      </c>
      <c r="CC247" s="20">
        <v>2131</v>
      </c>
      <c r="CD247" s="20">
        <f t="shared" si="257"/>
        <v>242</v>
      </c>
      <c r="CE247" s="20"/>
      <c r="CF247" s="20"/>
      <c r="CG247" s="46">
        <v>2013</v>
      </c>
      <c r="CH247" s="47" t="s">
        <v>39</v>
      </c>
      <c r="CI247" s="35">
        <f t="shared" si="203"/>
        <v>0.76089427813565746</v>
      </c>
      <c r="CJ247" s="35">
        <f t="shared" si="204"/>
        <v>0.80223731522173392</v>
      </c>
      <c r="CK247" s="35">
        <f t="shared" si="205"/>
        <v>0.94846532777567261</v>
      </c>
      <c r="CL247" s="20">
        <v>2639</v>
      </c>
      <c r="CM247" s="20">
        <f t="shared" si="186"/>
        <v>136</v>
      </c>
      <c r="CN247" s="20">
        <v>2503</v>
      </c>
      <c r="CO247" s="20">
        <v>2008</v>
      </c>
      <c r="CP247" s="20">
        <f t="shared" si="187"/>
        <v>495</v>
      </c>
      <c r="CQ247" s="20"/>
      <c r="CR247" s="20"/>
      <c r="CS247" s="46">
        <v>2013</v>
      </c>
      <c r="CT247" s="47" t="s">
        <v>39</v>
      </c>
      <c r="CU247" s="35">
        <f t="shared" si="188"/>
        <v>0.69346195069667738</v>
      </c>
      <c r="CV247" s="35">
        <f t="shared" si="189"/>
        <v>0.7220982142857143</v>
      </c>
      <c r="CW247" s="35">
        <f t="shared" si="190"/>
        <v>0.96034297963558413</v>
      </c>
      <c r="CX247" s="20">
        <v>933</v>
      </c>
      <c r="CY247" s="27">
        <f t="shared" si="258"/>
        <v>37</v>
      </c>
      <c r="CZ247" s="20">
        <v>896</v>
      </c>
      <c r="DA247" s="20">
        <v>647</v>
      </c>
      <c r="DB247" s="20">
        <f t="shared" si="259"/>
        <v>249</v>
      </c>
      <c r="DC247" s="20"/>
      <c r="DD247" s="20"/>
      <c r="DE247" s="46">
        <v>2013</v>
      </c>
      <c r="DF247" s="47" t="s">
        <v>39</v>
      </c>
      <c r="DG247" s="35">
        <f t="shared" si="193"/>
        <v>0.93668954996186116</v>
      </c>
      <c r="DH247" s="35">
        <f t="shared" si="194"/>
        <v>0.98240000000000005</v>
      </c>
      <c r="DI247" s="35">
        <f t="shared" si="195"/>
        <v>0.95347063310450042</v>
      </c>
      <c r="DJ247" s="20">
        <v>1311</v>
      </c>
      <c r="DK247" s="27">
        <f t="shared" si="260"/>
        <v>61</v>
      </c>
      <c r="DL247" s="20">
        <v>1250</v>
      </c>
      <c r="DM247" s="20">
        <v>1228</v>
      </c>
      <c r="DN247" s="20">
        <f t="shared" si="261"/>
        <v>22</v>
      </c>
      <c r="DO247" s="20"/>
      <c r="DP247" s="20"/>
      <c r="DQ247" s="46"/>
      <c r="DR247" s="47"/>
      <c r="DS247" s="35"/>
      <c r="DT247" s="35"/>
      <c r="DU247" s="35"/>
      <c r="DV247" s="27"/>
      <c r="DW247" s="27"/>
      <c r="DX247" s="27"/>
      <c r="DY247" s="27"/>
      <c r="DZ247" s="27"/>
      <c r="EA247" s="27"/>
      <c r="EB247" s="27"/>
      <c r="EJ247" s="29"/>
      <c r="EK247" s="29"/>
      <c r="EL247" s="29"/>
    </row>
    <row r="248" spans="1:142" s="34" customFormat="1" ht="12.95" customHeight="1">
      <c r="A248" s="45">
        <v>2013</v>
      </c>
      <c r="B248" s="48" t="s">
        <v>40</v>
      </c>
      <c r="C248" s="35">
        <f t="shared" si="198"/>
        <v>0.7135174551089235</v>
      </c>
      <c r="D248" s="35">
        <f t="shared" si="199"/>
        <v>0.76756385743001421</v>
      </c>
      <c r="E248" s="35">
        <f t="shared" si="200"/>
        <v>0.92958709324582989</v>
      </c>
      <c r="F24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21942</v>
      </c>
      <c r="G248" s="20">
        <f t="shared" si="201"/>
        <v>1545</v>
      </c>
      <c r="H24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20397</v>
      </c>
      <c r="I24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J248" s="20">
        <f t="shared" si="202"/>
        <v>4741</v>
      </c>
      <c r="K248" s="27"/>
      <c r="L248" s="27"/>
      <c r="M248" s="45">
        <v>2013</v>
      </c>
      <c r="N248" s="48" t="s">
        <v>40</v>
      </c>
      <c r="O248" s="35">
        <f t="shared" si="158"/>
        <v>0.72791651136787183</v>
      </c>
      <c r="P248" s="35">
        <f t="shared" si="159"/>
        <v>0.75318164288468958</v>
      </c>
      <c r="Q248" s="35">
        <f t="shared" si="160"/>
        <v>0.96645546030562801</v>
      </c>
      <c r="R248" s="20">
        <v>5366</v>
      </c>
      <c r="S248" s="27">
        <f t="shared" si="248"/>
        <v>180</v>
      </c>
      <c r="T248" s="20">
        <v>5186</v>
      </c>
      <c r="U248" s="20">
        <v>3906</v>
      </c>
      <c r="V248" s="20">
        <f t="shared" si="249"/>
        <v>1280</v>
      </c>
      <c r="W248" s="20"/>
      <c r="X248" s="20"/>
      <c r="Y248" s="45"/>
      <c r="Z248" s="48"/>
      <c r="AA248" s="35"/>
      <c r="AB248" s="35"/>
      <c r="AC248" s="35"/>
      <c r="AD248" s="20"/>
      <c r="AE248" s="27"/>
      <c r="AF248" s="20"/>
      <c r="AG248" s="20"/>
      <c r="AH248" s="20"/>
      <c r="AI248" s="20"/>
      <c r="AJ248" s="20"/>
      <c r="AK248" s="45">
        <v>2013</v>
      </c>
      <c r="AL248" s="48" t="s">
        <v>40</v>
      </c>
      <c r="AM248" s="35">
        <f t="shared" si="163"/>
        <v>0.76213878513858857</v>
      </c>
      <c r="AN248" s="35">
        <f t="shared" si="164"/>
        <v>0.78688857316825656</v>
      </c>
      <c r="AO248" s="35">
        <f t="shared" si="165"/>
        <v>0.96854727737369761</v>
      </c>
      <c r="AP248" s="20">
        <v>5087</v>
      </c>
      <c r="AQ248" s="27">
        <f t="shared" si="250"/>
        <v>160</v>
      </c>
      <c r="AR248" s="20">
        <v>4927</v>
      </c>
      <c r="AS248" s="20">
        <v>3877</v>
      </c>
      <c r="AT248" s="20">
        <f t="shared" si="251"/>
        <v>1050</v>
      </c>
      <c r="AU248" s="20"/>
      <c r="AV248" s="20"/>
      <c r="AW248" s="45">
        <v>2013</v>
      </c>
      <c r="AX248" s="48" t="s">
        <v>40</v>
      </c>
      <c r="AY248" s="35">
        <f t="shared" si="168"/>
        <v>0.65789473684210531</v>
      </c>
      <c r="AZ248" s="35">
        <f t="shared" si="169"/>
        <v>0.70993914807302227</v>
      </c>
      <c r="BA248" s="35">
        <f t="shared" si="170"/>
        <v>0.92669172932330823</v>
      </c>
      <c r="BB248" s="20">
        <v>532</v>
      </c>
      <c r="BC248" s="27">
        <f t="shared" si="252"/>
        <v>39</v>
      </c>
      <c r="BD248" s="20">
        <v>493</v>
      </c>
      <c r="BE248" s="20">
        <v>350</v>
      </c>
      <c r="BF248" s="20">
        <f t="shared" si="253"/>
        <v>143</v>
      </c>
      <c r="BG248" s="20"/>
      <c r="BH248" s="20"/>
      <c r="BI248" s="45">
        <v>2013</v>
      </c>
      <c r="BJ248" s="48" t="s">
        <v>40</v>
      </c>
      <c r="BK248" s="35">
        <f t="shared" si="173"/>
        <v>0.63563049853372433</v>
      </c>
      <c r="BL248" s="35">
        <f t="shared" si="174"/>
        <v>0.66692307692307695</v>
      </c>
      <c r="BM248" s="35">
        <f t="shared" si="175"/>
        <v>0.95307917888563054</v>
      </c>
      <c r="BN248" s="20">
        <v>2728</v>
      </c>
      <c r="BO248" s="27">
        <f t="shared" si="254"/>
        <v>128</v>
      </c>
      <c r="BP248" s="20">
        <v>2600</v>
      </c>
      <c r="BQ248" s="20">
        <v>1734</v>
      </c>
      <c r="BR248" s="20">
        <f t="shared" si="255"/>
        <v>866</v>
      </c>
      <c r="BS248" s="20"/>
      <c r="BT248" s="20"/>
      <c r="BU248" s="45">
        <v>2013</v>
      </c>
      <c r="BV248" s="48" t="s">
        <v>40</v>
      </c>
      <c r="BW248" s="35">
        <f t="shared" si="178"/>
        <v>0.67289719626168221</v>
      </c>
      <c r="BX248" s="35">
        <f t="shared" si="179"/>
        <v>0.84744228157537349</v>
      </c>
      <c r="BY248" s="35">
        <f t="shared" si="180"/>
        <v>0.79403306973400434</v>
      </c>
      <c r="BZ248" s="20">
        <v>2782</v>
      </c>
      <c r="CA248" s="27">
        <f t="shared" si="256"/>
        <v>573</v>
      </c>
      <c r="CB248" s="20">
        <v>2209</v>
      </c>
      <c r="CC248" s="20">
        <v>1872</v>
      </c>
      <c r="CD248" s="20">
        <f t="shared" si="257"/>
        <v>337</v>
      </c>
      <c r="CE248" s="20"/>
      <c r="CF248" s="20"/>
      <c r="CG248" s="45">
        <v>2013</v>
      </c>
      <c r="CH248" s="48" t="s">
        <v>40</v>
      </c>
      <c r="CI248" s="35">
        <f t="shared" si="203"/>
        <v>0.64504076086956519</v>
      </c>
      <c r="CJ248" s="35">
        <f t="shared" si="204"/>
        <v>0.70937616735151288</v>
      </c>
      <c r="CK248" s="35">
        <f t="shared" si="205"/>
        <v>0.90930706521739135</v>
      </c>
      <c r="CL248" s="20">
        <v>2944</v>
      </c>
      <c r="CM248" s="20">
        <f t="shared" si="186"/>
        <v>267</v>
      </c>
      <c r="CN248" s="20">
        <v>2677</v>
      </c>
      <c r="CO248" s="20">
        <v>1899</v>
      </c>
      <c r="CP248" s="20">
        <f t="shared" si="187"/>
        <v>778</v>
      </c>
      <c r="CQ248" s="20"/>
      <c r="CR248" s="20"/>
      <c r="CS248" s="45">
        <v>2013</v>
      </c>
      <c r="CT248" s="48" t="s">
        <v>40</v>
      </c>
      <c r="CU248" s="35">
        <f t="shared" si="188"/>
        <v>0.65284474445515916</v>
      </c>
      <c r="CV248" s="35">
        <f t="shared" si="189"/>
        <v>0.71868365180467086</v>
      </c>
      <c r="CW248" s="35">
        <f t="shared" si="190"/>
        <v>0.90838958534233361</v>
      </c>
      <c r="CX248" s="20">
        <v>1037</v>
      </c>
      <c r="CY248" s="27">
        <f t="shared" si="258"/>
        <v>95</v>
      </c>
      <c r="CZ248" s="20">
        <v>942</v>
      </c>
      <c r="DA248" s="20">
        <v>677</v>
      </c>
      <c r="DB248" s="20">
        <f t="shared" si="259"/>
        <v>265</v>
      </c>
      <c r="DC248" s="20"/>
      <c r="DD248" s="20"/>
      <c r="DE248" s="45">
        <v>2013</v>
      </c>
      <c r="DF248" s="48" t="s">
        <v>40</v>
      </c>
      <c r="DG248" s="35">
        <f t="shared" si="193"/>
        <v>0.91473396998635748</v>
      </c>
      <c r="DH248" s="35">
        <f t="shared" si="194"/>
        <v>0.98385913426265592</v>
      </c>
      <c r="DI248" s="35">
        <f t="shared" si="195"/>
        <v>0.92974079126875853</v>
      </c>
      <c r="DJ248" s="20">
        <v>1466</v>
      </c>
      <c r="DK248" s="27">
        <f t="shared" si="260"/>
        <v>103</v>
      </c>
      <c r="DL248" s="20">
        <v>1363</v>
      </c>
      <c r="DM248" s="20">
        <v>1341</v>
      </c>
      <c r="DN248" s="20">
        <f t="shared" si="261"/>
        <v>22</v>
      </c>
      <c r="DO248" s="20"/>
      <c r="DP248" s="20"/>
      <c r="DQ248" s="45"/>
      <c r="DR248" s="48"/>
      <c r="DS248" s="35"/>
      <c r="DT248" s="35"/>
      <c r="DU248" s="35"/>
      <c r="DV248" s="27"/>
      <c r="DW248" s="27"/>
      <c r="DX248" s="27"/>
      <c r="DY248" s="27"/>
      <c r="DZ248" s="27"/>
      <c r="EA248" s="27"/>
      <c r="EB248" s="27"/>
      <c r="EJ248" s="29"/>
      <c r="EK248" s="29"/>
      <c r="EL248" s="29"/>
    </row>
    <row r="249" spans="1:142" s="34" customFormat="1" ht="12.95" customHeight="1">
      <c r="A249" s="46">
        <v>2013</v>
      </c>
      <c r="B249" s="47" t="s">
        <v>41</v>
      </c>
      <c r="C249" s="35">
        <f t="shared" si="198"/>
        <v>0.62900813312143589</v>
      </c>
      <c r="D249" s="35">
        <f t="shared" si="199"/>
        <v>0.74541627430343982</v>
      </c>
      <c r="E249" s="35">
        <f t="shared" si="200"/>
        <v>0.84383472001495752</v>
      </c>
      <c r="F24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21394</v>
      </c>
      <c r="G249" s="20">
        <f t="shared" si="201"/>
        <v>3341</v>
      </c>
      <c r="H24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18053</v>
      </c>
      <c r="I24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13457</v>
      </c>
      <c r="J249" s="20">
        <f t="shared" si="202"/>
        <v>4596</v>
      </c>
      <c r="K249" s="27"/>
      <c r="L249" s="27"/>
      <c r="M249" s="46">
        <v>2013</v>
      </c>
      <c r="N249" s="47" t="s">
        <v>41</v>
      </c>
      <c r="O249" s="35">
        <f t="shared" si="158"/>
        <v>0.75577179927494753</v>
      </c>
      <c r="P249" s="35">
        <f t="shared" si="159"/>
        <v>0.80737871993477373</v>
      </c>
      <c r="Q249" s="35">
        <f t="shared" si="160"/>
        <v>0.93608090059149018</v>
      </c>
      <c r="R249" s="20">
        <v>5241</v>
      </c>
      <c r="S249" s="27">
        <f t="shared" si="248"/>
        <v>335</v>
      </c>
      <c r="T249" s="20">
        <v>4906</v>
      </c>
      <c r="U249" s="20">
        <v>3961</v>
      </c>
      <c r="V249" s="20">
        <f t="shared" si="249"/>
        <v>945</v>
      </c>
      <c r="W249" s="20"/>
      <c r="X249" s="20"/>
      <c r="Y249" s="46"/>
      <c r="Z249" s="47"/>
      <c r="AA249" s="35"/>
      <c r="AB249" s="35"/>
      <c r="AC249" s="35"/>
      <c r="AD249" s="20"/>
      <c r="AE249" s="27"/>
      <c r="AF249" s="20"/>
      <c r="AG249" s="20"/>
      <c r="AH249" s="20"/>
      <c r="AI249" s="20"/>
      <c r="AJ249" s="20"/>
      <c r="AK249" s="46">
        <v>2013</v>
      </c>
      <c r="AL249" s="47" t="s">
        <v>41</v>
      </c>
      <c r="AM249" s="35">
        <f t="shared" si="163"/>
        <v>0.7547931382441978</v>
      </c>
      <c r="AN249" s="35">
        <f t="shared" si="164"/>
        <v>0.80171489817792063</v>
      </c>
      <c r="AO249" s="35">
        <f t="shared" si="165"/>
        <v>0.94147325933400605</v>
      </c>
      <c r="AP249" s="20">
        <v>4955</v>
      </c>
      <c r="AQ249" s="27">
        <f t="shared" si="250"/>
        <v>290</v>
      </c>
      <c r="AR249" s="20">
        <v>4665</v>
      </c>
      <c r="AS249" s="20">
        <v>3740</v>
      </c>
      <c r="AT249" s="20">
        <f t="shared" si="251"/>
        <v>925</v>
      </c>
      <c r="AU249" s="20"/>
      <c r="AV249" s="20"/>
      <c r="AW249" s="46">
        <v>2013</v>
      </c>
      <c r="AX249" s="47" t="s">
        <v>41</v>
      </c>
      <c r="AY249" s="35">
        <f t="shared" si="168"/>
        <v>0.58392857142857146</v>
      </c>
      <c r="AZ249" s="35">
        <f t="shared" si="169"/>
        <v>0.63742690058479534</v>
      </c>
      <c r="BA249" s="35">
        <f t="shared" si="170"/>
        <v>0.91607142857142854</v>
      </c>
      <c r="BB249" s="20">
        <v>560</v>
      </c>
      <c r="BC249" s="27">
        <f t="shared" si="252"/>
        <v>47</v>
      </c>
      <c r="BD249" s="20">
        <v>513</v>
      </c>
      <c r="BE249" s="20">
        <v>327</v>
      </c>
      <c r="BF249" s="20">
        <f t="shared" si="253"/>
        <v>186</v>
      </c>
      <c r="BG249" s="20"/>
      <c r="BH249" s="20"/>
      <c r="BI249" s="46">
        <v>2013</v>
      </c>
      <c r="BJ249" s="47" t="s">
        <v>41</v>
      </c>
      <c r="BK249" s="35">
        <f t="shared" si="173"/>
        <v>0.55052790346907998</v>
      </c>
      <c r="BL249" s="35">
        <f t="shared" si="174"/>
        <v>0.58728881737731298</v>
      </c>
      <c r="BM249" s="35">
        <f t="shared" si="175"/>
        <v>0.93740573152337858</v>
      </c>
      <c r="BN249" s="20">
        <v>2652</v>
      </c>
      <c r="BO249" s="27">
        <f t="shared" si="254"/>
        <v>166</v>
      </c>
      <c r="BP249" s="20">
        <v>2486</v>
      </c>
      <c r="BQ249" s="20">
        <v>1460</v>
      </c>
      <c r="BR249" s="20">
        <f t="shared" si="255"/>
        <v>1026</v>
      </c>
      <c r="BS249" s="20"/>
      <c r="BT249" s="20"/>
      <c r="BU249" s="46">
        <v>2013</v>
      </c>
      <c r="BV249" s="47" t="s">
        <v>41</v>
      </c>
      <c r="BW249" s="35">
        <f t="shared" si="178"/>
        <v>0.56152705707931805</v>
      </c>
      <c r="BX249" s="35">
        <f t="shared" si="179"/>
        <v>0.82024905251759606</v>
      </c>
      <c r="BY249" s="35">
        <f t="shared" si="180"/>
        <v>0.68458117123795403</v>
      </c>
      <c r="BZ249" s="20">
        <v>2698</v>
      </c>
      <c r="CA249" s="27">
        <f t="shared" si="256"/>
        <v>851</v>
      </c>
      <c r="CB249" s="20">
        <v>1847</v>
      </c>
      <c r="CC249" s="20">
        <v>1515</v>
      </c>
      <c r="CD249" s="20">
        <f t="shared" si="257"/>
        <v>332</v>
      </c>
      <c r="CE249" s="20"/>
      <c r="CF249" s="20"/>
      <c r="CG249" s="46">
        <v>2013</v>
      </c>
      <c r="CH249" s="47" t="s">
        <v>41</v>
      </c>
      <c r="CI249" s="35">
        <f t="shared" si="203"/>
        <v>0.38243526941917427</v>
      </c>
      <c r="CJ249" s="35">
        <f t="shared" si="204"/>
        <v>0.52801932367149762</v>
      </c>
      <c r="CK249" s="35">
        <f t="shared" si="205"/>
        <v>0.7242827151854444</v>
      </c>
      <c r="CL249" s="20">
        <v>2858</v>
      </c>
      <c r="CM249" s="20">
        <f t="shared" si="186"/>
        <v>788</v>
      </c>
      <c r="CN249" s="20">
        <v>2070</v>
      </c>
      <c r="CO249" s="20">
        <v>1093</v>
      </c>
      <c r="CP249" s="20">
        <f t="shared" si="187"/>
        <v>977</v>
      </c>
      <c r="CQ249" s="20"/>
      <c r="CR249" s="20"/>
      <c r="CS249" s="46">
        <v>2013</v>
      </c>
      <c r="CT249" s="47" t="s">
        <v>41</v>
      </c>
      <c r="CU249" s="35">
        <f t="shared" si="188"/>
        <v>0.36210317460317459</v>
      </c>
      <c r="CV249" s="35">
        <f t="shared" si="189"/>
        <v>0.67343173431734316</v>
      </c>
      <c r="CW249" s="35">
        <f t="shared" si="190"/>
        <v>0.53769841269841268</v>
      </c>
      <c r="CX249" s="20">
        <v>1008</v>
      </c>
      <c r="CY249" s="27">
        <f t="shared" si="258"/>
        <v>466</v>
      </c>
      <c r="CZ249" s="20">
        <v>542</v>
      </c>
      <c r="DA249" s="20">
        <v>365</v>
      </c>
      <c r="DB249" s="20">
        <f t="shared" si="259"/>
        <v>177</v>
      </c>
      <c r="DC249" s="20"/>
      <c r="DD249" s="20"/>
      <c r="DE249" s="46">
        <v>2013</v>
      </c>
      <c r="DF249" s="47" t="s">
        <v>41</v>
      </c>
      <c r="DG249" s="35">
        <f t="shared" si="193"/>
        <v>0.70042194092827004</v>
      </c>
      <c r="DH249" s="35">
        <f t="shared" si="194"/>
        <v>0.97265625</v>
      </c>
      <c r="DI249" s="35">
        <f t="shared" si="195"/>
        <v>0.72011251758087202</v>
      </c>
      <c r="DJ249" s="20">
        <v>1422</v>
      </c>
      <c r="DK249" s="27">
        <f t="shared" si="260"/>
        <v>398</v>
      </c>
      <c r="DL249" s="20">
        <v>1024</v>
      </c>
      <c r="DM249" s="20">
        <v>996</v>
      </c>
      <c r="DN249" s="20">
        <f t="shared" si="261"/>
        <v>28</v>
      </c>
      <c r="DO249" s="20"/>
      <c r="DP249" s="20"/>
      <c r="DQ249" s="46"/>
      <c r="DR249" s="47"/>
      <c r="DS249" s="35"/>
      <c r="DT249" s="35"/>
      <c r="DU249" s="35"/>
      <c r="DV249" s="27"/>
      <c r="DW249" s="27"/>
      <c r="DX249" s="27"/>
      <c r="DY249" s="27"/>
      <c r="DZ249" s="27"/>
      <c r="EA249" s="27"/>
      <c r="EB249" s="27"/>
      <c r="EJ249" s="29"/>
      <c r="EK249" s="29"/>
      <c r="EL249" s="29"/>
    </row>
    <row r="250" spans="1:142" s="34" customFormat="1" ht="12.95" customHeight="1">
      <c r="A250" s="45">
        <v>2013</v>
      </c>
      <c r="B250" s="48" t="s">
        <v>42</v>
      </c>
      <c r="C250" s="35">
        <f t="shared" si="198"/>
        <v>0.61907938625750503</v>
      </c>
      <c r="D250" s="35">
        <f t="shared" si="199"/>
        <v>0.72300420713655011</v>
      </c>
      <c r="E250" s="35">
        <f t="shared" si="200"/>
        <v>0.85625972870802758</v>
      </c>
      <c r="F25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50" s="20">
        <f t="shared" si="201"/>
        <v>3232</v>
      </c>
      <c r="H25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19253</v>
      </c>
      <c r="I25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13920</v>
      </c>
      <c r="J250" s="20">
        <f t="shared" si="202"/>
        <v>5333</v>
      </c>
      <c r="K250" s="27"/>
      <c r="L250" s="27"/>
      <c r="M250" s="45">
        <v>2013</v>
      </c>
      <c r="N250" s="48" t="s">
        <v>42</v>
      </c>
      <c r="O250" s="35">
        <f t="shared" si="158"/>
        <v>0.75504686373467922</v>
      </c>
      <c r="P250" s="35">
        <f t="shared" si="159"/>
        <v>0.78036512667660207</v>
      </c>
      <c r="Q250" s="35">
        <f t="shared" si="160"/>
        <v>0.96755587599134818</v>
      </c>
      <c r="R250" s="20">
        <v>5548</v>
      </c>
      <c r="S250" s="27">
        <f t="shared" si="248"/>
        <v>180</v>
      </c>
      <c r="T250" s="20">
        <v>5368</v>
      </c>
      <c r="U250" s="20">
        <v>4189</v>
      </c>
      <c r="V250" s="20">
        <f t="shared" si="249"/>
        <v>1179</v>
      </c>
      <c r="W250" s="20"/>
      <c r="X250" s="20"/>
      <c r="Y250" s="45"/>
      <c r="Z250" s="48"/>
      <c r="AA250" s="35"/>
      <c r="AB250" s="35"/>
      <c r="AC250" s="35"/>
      <c r="AD250" s="20"/>
      <c r="AE250" s="27"/>
      <c r="AF250" s="20"/>
      <c r="AG250" s="20"/>
      <c r="AH250" s="20"/>
      <c r="AI250" s="20"/>
      <c r="AJ250" s="20"/>
      <c r="AK250" s="45">
        <v>2013</v>
      </c>
      <c r="AL250" s="48" t="s">
        <v>42</v>
      </c>
      <c r="AM250" s="35">
        <f t="shared" si="163"/>
        <v>0.72335947962502389</v>
      </c>
      <c r="AN250" s="35">
        <f t="shared" si="164"/>
        <v>0.75908452118048586</v>
      </c>
      <c r="AO250" s="35">
        <f t="shared" si="165"/>
        <v>0.95293667495695422</v>
      </c>
      <c r="AP250" s="20">
        <v>5227</v>
      </c>
      <c r="AQ250" s="27">
        <f t="shared" si="250"/>
        <v>246</v>
      </c>
      <c r="AR250" s="20">
        <v>4981</v>
      </c>
      <c r="AS250" s="20">
        <v>3781</v>
      </c>
      <c r="AT250" s="20">
        <f t="shared" si="251"/>
        <v>1200</v>
      </c>
      <c r="AU250" s="20"/>
      <c r="AV250" s="20"/>
      <c r="AW250" s="45">
        <v>2013</v>
      </c>
      <c r="AX250" s="48" t="s">
        <v>42</v>
      </c>
      <c r="AY250" s="35">
        <f t="shared" si="168"/>
        <v>0.58766233766233766</v>
      </c>
      <c r="AZ250" s="35">
        <f t="shared" si="169"/>
        <v>0.61669505962521298</v>
      </c>
      <c r="BA250" s="35">
        <f t="shared" si="170"/>
        <v>0.95292207792207795</v>
      </c>
      <c r="BB250" s="20">
        <v>616</v>
      </c>
      <c r="BC250" s="27">
        <f t="shared" si="252"/>
        <v>29</v>
      </c>
      <c r="BD250" s="20">
        <v>587</v>
      </c>
      <c r="BE250" s="20">
        <v>362</v>
      </c>
      <c r="BF250" s="20">
        <f t="shared" si="253"/>
        <v>225</v>
      </c>
      <c r="BG250" s="20"/>
      <c r="BH250" s="20"/>
      <c r="BI250" s="45">
        <v>2013</v>
      </c>
      <c r="BJ250" s="48" t="s">
        <v>42</v>
      </c>
      <c r="BK250" s="35">
        <f t="shared" si="173"/>
        <v>0.58887283236994215</v>
      </c>
      <c r="BL250" s="35">
        <f t="shared" si="174"/>
        <v>0.62190003815337658</v>
      </c>
      <c r="BM250" s="35">
        <f t="shared" si="175"/>
        <v>0.94689306358381498</v>
      </c>
      <c r="BN250" s="20">
        <v>2768</v>
      </c>
      <c r="BO250" s="27">
        <f t="shared" si="254"/>
        <v>147</v>
      </c>
      <c r="BP250" s="20">
        <v>2621</v>
      </c>
      <c r="BQ250" s="20">
        <v>1630</v>
      </c>
      <c r="BR250" s="20">
        <f t="shared" si="255"/>
        <v>991</v>
      </c>
      <c r="BS250" s="20"/>
      <c r="BT250" s="20"/>
      <c r="BU250" s="45">
        <v>2013</v>
      </c>
      <c r="BV250" s="48" t="s">
        <v>42</v>
      </c>
      <c r="BW250" s="35">
        <f t="shared" si="178"/>
        <v>0.578069552874379</v>
      </c>
      <c r="BX250" s="35">
        <f t="shared" si="179"/>
        <v>0.82900763358778629</v>
      </c>
      <c r="BY250" s="35">
        <f t="shared" si="180"/>
        <v>0.69730305180979413</v>
      </c>
      <c r="BZ250" s="20">
        <v>2818</v>
      </c>
      <c r="CA250" s="27">
        <f t="shared" si="256"/>
        <v>853</v>
      </c>
      <c r="CB250" s="20">
        <v>1965</v>
      </c>
      <c r="CC250" s="20">
        <v>1629</v>
      </c>
      <c r="CD250" s="20">
        <f t="shared" si="257"/>
        <v>336</v>
      </c>
      <c r="CE250" s="20"/>
      <c r="CF250" s="20"/>
      <c r="CG250" s="45">
        <v>2013</v>
      </c>
      <c r="CH250" s="48" t="s">
        <v>42</v>
      </c>
      <c r="CI250" s="35">
        <f t="shared" si="203"/>
        <v>0.30836412495801141</v>
      </c>
      <c r="CJ250" s="35">
        <f t="shared" si="204"/>
        <v>0.44347826086956521</v>
      </c>
      <c r="CK250" s="35">
        <f t="shared" si="205"/>
        <v>0.69533087000335914</v>
      </c>
      <c r="CL250" s="20">
        <v>2977</v>
      </c>
      <c r="CM250" s="20">
        <f t="shared" si="186"/>
        <v>907</v>
      </c>
      <c r="CN250" s="20">
        <v>2070</v>
      </c>
      <c r="CO250" s="20">
        <v>918</v>
      </c>
      <c r="CP250" s="20">
        <f t="shared" si="187"/>
        <v>1152</v>
      </c>
      <c r="CQ250" s="20"/>
      <c r="CR250" s="20"/>
      <c r="CS250" s="45">
        <v>2013</v>
      </c>
      <c r="CT250" s="48" t="s">
        <v>42</v>
      </c>
      <c r="CU250" s="35">
        <f t="shared" si="188"/>
        <v>0.39408396946564883</v>
      </c>
      <c r="CV250" s="35">
        <f t="shared" si="189"/>
        <v>0.67373572593800979</v>
      </c>
      <c r="CW250" s="35">
        <f t="shared" si="190"/>
        <v>0.58492366412213737</v>
      </c>
      <c r="CX250" s="20">
        <v>1048</v>
      </c>
      <c r="CY250" s="27">
        <f t="shared" si="258"/>
        <v>435</v>
      </c>
      <c r="CZ250" s="20">
        <v>613</v>
      </c>
      <c r="DA250" s="20">
        <v>413</v>
      </c>
      <c r="DB250" s="20">
        <f t="shared" si="259"/>
        <v>200</v>
      </c>
      <c r="DC250" s="20"/>
      <c r="DD250" s="20"/>
      <c r="DE250" s="45">
        <v>2013</v>
      </c>
      <c r="DF250" s="48" t="s">
        <v>42</v>
      </c>
      <c r="DG250" s="35">
        <f t="shared" si="193"/>
        <v>0.6729602157788267</v>
      </c>
      <c r="DH250" s="35">
        <f t="shared" si="194"/>
        <v>0.95229007633587781</v>
      </c>
      <c r="DI250" s="35">
        <f t="shared" si="195"/>
        <v>0.7066756574511126</v>
      </c>
      <c r="DJ250" s="20">
        <v>1483</v>
      </c>
      <c r="DK250" s="27">
        <f t="shared" si="260"/>
        <v>435</v>
      </c>
      <c r="DL250" s="20">
        <v>1048</v>
      </c>
      <c r="DM250" s="20">
        <v>998</v>
      </c>
      <c r="DN250" s="20">
        <f t="shared" si="261"/>
        <v>50</v>
      </c>
      <c r="DO250" s="20"/>
      <c r="DP250" s="20"/>
      <c r="DQ250" s="45"/>
      <c r="DR250" s="48"/>
      <c r="DS250" s="35"/>
      <c r="DT250" s="35"/>
      <c r="DU250" s="35"/>
      <c r="DV250" s="27"/>
      <c r="DW250" s="27"/>
      <c r="DX250" s="27"/>
      <c r="DY250" s="27"/>
      <c r="DZ250" s="27"/>
      <c r="EA250" s="27"/>
      <c r="EB250" s="27"/>
      <c r="EJ250" s="29"/>
      <c r="EK250" s="29"/>
      <c r="EL250" s="29"/>
    </row>
    <row r="251" spans="1:142" s="34" customFormat="1" ht="12.95" customHeight="1">
      <c r="A251" s="46">
        <v>2013</v>
      </c>
      <c r="B251" s="47" t="s">
        <v>43</v>
      </c>
      <c r="C251" s="35">
        <f t="shared" si="198"/>
        <v>0.62033462033462028</v>
      </c>
      <c r="D251" s="35">
        <f t="shared" si="199"/>
        <v>0.73091828138163439</v>
      </c>
      <c r="E251" s="35">
        <f t="shared" si="200"/>
        <v>0.84870584870584875</v>
      </c>
      <c r="F25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20979</v>
      </c>
      <c r="G251" s="20">
        <f t="shared" si="201"/>
        <v>3174</v>
      </c>
      <c r="H25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17805</v>
      </c>
      <c r="I25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13014</v>
      </c>
      <c r="J251" s="20">
        <f t="shared" si="202"/>
        <v>4791</v>
      </c>
      <c r="K251" s="27"/>
      <c r="L251" s="27"/>
      <c r="M251" s="46">
        <v>2013</v>
      </c>
      <c r="N251" s="47" t="s">
        <v>43</v>
      </c>
      <c r="O251" s="35">
        <f t="shared" si="158"/>
        <v>0.74058823529411766</v>
      </c>
      <c r="P251" s="35">
        <f t="shared" si="159"/>
        <v>0.78117890382626676</v>
      </c>
      <c r="Q251" s="35">
        <f t="shared" si="160"/>
        <v>0.94803921568627447</v>
      </c>
      <c r="R251" s="20">
        <v>5100</v>
      </c>
      <c r="S251" s="27">
        <f t="shared" si="248"/>
        <v>265</v>
      </c>
      <c r="T251" s="20">
        <v>4835</v>
      </c>
      <c r="U251" s="20">
        <v>3777</v>
      </c>
      <c r="V251" s="20">
        <f t="shared" si="249"/>
        <v>1058</v>
      </c>
      <c r="W251" s="20"/>
      <c r="X251" s="20"/>
      <c r="Y251" s="46"/>
      <c r="Z251" s="47"/>
      <c r="AA251" s="35"/>
      <c r="AB251" s="35"/>
      <c r="AC251" s="35"/>
      <c r="AD251" s="20"/>
      <c r="AE251" s="27"/>
      <c r="AF251" s="20"/>
      <c r="AG251" s="20"/>
      <c r="AH251" s="20"/>
      <c r="AI251" s="20"/>
      <c r="AJ251" s="20"/>
      <c r="AK251" s="46">
        <v>2013</v>
      </c>
      <c r="AL251" s="47" t="s">
        <v>43</v>
      </c>
      <c r="AM251" s="35">
        <f t="shared" si="163"/>
        <v>0.75356037151702782</v>
      </c>
      <c r="AN251" s="35">
        <f t="shared" si="164"/>
        <v>0.79094454072790299</v>
      </c>
      <c r="AO251" s="35">
        <f t="shared" si="165"/>
        <v>0.95273477812177498</v>
      </c>
      <c r="AP251" s="20">
        <v>4845</v>
      </c>
      <c r="AQ251" s="27">
        <f t="shared" si="250"/>
        <v>229</v>
      </c>
      <c r="AR251" s="20">
        <v>4616</v>
      </c>
      <c r="AS251" s="20">
        <v>3651</v>
      </c>
      <c r="AT251" s="20">
        <f t="shared" si="251"/>
        <v>965</v>
      </c>
      <c r="AU251" s="20"/>
      <c r="AV251" s="20"/>
      <c r="AW251" s="46">
        <v>2013</v>
      </c>
      <c r="AX251" s="47" t="s">
        <v>43</v>
      </c>
      <c r="AY251" s="35">
        <f t="shared" si="168"/>
        <v>0.55753968253968256</v>
      </c>
      <c r="AZ251" s="35">
        <f t="shared" si="169"/>
        <v>0.61487964989059085</v>
      </c>
      <c r="BA251" s="35">
        <f t="shared" si="170"/>
        <v>0.90674603174603174</v>
      </c>
      <c r="BB251" s="20">
        <v>504</v>
      </c>
      <c r="BC251" s="27">
        <f t="shared" si="252"/>
        <v>47</v>
      </c>
      <c r="BD251" s="20">
        <v>457</v>
      </c>
      <c r="BE251" s="20">
        <v>281</v>
      </c>
      <c r="BF251" s="20">
        <f t="shared" si="253"/>
        <v>176</v>
      </c>
      <c r="BG251" s="20"/>
      <c r="BH251" s="20"/>
      <c r="BI251" s="46">
        <v>2013</v>
      </c>
      <c r="BJ251" s="47" t="s">
        <v>43</v>
      </c>
      <c r="BK251" s="35">
        <f t="shared" si="173"/>
        <v>0.61426936283861122</v>
      </c>
      <c r="BL251" s="35">
        <f t="shared" si="174"/>
        <v>0.66091954022988508</v>
      </c>
      <c r="BM251" s="35">
        <f t="shared" si="175"/>
        <v>0.92941625333842048</v>
      </c>
      <c r="BN251" s="20">
        <v>2621</v>
      </c>
      <c r="BO251" s="27">
        <f t="shared" si="254"/>
        <v>185</v>
      </c>
      <c r="BP251" s="20">
        <v>2436</v>
      </c>
      <c r="BQ251" s="20">
        <v>1610</v>
      </c>
      <c r="BR251" s="20">
        <f t="shared" si="255"/>
        <v>826</v>
      </c>
      <c r="BS251" s="20"/>
      <c r="BT251" s="20"/>
      <c r="BU251" s="46">
        <v>2013</v>
      </c>
      <c r="BV251" s="47" t="s">
        <v>43</v>
      </c>
      <c r="BW251" s="35">
        <f t="shared" si="178"/>
        <v>0.59048332708879725</v>
      </c>
      <c r="BX251" s="35">
        <f t="shared" si="179"/>
        <v>0.81615743138270325</v>
      </c>
      <c r="BY251" s="35">
        <f t="shared" si="180"/>
        <v>0.72349194454852006</v>
      </c>
      <c r="BZ251" s="20">
        <v>2669</v>
      </c>
      <c r="CA251" s="27">
        <f t="shared" si="256"/>
        <v>738</v>
      </c>
      <c r="CB251" s="20">
        <v>1931</v>
      </c>
      <c r="CC251" s="20">
        <v>1576</v>
      </c>
      <c r="CD251" s="20">
        <f t="shared" si="257"/>
        <v>355</v>
      </c>
      <c r="CE251" s="20"/>
      <c r="CF251" s="20"/>
      <c r="CG251" s="46">
        <v>2013</v>
      </c>
      <c r="CH251" s="47" t="s">
        <v>43</v>
      </c>
      <c r="CI251" s="35">
        <f t="shared" si="203"/>
        <v>0.32768361581920902</v>
      </c>
      <c r="CJ251" s="35">
        <f t="shared" si="204"/>
        <v>0.46077457795431975</v>
      </c>
      <c r="CK251" s="35">
        <f t="shared" si="205"/>
        <v>0.71115819209039544</v>
      </c>
      <c r="CL251" s="20">
        <v>2832</v>
      </c>
      <c r="CM251" s="20">
        <f t="shared" si="186"/>
        <v>818</v>
      </c>
      <c r="CN251" s="20">
        <v>2014</v>
      </c>
      <c r="CO251" s="20">
        <v>928</v>
      </c>
      <c r="CP251" s="20">
        <f t="shared" si="187"/>
        <v>1086</v>
      </c>
      <c r="CQ251" s="20"/>
      <c r="CR251" s="20"/>
      <c r="CS251" s="46">
        <v>2013</v>
      </c>
      <c r="CT251" s="47" t="s">
        <v>43</v>
      </c>
      <c r="CU251" s="35">
        <f t="shared" si="188"/>
        <v>0.29099999999999998</v>
      </c>
      <c r="CV251" s="35">
        <f t="shared" si="189"/>
        <v>0.55534351145038163</v>
      </c>
      <c r="CW251" s="35">
        <f t="shared" si="190"/>
        <v>0.52400000000000002</v>
      </c>
      <c r="CX251" s="20">
        <v>1000</v>
      </c>
      <c r="CY251" s="27">
        <f t="shared" si="258"/>
        <v>476</v>
      </c>
      <c r="CZ251" s="20">
        <v>524</v>
      </c>
      <c r="DA251" s="20">
        <v>291</v>
      </c>
      <c r="DB251" s="20">
        <f t="shared" si="259"/>
        <v>233</v>
      </c>
      <c r="DC251" s="20"/>
      <c r="DD251" s="20"/>
      <c r="DE251" s="46">
        <v>2013</v>
      </c>
      <c r="DF251" s="47" t="s">
        <v>43</v>
      </c>
      <c r="DG251" s="35">
        <f t="shared" si="193"/>
        <v>0.63920454545454541</v>
      </c>
      <c r="DH251" s="35">
        <f t="shared" si="194"/>
        <v>0.907258064516129</v>
      </c>
      <c r="DI251" s="35">
        <f t="shared" si="195"/>
        <v>0.70454545454545459</v>
      </c>
      <c r="DJ251" s="20">
        <v>1408</v>
      </c>
      <c r="DK251" s="27">
        <f t="shared" si="260"/>
        <v>416</v>
      </c>
      <c r="DL251" s="20">
        <v>992</v>
      </c>
      <c r="DM251" s="20">
        <v>900</v>
      </c>
      <c r="DN251" s="20">
        <f t="shared" si="261"/>
        <v>92</v>
      </c>
      <c r="DO251" s="20"/>
      <c r="DP251" s="20"/>
      <c r="DQ251" s="46"/>
      <c r="DR251" s="47"/>
      <c r="DS251" s="35"/>
      <c r="DT251" s="35"/>
      <c r="DU251" s="35"/>
      <c r="DV251" s="27"/>
      <c r="DW251" s="27"/>
      <c r="DX251" s="27"/>
      <c r="DY251" s="27"/>
      <c r="DZ251" s="27"/>
      <c r="EA251" s="27"/>
      <c r="EB251" s="27"/>
      <c r="EJ251" s="29"/>
      <c r="EK251" s="29"/>
      <c r="EL251" s="29"/>
    </row>
    <row r="252" spans="1:142" s="34" customFormat="1" ht="12.95" customHeight="1">
      <c r="A252" s="45">
        <v>2013</v>
      </c>
      <c r="B252" s="48" t="s">
        <v>44</v>
      </c>
      <c r="C252" s="35">
        <f t="shared" si="198"/>
        <v>0.59385589441769215</v>
      </c>
      <c r="D252" s="35">
        <f t="shared" si="199"/>
        <v>0.69168051516410467</v>
      </c>
      <c r="E252" s="35">
        <f t="shared" si="200"/>
        <v>0.85856964508649902</v>
      </c>
      <c r="F25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22428</v>
      </c>
      <c r="G252" s="20">
        <f t="shared" si="201"/>
        <v>3172</v>
      </c>
      <c r="H25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19256</v>
      </c>
      <c r="I25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13319</v>
      </c>
      <c r="J252" s="20">
        <f t="shared" si="202"/>
        <v>5937</v>
      </c>
      <c r="K252" s="27"/>
      <c r="L252" s="27"/>
      <c r="M252" s="45">
        <v>2013</v>
      </c>
      <c r="N252" s="48" t="s">
        <v>44</v>
      </c>
      <c r="O252" s="35">
        <f t="shared" si="158"/>
        <v>0.64910698177882009</v>
      </c>
      <c r="P252" s="35">
        <f t="shared" si="159"/>
        <v>0.6967467079783114</v>
      </c>
      <c r="Q252" s="35">
        <f t="shared" si="160"/>
        <v>0.93162547357026881</v>
      </c>
      <c r="R252" s="20">
        <v>5543</v>
      </c>
      <c r="S252" s="27">
        <f t="shared" si="248"/>
        <v>379</v>
      </c>
      <c r="T252" s="20">
        <v>5164</v>
      </c>
      <c r="U252" s="20">
        <v>3598</v>
      </c>
      <c r="V252" s="20">
        <f t="shared" si="249"/>
        <v>1566</v>
      </c>
      <c r="W252" s="20"/>
      <c r="X252" s="20"/>
      <c r="Y252" s="45"/>
      <c r="Z252" s="48"/>
      <c r="AA252" s="35"/>
      <c r="AB252" s="35"/>
      <c r="AC252" s="35"/>
      <c r="AD252" s="20"/>
      <c r="AE252" s="27"/>
      <c r="AF252" s="20"/>
      <c r="AG252" s="20"/>
      <c r="AH252" s="20"/>
      <c r="AI252" s="20"/>
      <c r="AJ252" s="20"/>
      <c r="AK252" s="45">
        <v>2013</v>
      </c>
      <c r="AL252" s="48" t="s">
        <v>44</v>
      </c>
      <c r="AM252" s="35">
        <f t="shared" si="163"/>
        <v>0.66909230180007662</v>
      </c>
      <c r="AN252" s="35">
        <f t="shared" si="164"/>
        <v>0.721602643535729</v>
      </c>
      <c r="AO252" s="35">
        <f t="shared" si="165"/>
        <v>0.92723094599770206</v>
      </c>
      <c r="AP252" s="20">
        <v>5222</v>
      </c>
      <c r="AQ252" s="27">
        <f t="shared" si="250"/>
        <v>380</v>
      </c>
      <c r="AR252" s="20">
        <v>4842</v>
      </c>
      <c r="AS252" s="20">
        <v>3494</v>
      </c>
      <c r="AT252" s="20">
        <f t="shared" si="251"/>
        <v>1348</v>
      </c>
      <c r="AU252" s="20"/>
      <c r="AV252" s="20"/>
      <c r="AW252" s="45">
        <v>2013</v>
      </c>
      <c r="AX252" s="48" t="s">
        <v>44</v>
      </c>
      <c r="AY252" s="35">
        <f t="shared" si="168"/>
        <v>0.50974025974025972</v>
      </c>
      <c r="AZ252" s="35">
        <f t="shared" si="169"/>
        <v>0.56171735241502685</v>
      </c>
      <c r="BA252" s="35">
        <f t="shared" si="170"/>
        <v>0.90746753246753242</v>
      </c>
      <c r="BB252" s="20">
        <v>616</v>
      </c>
      <c r="BC252" s="27">
        <f t="shared" si="252"/>
        <v>57</v>
      </c>
      <c r="BD252" s="20">
        <v>559</v>
      </c>
      <c r="BE252" s="20">
        <v>314</v>
      </c>
      <c r="BF252" s="20">
        <f t="shared" si="253"/>
        <v>245</v>
      </c>
      <c r="BG252" s="20"/>
      <c r="BH252" s="20"/>
      <c r="BI252" s="45">
        <v>2013</v>
      </c>
      <c r="BJ252" s="48" t="s">
        <v>44</v>
      </c>
      <c r="BK252" s="35">
        <f t="shared" si="173"/>
        <v>0.59140173410404628</v>
      </c>
      <c r="BL252" s="35">
        <f t="shared" si="174"/>
        <v>0.65271132376395535</v>
      </c>
      <c r="BM252" s="35">
        <f t="shared" si="175"/>
        <v>0.90606936416184969</v>
      </c>
      <c r="BN252" s="20">
        <v>2768</v>
      </c>
      <c r="BO252" s="27">
        <f t="shared" si="254"/>
        <v>260</v>
      </c>
      <c r="BP252" s="20">
        <v>2508</v>
      </c>
      <c r="BQ252" s="20">
        <v>1637</v>
      </c>
      <c r="BR252" s="20">
        <f t="shared" si="255"/>
        <v>871</v>
      </c>
      <c r="BS252" s="20"/>
      <c r="BT252" s="20"/>
      <c r="BU252" s="45">
        <v>2013</v>
      </c>
      <c r="BV252" s="48" t="s">
        <v>44</v>
      </c>
      <c r="BW252" s="35">
        <f t="shared" si="178"/>
        <v>0.70596590909090906</v>
      </c>
      <c r="BX252" s="35">
        <f t="shared" si="179"/>
        <v>0.79967819790828643</v>
      </c>
      <c r="BY252" s="35">
        <f t="shared" si="180"/>
        <v>0.8828125</v>
      </c>
      <c r="BZ252" s="20">
        <v>2816</v>
      </c>
      <c r="CA252" s="27">
        <f t="shared" si="256"/>
        <v>330</v>
      </c>
      <c r="CB252" s="20">
        <v>2486</v>
      </c>
      <c r="CC252" s="20">
        <v>1988</v>
      </c>
      <c r="CD252" s="20">
        <f t="shared" si="257"/>
        <v>498</v>
      </c>
      <c r="CE252" s="20"/>
      <c r="CF252" s="20"/>
      <c r="CG252" s="45">
        <v>2013</v>
      </c>
      <c r="CH252" s="48" t="s">
        <v>44</v>
      </c>
      <c r="CI252" s="35">
        <f t="shared" si="203"/>
        <v>0.37856902922405106</v>
      </c>
      <c r="CJ252" s="35">
        <f t="shared" si="204"/>
        <v>0.5108794197642792</v>
      </c>
      <c r="CK252" s="35">
        <f t="shared" si="205"/>
        <v>0.74101444407121264</v>
      </c>
      <c r="CL252" s="20">
        <v>2977</v>
      </c>
      <c r="CM252" s="20">
        <f t="shared" si="186"/>
        <v>771</v>
      </c>
      <c r="CN252" s="20">
        <v>2206</v>
      </c>
      <c r="CO252" s="20">
        <v>1127</v>
      </c>
      <c r="CP252" s="20">
        <f t="shared" si="187"/>
        <v>1079</v>
      </c>
      <c r="CQ252" s="20"/>
      <c r="CR252" s="20"/>
      <c r="CS252" s="45">
        <v>2013</v>
      </c>
      <c r="CT252" s="48" t="s">
        <v>44</v>
      </c>
      <c r="CU252" s="35">
        <f t="shared" si="188"/>
        <v>0.26335877862595419</v>
      </c>
      <c r="CV252" s="35">
        <f t="shared" si="189"/>
        <v>0.51396648044692739</v>
      </c>
      <c r="CW252" s="35">
        <f t="shared" si="190"/>
        <v>0.51240458015267176</v>
      </c>
      <c r="CX252" s="20">
        <v>1048</v>
      </c>
      <c r="CY252" s="27">
        <f t="shared" si="258"/>
        <v>511</v>
      </c>
      <c r="CZ252" s="20">
        <v>537</v>
      </c>
      <c r="DA252" s="20">
        <v>276</v>
      </c>
      <c r="DB252" s="20">
        <f t="shared" si="259"/>
        <v>261</v>
      </c>
      <c r="DC252" s="20"/>
      <c r="DD252" s="20"/>
      <c r="DE252" s="45">
        <v>2013</v>
      </c>
      <c r="DF252" s="48" t="s">
        <v>44</v>
      </c>
      <c r="DG252" s="35">
        <f t="shared" si="193"/>
        <v>0.6154381084840056</v>
      </c>
      <c r="DH252" s="35">
        <f t="shared" si="194"/>
        <v>0.92767295597484278</v>
      </c>
      <c r="DI252" s="35">
        <f t="shared" si="195"/>
        <v>0.66342141863699577</v>
      </c>
      <c r="DJ252" s="20">
        <v>1438</v>
      </c>
      <c r="DK252" s="27">
        <f t="shared" si="260"/>
        <v>484</v>
      </c>
      <c r="DL252" s="20">
        <v>954</v>
      </c>
      <c r="DM252" s="20">
        <v>885</v>
      </c>
      <c r="DN252" s="20">
        <f t="shared" si="261"/>
        <v>69</v>
      </c>
      <c r="DO252" s="20"/>
      <c r="DP252" s="20"/>
      <c r="DQ252" s="45"/>
      <c r="DR252" s="48"/>
      <c r="DS252" s="35"/>
      <c r="DT252" s="35"/>
      <c r="DU252" s="35"/>
      <c r="DV252" s="27"/>
      <c r="DW252" s="27"/>
      <c r="DX252" s="27"/>
      <c r="DY252" s="27"/>
      <c r="DZ252" s="27"/>
      <c r="EA252" s="27"/>
      <c r="EB252" s="27"/>
      <c r="EJ252" s="29"/>
      <c r="EK252" s="29"/>
      <c r="EL252" s="29"/>
    </row>
    <row r="253" spans="1:142" s="34" customFormat="1" ht="12.95" customHeight="1">
      <c r="A253" s="46">
        <v>2013</v>
      </c>
      <c r="B253" s="47" t="s">
        <v>45</v>
      </c>
      <c r="C253" s="35">
        <f t="shared" si="198"/>
        <v>0.53855782556216192</v>
      </c>
      <c r="D253" s="35">
        <f t="shared" si="199"/>
        <v>0.62928332636857498</v>
      </c>
      <c r="E253" s="35">
        <f t="shared" si="200"/>
        <v>0.85582726094148154</v>
      </c>
      <c r="F25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22369</v>
      </c>
      <c r="G253" s="20">
        <f t="shared" si="201"/>
        <v>3225</v>
      </c>
      <c r="H25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19144</v>
      </c>
      <c r="I25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12047</v>
      </c>
      <c r="J253" s="20">
        <f t="shared" si="202"/>
        <v>7097</v>
      </c>
      <c r="K253" s="27"/>
      <c r="L253" s="27"/>
      <c r="M253" s="46">
        <v>2013</v>
      </c>
      <c r="N253" s="47" t="s">
        <v>45</v>
      </c>
      <c r="O253" s="35">
        <f t="shared" si="158"/>
        <v>0.58944121915820025</v>
      </c>
      <c r="P253" s="35">
        <f t="shared" si="159"/>
        <v>0.63506645817044571</v>
      </c>
      <c r="Q253" s="35">
        <f t="shared" si="160"/>
        <v>0.92815674891146593</v>
      </c>
      <c r="R253" s="20">
        <v>5512</v>
      </c>
      <c r="S253" s="27">
        <f t="shared" si="248"/>
        <v>396</v>
      </c>
      <c r="T253" s="20">
        <v>5116</v>
      </c>
      <c r="U253" s="20">
        <v>3249</v>
      </c>
      <c r="V253" s="20">
        <f t="shared" si="249"/>
        <v>1867</v>
      </c>
      <c r="W253" s="20"/>
      <c r="X253" s="20"/>
      <c r="Y253" s="46"/>
      <c r="Z253" s="47"/>
      <c r="AA253" s="35"/>
      <c r="AB253" s="35"/>
      <c r="AC253" s="35"/>
      <c r="AD253" s="20"/>
      <c r="AE253" s="27"/>
      <c r="AF253" s="20"/>
      <c r="AG253" s="20"/>
      <c r="AH253" s="20"/>
      <c r="AI253" s="20"/>
      <c r="AJ253" s="20"/>
      <c r="AK253" s="46">
        <v>2013</v>
      </c>
      <c r="AL253" s="47" t="s">
        <v>45</v>
      </c>
      <c r="AM253" s="35">
        <f t="shared" si="163"/>
        <v>0.58688965782391389</v>
      </c>
      <c r="AN253" s="35">
        <f t="shared" si="164"/>
        <v>0.62741471434443075</v>
      </c>
      <c r="AO253" s="35">
        <f t="shared" si="165"/>
        <v>0.93540945790080743</v>
      </c>
      <c r="AP253" s="20">
        <v>5202</v>
      </c>
      <c r="AQ253" s="27">
        <f t="shared" si="250"/>
        <v>336</v>
      </c>
      <c r="AR253" s="20">
        <v>4866</v>
      </c>
      <c r="AS253" s="20">
        <v>3053</v>
      </c>
      <c r="AT253" s="20">
        <f t="shared" si="251"/>
        <v>1813</v>
      </c>
      <c r="AU253" s="20"/>
      <c r="AV253" s="20"/>
      <c r="AW253" s="46">
        <v>2013</v>
      </c>
      <c r="AX253" s="47" t="s">
        <v>45</v>
      </c>
      <c r="AY253" s="35">
        <f t="shared" si="168"/>
        <v>0.50850340136054417</v>
      </c>
      <c r="AZ253" s="35">
        <f t="shared" si="169"/>
        <v>0.59090909090909094</v>
      </c>
      <c r="BA253" s="35">
        <f t="shared" si="170"/>
        <v>0.86054421768707479</v>
      </c>
      <c r="BB253" s="20">
        <v>588</v>
      </c>
      <c r="BC253" s="27">
        <f t="shared" si="252"/>
        <v>82</v>
      </c>
      <c r="BD253" s="20">
        <v>506</v>
      </c>
      <c r="BE253" s="20">
        <v>299</v>
      </c>
      <c r="BF253" s="20">
        <f t="shared" si="253"/>
        <v>207</v>
      </c>
      <c r="BG253" s="20"/>
      <c r="BH253" s="20"/>
      <c r="BI253" s="46">
        <v>2013</v>
      </c>
      <c r="BJ253" s="47" t="s">
        <v>45</v>
      </c>
      <c r="BK253" s="35">
        <f t="shared" si="173"/>
        <v>0.49148242116708951</v>
      </c>
      <c r="BL253" s="35">
        <f t="shared" si="174"/>
        <v>0.52906749902458061</v>
      </c>
      <c r="BM253" s="35">
        <f t="shared" si="175"/>
        <v>0.92895976803189562</v>
      </c>
      <c r="BN253" s="20">
        <v>2759</v>
      </c>
      <c r="BO253" s="27">
        <f t="shared" si="254"/>
        <v>196</v>
      </c>
      <c r="BP253" s="20">
        <v>2563</v>
      </c>
      <c r="BQ253" s="20">
        <v>1356</v>
      </c>
      <c r="BR253" s="20">
        <f t="shared" si="255"/>
        <v>1207</v>
      </c>
      <c r="BS253" s="20"/>
      <c r="BT253" s="20"/>
      <c r="BU253" s="46">
        <v>2013</v>
      </c>
      <c r="BV253" s="47" t="s">
        <v>45</v>
      </c>
      <c r="BW253" s="35">
        <f t="shared" si="178"/>
        <v>0.65979381443298968</v>
      </c>
      <c r="BX253" s="35">
        <f t="shared" si="179"/>
        <v>0.75233076611268745</v>
      </c>
      <c r="BY253" s="35">
        <f t="shared" si="180"/>
        <v>0.87699964450764312</v>
      </c>
      <c r="BZ253" s="20">
        <v>2813</v>
      </c>
      <c r="CA253" s="27">
        <f t="shared" si="256"/>
        <v>346</v>
      </c>
      <c r="CB253" s="20">
        <v>2467</v>
      </c>
      <c r="CC253" s="20">
        <v>1856</v>
      </c>
      <c r="CD253" s="20">
        <f t="shared" si="257"/>
        <v>611</v>
      </c>
      <c r="CE253" s="20"/>
      <c r="CF253" s="20"/>
      <c r="CG253" s="46">
        <v>2013</v>
      </c>
      <c r="CH253" s="47" t="s">
        <v>45</v>
      </c>
      <c r="CI253" s="35">
        <f t="shared" si="203"/>
        <v>0.36801346801346801</v>
      </c>
      <c r="CJ253" s="35">
        <f t="shared" si="204"/>
        <v>0.50931966449207833</v>
      </c>
      <c r="CK253" s="35">
        <f t="shared" si="205"/>
        <v>0.72255892255892251</v>
      </c>
      <c r="CL253" s="20">
        <v>2970</v>
      </c>
      <c r="CM253" s="20">
        <f t="shared" si="186"/>
        <v>824</v>
      </c>
      <c r="CN253" s="20">
        <v>2146</v>
      </c>
      <c r="CO253" s="20">
        <v>1093</v>
      </c>
      <c r="CP253" s="20">
        <f t="shared" si="187"/>
        <v>1053</v>
      </c>
      <c r="CQ253" s="20"/>
      <c r="CR253" s="20"/>
      <c r="CS253" s="46">
        <v>2013</v>
      </c>
      <c r="CT253" s="47" t="s">
        <v>45</v>
      </c>
      <c r="CU253" s="35">
        <f t="shared" si="188"/>
        <v>0.28133971291866028</v>
      </c>
      <c r="CV253" s="35">
        <f t="shared" si="189"/>
        <v>0.54850746268656714</v>
      </c>
      <c r="CW253" s="35">
        <f t="shared" si="190"/>
        <v>0.51291866028708133</v>
      </c>
      <c r="CX253" s="20">
        <v>1045</v>
      </c>
      <c r="CY253" s="27">
        <f t="shared" si="258"/>
        <v>509</v>
      </c>
      <c r="CZ253" s="20">
        <v>536</v>
      </c>
      <c r="DA253" s="20">
        <v>294</v>
      </c>
      <c r="DB253" s="20">
        <f t="shared" si="259"/>
        <v>242</v>
      </c>
      <c r="DC253" s="20"/>
      <c r="DD253" s="20"/>
      <c r="DE253" s="46">
        <v>2013</v>
      </c>
      <c r="DF253" s="47" t="s">
        <v>45</v>
      </c>
      <c r="DG253" s="35">
        <f t="shared" si="193"/>
        <v>0.57229729729729728</v>
      </c>
      <c r="DH253" s="35">
        <f t="shared" si="194"/>
        <v>0.8972457627118644</v>
      </c>
      <c r="DI253" s="35">
        <f t="shared" si="195"/>
        <v>0.63783783783783787</v>
      </c>
      <c r="DJ253" s="20">
        <v>1480</v>
      </c>
      <c r="DK253" s="27">
        <f t="shared" si="260"/>
        <v>536</v>
      </c>
      <c r="DL253" s="20">
        <v>944</v>
      </c>
      <c r="DM253" s="20">
        <v>847</v>
      </c>
      <c r="DN253" s="20">
        <f t="shared" si="261"/>
        <v>97</v>
      </c>
      <c r="DO253" s="20"/>
      <c r="DP253" s="20"/>
      <c r="DQ253" s="46"/>
      <c r="DR253" s="47"/>
      <c r="DS253" s="35"/>
      <c r="DT253" s="35"/>
      <c r="DU253" s="35"/>
      <c r="DV253" s="27"/>
      <c r="DW253" s="27"/>
      <c r="DX253" s="27"/>
      <c r="DY253" s="27"/>
      <c r="DZ253" s="27"/>
      <c r="EA253" s="27"/>
      <c r="EB253" s="27"/>
      <c r="EJ253" s="29"/>
      <c r="EK253" s="29"/>
      <c r="EL253" s="29"/>
    </row>
    <row r="254" spans="1:142" s="34" customFormat="1" ht="12.95" customHeight="1">
      <c r="A254" s="45">
        <v>2013</v>
      </c>
      <c r="B254" s="48" t="s">
        <v>46</v>
      </c>
      <c r="C254" s="35">
        <f t="shared" si="198"/>
        <v>0.58659475406813255</v>
      </c>
      <c r="D254" s="35">
        <f t="shared" si="199"/>
        <v>0.69278092334494779</v>
      </c>
      <c r="E254" s="35">
        <f t="shared" si="200"/>
        <v>0.84672474991932878</v>
      </c>
      <c r="F25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21693</v>
      </c>
      <c r="G254" s="20">
        <f t="shared" si="201"/>
        <v>3325</v>
      </c>
      <c r="H25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18368</v>
      </c>
      <c r="I25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12725</v>
      </c>
      <c r="J254" s="20">
        <f t="shared" si="202"/>
        <v>5643</v>
      </c>
      <c r="K254" s="27"/>
      <c r="L254" s="27"/>
      <c r="M254" s="45">
        <v>2013</v>
      </c>
      <c r="N254" s="48" t="s">
        <v>46</v>
      </c>
      <c r="O254" s="35">
        <f t="shared" si="158"/>
        <v>0.64627759072203517</v>
      </c>
      <c r="P254" s="35">
        <f t="shared" si="159"/>
        <v>0.69531092775206282</v>
      </c>
      <c r="Q254" s="35">
        <f t="shared" si="160"/>
        <v>0.92947998503554063</v>
      </c>
      <c r="R254" s="20">
        <v>5346</v>
      </c>
      <c r="S254" s="27">
        <f t="shared" si="248"/>
        <v>377</v>
      </c>
      <c r="T254" s="20">
        <v>4969</v>
      </c>
      <c r="U254" s="20">
        <v>3455</v>
      </c>
      <c r="V254" s="20">
        <f t="shared" si="249"/>
        <v>1514</v>
      </c>
      <c r="W254" s="20"/>
      <c r="X254" s="20"/>
      <c r="Y254" s="45"/>
      <c r="Z254" s="48"/>
      <c r="AA254" s="35"/>
      <c r="AB254" s="35"/>
      <c r="AC254" s="35"/>
      <c r="AD254" s="20"/>
      <c r="AE254" s="27"/>
      <c r="AF254" s="20"/>
      <c r="AG254" s="20"/>
      <c r="AH254" s="20"/>
      <c r="AI254" s="20"/>
      <c r="AJ254" s="20"/>
      <c r="AK254" s="45">
        <v>2013</v>
      </c>
      <c r="AL254" s="48" t="s">
        <v>46</v>
      </c>
      <c r="AM254" s="35">
        <f t="shared" si="163"/>
        <v>0.61865079365079367</v>
      </c>
      <c r="AN254" s="35">
        <f t="shared" si="164"/>
        <v>0.67489177489177488</v>
      </c>
      <c r="AO254" s="35">
        <f t="shared" si="165"/>
        <v>0.91666666666666663</v>
      </c>
      <c r="AP254" s="20">
        <v>5040</v>
      </c>
      <c r="AQ254" s="27">
        <f t="shared" si="250"/>
        <v>420</v>
      </c>
      <c r="AR254" s="20">
        <v>4620</v>
      </c>
      <c r="AS254" s="20">
        <v>3118</v>
      </c>
      <c r="AT254" s="20">
        <f t="shared" si="251"/>
        <v>1502</v>
      </c>
      <c r="AU254" s="20"/>
      <c r="AV254" s="20"/>
      <c r="AW254" s="45">
        <v>2013</v>
      </c>
      <c r="AX254" s="48" t="s">
        <v>46</v>
      </c>
      <c r="AY254" s="35">
        <f t="shared" si="168"/>
        <v>0.54761904761904767</v>
      </c>
      <c r="AZ254" s="35">
        <f t="shared" si="169"/>
        <v>0.6598360655737705</v>
      </c>
      <c r="BA254" s="35">
        <f t="shared" si="170"/>
        <v>0.82993197278911568</v>
      </c>
      <c r="BB254" s="20">
        <v>588</v>
      </c>
      <c r="BC254" s="27">
        <f t="shared" si="252"/>
        <v>100</v>
      </c>
      <c r="BD254" s="20">
        <v>488</v>
      </c>
      <c r="BE254" s="20">
        <v>322</v>
      </c>
      <c r="BF254" s="20">
        <f t="shared" si="253"/>
        <v>166</v>
      </c>
      <c r="BG254" s="20"/>
      <c r="BH254" s="20"/>
      <c r="BI254" s="45">
        <v>2013</v>
      </c>
      <c r="BJ254" s="48" t="s">
        <v>46</v>
      </c>
      <c r="BK254" s="35">
        <f t="shared" si="173"/>
        <v>0.59872849663425576</v>
      </c>
      <c r="BL254" s="35">
        <f t="shared" si="174"/>
        <v>0.64504431909750204</v>
      </c>
      <c r="BM254" s="35">
        <f t="shared" si="175"/>
        <v>0.9281974569932685</v>
      </c>
      <c r="BN254" s="20">
        <v>2674</v>
      </c>
      <c r="BO254" s="27">
        <f t="shared" si="254"/>
        <v>192</v>
      </c>
      <c r="BP254" s="20">
        <v>2482</v>
      </c>
      <c r="BQ254" s="20">
        <v>1601</v>
      </c>
      <c r="BR254" s="20">
        <f t="shared" si="255"/>
        <v>881</v>
      </c>
      <c r="BS254" s="20"/>
      <c r="BT254" s="20"/>
      <c r="BU254" s="45">
        <v>2013</v>
      </c>
      <c r="BV254" s="48" t="s">
        <v>46</v>
      </c>
      <c r="BW254" s="35">
        <f t="shared" si="178"/>
        <v>0.68185157972079358</v>
      </c>
      <c r="BX254" s="35">
        <f t="shared" si="179"/>
        <v>0.79418057338468118</v>
      </c>
      <c r="BY254" s="35">
        <f t="shared" si="180"/>
        <v>0.85855988243938286</v>
      </c>
      <c r="BZ254" s="20">
        <v>2722</v>
      </c>
      <c r="CA254" s="27">
        <f t="shared" si="256"/>
        <v>385</v>
      </c>
      <c r="CB254" s="20">
        <v>2337</v>
      </c>
      <c r="CC254" s="20">
        <v>1856</v>
      </c>
      <c r="CD254" s="20">
        <f t="shared" si="257"/>
        <v>481</v>
      </c>
      <c r="CE254" s="20"/>
      <c r="CF254" s="20"/>
      <c r="CG254" s="45">
        <v>2013</v>
      </c>
      <c r="CH254" s="48" t="s">
        <v>46</v>
      </c>
      <c r="CI254" s="35">
        <f t="shared" si="203"/>
        <v>0.4181438998957247</v>
      </c>
      <c r="CJ254" s="35">
        <f t="shared" si="204"/>
        <v>0.57920077034183914</v>
      </c>
      <c r="CK254" s="35">
        <f t="shared" si="205"/>
        <v>0.72193256864789712</v>
      </c>
      <c r="CL254" s="20">
        <v>2877</v>
      </c>
      <c r="CM254" s="20">
        <f t="shared" si="186"/>
        <v>800</v>
      </c>
      <c r="CN254" s="20">
        <v>2077</v>
      </c>
      <c r="CO254" s="20">
        <v>1203</v>
      </c>
      <c r="CP254" s="20">
        <f t="shared" si="187"/>
        <v>874</v>
      </c>
      <c r="CQ254" s="20"/>
      <c r="CR254" s="20"/>
      <c r="CS254" s="45">
        <v>2013</v>
      </c>
      <c r="CT254" s="48" t="s">
        <v>46</v>
      </c>
      <c r="CU254" s="35">
        <f t="shared" si="188"/>
        <v>0.28726554787759129</v>
      </c>
      <c r="CV254" s="35">
        <f t="shared" si="189"/>
        <v>0.61006289308176098</v>
      </c>
      <c r="CW254" s="35">
        <f t="shared" si="190"/>
        <v>0.47087857847976305</v>
      </c>
      <c r="CX254" s="20">
        <v>1013</v>
      </c>
      <c r="CY254" s="27">
        <f t="shared" si="258"/>
        <v>536</v>
      </c>
      <c r="CZ254" s="20">
        <v>477</v>
      </c>
      <c r="DA254" s="20">
        <v>291</v>
      </c>
      <c r="DB254" s="20">
        <f t="shared" si="259"/>
        <v>186</v>
      </c>
      <c r="DC254" s="20"/>
      <c r="DD254" s="20"/>
      <c r="DE254" s="45">
        <v>2013</v>
      </c>
      <c r="DF254" s="48" t="s">
        <v>46</v>
      </c>
      <c r="DG254" s="35">
        <f t="shared" si="193"/>
        <v>0.61339846475924631</v>
      </c>
      <c r="DH254" s="35">
        <f t="shared" si="194"/>
        <v>0.95751633986928109</v>
      </c>
      <c r="DI254" s="35">
        <f t="shared" si="195"/>
        <v>0.64061409630146549</v>
      </c>
      <c r="DJ254" s="20">
        <v>1433</v>
      </c>
      <c r="DK254" s="27">
        <f t="shared" si="260"/>
        <v>515</v>
      </c>
      <c r="DL254" s="20">
        <v>918</v>
      </c>
      <c r="DM254" s="20">
        <v>879</v>
      </c>
      <c r="DN254" s="20">
        <f t="shared" si="261"/>
        <v>39</v>
      </c>
      <c r="DO254" s="20"/>
      <c r="DP254" s="20"/>
      <c r="DQ254" s="45"/>
      <c r="DR254" s="48"/>
      <c r="DS254" s="35"/>
      <c r="DT254" s="35"/>
      <c r="DU254" s="35"/>
      <c r="DV254" s="27"/>
      <c r="DW254" s="27"/>
      <c r="DX254" s="27"/>
      <c r="DY254" s="27"/>
      <c r="DZ254" s="27"/>
      <c r="EA254" s="27"/>
      <c r="EB254" s="27"/>
      <c r="EJ254" s="29"/>
      <c r="EK254" s="29"/>
      <c r="EL254" s="29"/>
    </row>
    <row r="255" spans="1:142" s="34" customFormat="1" ht="12.95" customHeight="1">
      <c r="A255" s="46">
        <v>2013</v>
      </c>
      <c r="B255" s="47" t="s">
        <v>47</v>
      </c>
      <c r="C255" s="35">
        <f t="shared" si="198"/>
        <v>0.64950882339867533</v>
      </c>
      <c r="D255" s="35">
        <f t="shared" si="199"/>
        <v>0.73144115733093062</v>
      </c>
      <c r="E255" s="35">
        <f t="shared" si="200"/>
        <v>0.88798506467529004</v>
      </c>
      <c r="F25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G255" s="20">
        <f t="shared" si="201"/>
        <v>2520</v>
      </c>
      <c r="H25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19977</v>
      </c>
      <c r="I25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14612</v>
      </c>
      <c r="J255" s="20">
        <f t="shared" si="202"/>
        <v>5365</v>
      </c>
      <c r="K255" s="27"/>
      <c r="L255" s="27"/>
      <c r="M255" s="46">
        <v>2013</v>
      </c>
      <c r="N255" s="47" t="s">
        <v>47</v>
      </c>
      <c r="O255" s="35">
        <f t="shared" si="158"/>
        <v>0.70016207455429502</v>
      </c>
      <c r="P255" s="35">
        <f t="shared" si="159"/>
        <v>0.73192771084337349</v>
      </c>
      <c r="Q255" s="35">
        <f t="shared" si="160"/>
        <v>0.95660003601656762</v>
      </c>
      <c r="R255" s="20">
        <v>5553</v>
      </c>
      <c r="S255" s="27">
        <f t="shared" si="248"/>
        <v>241</v>
      </c>
      <c r="T255" s="20">
        <v>5312</v>
      </c>
      <c r="U255" s="20">
        <v>3888</v>
      </c>
      <c r="V255" s="20">
        <f t="shared" si="249"/>
        <v>1424</v>
      </c>
      <c r="W255" s="20"/>
      <c r="X255" s="20"/>
      <c r="Y255" s="46"/>
      <c r="Z255" s="47"/>
      <c r="AA255" s="35"/>
      <c r="AB255" s="35"/>
      <c r="AC255" s="35"/>
      <c r="AD255" s="20"/>
      <c r="AE255" s="27"/>
      <c r="AF255" s="20"/>
      <c r="AG255" s="20"/>
      <c r="AH255" s="20"/>
      <c r="AI255" s="20"/>
      <c r="AJ255" s="20"/>
      <c r="AK255" s="46">
        <v>2013</v>
      </c>
      <c r="AL255" s="47" t="s">
        <v>47</v>
      </c>
      <c r="AM255" s="35">
        <f t="shared" si="163"/>
        <v>0.70775993883792054</v>
      </c>
      <c r="AN255" s="35">
        <f t="shared" si="164"/>
        <v>0.73794340374651257</v>
      </c>
      <c r="AO255" s="35">
        <f t="shared" si="165"/>
        <v>0.95909785932721714</v>
      </c>
      <c r="AP255" s="20">
        <v>5232</v>
      </c>
      <c r="AQ255" s="27">
        <f t="shared" si="250"/>
        <v>214</v>
      </c>
      <c r="AR255" s="20">
        <v>5018</v>
      </c>
      <c r="AS255" s="20">
        <v>3703</v>
      </c>
      <c r="AT255" s="20">
        <f t="shared" si="251"/>
        <v>1315</v>
      </c>
      <c r="AU255" s="20"/>
      <c r="AV255" s="20"/>
      <c r="AW255" s="46">
        <v>2013</v>
      </c>
      <c r="AX255" s="47" t="s">
        <v>47</v>
      </c>
      <c r="AY255" s="35">
        <f t="shared" si="168"/>
        <v>0.67532467532467533</v>
      </c>
      <c r="AZ255" s="35">
        <f t="shared" si="169"/>
        <v>0.73628318584070795</v>
      </c>
      <c r="BA255" s="35">
        <f t="shared" si="170"/>
        <v>0.91720779220779225</v>
      </c>
      <c r="BB255" s="20">
        <v>616</v>
      </c>
      <c r="BC255" s="27">
        <f t="shared" si="252"/>
        <v>51</v>
      </c>
      <c r="BD255" s="20">
        <v>565</v>
      </c>
      <c r="BE255" s="20">
        <v>416</v>
      </c>
      <c r="BF255" s="20">
        <f t="shared" si="253"/>
        <v>149</v>
      </c>
      <c r="BG255" s="20"/>
      <c r="BH255" s="20"/>
      <c r="BI255" s="46">
        <v>2013</v>
      </c>
      <c r="BJ255" s="47" t="s">
        <v>47</v>
      </c>
      <c r="BK255" s="35">
        <f t="shared" si="173"/>
        <v>0.60368497109826591</v>
      </c>
      <c r="BL255" s="35">
        <f t="shared" si="174"/>
        <v>0.64517374517374515</v>
      </c>
      <c r="BM255" s="35">
        <f t="shared" si="175"/>
        <v>0.93569364161849711</v>
      </c>
      <c r="BN255" s="20">
        <v>2768</v>
      </c>
      <c r="BO255" s="27">
        <f t="shared" si="254"/>
        <v>178</v>
      </c>
      <c r="BP255" s="20">
        <v>2590</v>
      </c>
      <c r="BQ255" s="20">
        <v>1671</v>
      </c>
      <c r="BR255" s="20">
        <f t="shared" si="255"/>
        <v>919</v>
      </c>
      <c r="BS255" s="20"/>
      <c r="BT255" s="20"/>
      <c r="BU255" s="46">
        <v>2013</v>
      </c>
      <c r="BV255" s="47" t="s">
        <v>47</v>
      </c>
      <c r="BW255" s="35">
        <f t="shared" si="178"/>
        <v>0.75567375886524824</v>
      </c>
      <c r="BX255" s="35">
        <f t="shared" si="179"/>
        <v>0.83112324492979717</v>
      </c>
      <c r="BY255" s="35">
        <f t="shared" si="180"/>
        <v>0.90921985815602835</v>
      </c>
      <c r="BZ255" s="20">
        <v>2820</v>
      </c>
      <c r="CA255" s="27">
        <f t="shared" si="256"/>
        <v>256</v>
      </c>
      <c r="CB255" s="20">
        <v>2564</v>
      </c>
      <c r="CC255" s="20">
        <v>2131</v>
      </c>
      <c r="CD255" s="20">
        <f t="shared" si="257"/>
        <v>433</v>
      </c>
      <c r="CE255" s="20"/>
      <c r="CF255" s="20"/>
      <c r="CG255" s="46">
        <v>2013</v>
      </c>
      <c r="CH255" s="47" t="s">
        <v>47</v>
      </c>
      <c r="CI255" s="35">
        <f t="shared" si="203"/>
        <v>0.45482028888142423</v>
      </c>
      <c r="CJ255" s="35">
        <f t="shared" si="204"/>
        <v>0.61685649202733484</v>
      </c>
      <c r="CK255" s="35">
        <f t="shared" si="205"/>
        <v>0.73731944910984215</v>
      </c>
      <c r="CL255" s="20">
        <v>2977</v>
      </c>
      <c r="CM255" s="20">
        <f t="shared" si="186"/>
        <v>782</v>
      </c>
      <c r="CN255" s="20">
        <v>2195</v>
      </c>
      <c r="CO255" s="20">
        <v>1354</v>
      </c>
      <c r="CP255" s="20">
        <f t="shared" si="187"/>
        <v>841</v>
      </c>
      <c r="CQ255" s="20"/>
      <c r="CR255" s="20"/>
      <c r="CS255" s="46">
        <v>2013</v>
      </c>
      <c r="CT255" s="47" t="s">
        <v>47</v>
      </c>
      <c r="CU255" s="35">
        <f t="shared" si="188"/>
        <v>0.26049618320610685</v>
      </c>
      <c r="CV255" s="35">
        <f t="shared" si="189"/>
        <v>0.55375253549695735</v>
      </c>
      <c r="CW255" s="35">
        <f t="shared" si="190"/>
        <v>0.47041984732824427</v>
      </c>
      <c r="CX255" s="20">
        <v>1048</v>
      </c>
      <c r="CY255" s="27">
        <f t="shared" si="258"/>
        <v>555</v>
      </c>
      <c r="CZ255" s="20">
        <v>493</v>
      </c>
      <c r="DA255" s="20">
        <v>273</v>
      </c>
      <c r="DB255" s="20">
        <f t="shared" si="259"/>
        <v>220</v>
      </c>
      <c r="DC255" s="20"/>
      <c r="DD255" s="20"/>
      <c r="DE255" s="46">
        <v>2013</v>
      </c>
      <c r="DF255" s="47" t="s">
        <v>47</v>
      </c>
      <c r="DG255" s="35">
        <f t="shared" si="193"/>
        <v>0.79298718813216451</v>
      </c>
      <c r="DH255" s="35">
        <f t="shared" si="194"/>
        <v>0.94838709677419353</v>
      </c>
      <c r="DI255" s="35">
        <f t="shared" si="195"/>
        <v>0.83614295347269052</v>
      </c>
      <c r="DJ255" s="20">
        <v>1483</v>
      </c>
      <c r="DK255" s="27">
        <f t="shared" si="260"/>
        <v>243</v>
      </c>
      <c r="DL255" s="20">
        <v>1240</v>
      </c>
      <c r="DM255" s="20">
        <v>1176</v>
      </c>
      <c r="DN255" s="20">
        <f t="shared" si="261"/>
        <v>64</v>
      </c>
      <c r="DO255" s="20"/>
      <c r="DP255" s="20"/>
      <c r="DQ255" s="46"/>
      <c r="DR255" s="47"/>
      <c r="DS255" s="35"/>
      <c r="DT255" s="35"/>
      <c r="DU255" s="35"/>
      <c r="DV255" s="27"/>
      <c r="DW255" s="27"/>
      <c r="DX255" s="27"/>
      <c r="DY255" s="27"/>
      <c r="DZ255" s="27"/>
      <c r="EA255" s="27"/>
      <c r="EB255" s="27"/>
      <c r="EJ255" s="29"/>
      <c r="EK255" s="29"/>
      <c r="EL255" s="29"/>
    </row>
    <row r="256" spans="1:142" s="34" customFormat="1" ht="12.95" customHeight="1">
      <c r="A256" s="45">
        <v>2013</v>
      </c>
      <c r="B256" s="48" t="s">
        <v>48</v>
      </c>
      <c r="C256" s="35">
        <f t="shared" si="198"/>
        <v>0.64429716828104</v>
      </c>
      <c r="D256" s="35">
        <f t="shared" si="199"/>
        <v>0.70715702731573327</v>
      </c>
      <c r="E256" s="35">
        <f t="shared" si="200"/>
        <v>0.91110905130462994</v>
      </c>
      <c r="F25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21577</v>
      </c>
      <c r="G256" s="20">
        <f t="shared" si="201"/>
        <v>1918</v>
      </c>
      <c r="H25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19659</v>
      </c>
      <c r="I25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13902</v>
      </c>
      <c r="J256" s="20">
        <f t="shared" si="202"/>
        <v>5757</v>
      </c>
      <c r="K256" s="27"/>
      <c r="L256" s="27"/>
      <c r="M256" s="45">
        <v>2013</v>
      </c>
      <c r="N256" s="48" t="s">
        <v>48</v>
      </c>
      <c r="O256" s="35">
        <f t="shared" si="158"/>
        <v>0.64124293785310738</v>
      </c>
      <c r="P256" s="35">
        <f t="shared" si="159"/>
        <v>0.68773985053524544</v>
      </c>
      <c r="Q256" s="35">
        <f t="shared" si="160"/>
        <v>0.93239171374764596</v>
      </c>
      <c r="R256" s="20">
        <v>5310</v>
      </c>
      <c r="S256" s="27">
        <f t="shared" si="248"/>
        <v>359</v>
      </c>
      <c r="T256" s="20">
        <v>4951</v>
      </c>
      <c r="U256" s="20">
        <v>3405</v>
      </c>
      <c r="V256" s="20">
        <f t="shared" si="249"/>
        <v>1546</v>
      </c>
      <c r="W256" s="20"/>
      <c r="X256" s="20"/>
      <c r="Y256" s="45"/>
      <c r="Z256" s="48"/>
      <c r="AA256" s="35"/>
      <c r="AB256" s="35"/>
      <c r="AC256" s="35"/>
      <c r="AD256" s="20"/>
      <c r="AE256" s="27"/>
      <c r="AF256" s="20"/>
      <c r="AG256" s="20"/>
      <c r="AH256" s="20"/>
      <c r="AI256" s="20"/>
      <c r="AJ256" s="20"/>
      <c r="AK256" s="45">
        <v>2013</v>
      </c>
      <c r="AL256" s="48" t="s">
        <v>48</v>
      </c>
      <c r="AM256" s="35">
        <f t="shared" si="163"/>
        <v>0.71525423728813564</v>
      </c>
      <c r="AN256" s="35">
        <f t="shared" si="164"/>
        <v>0.7633539050861885</v>
      </c>
      <c r="AO256" s="35">
        <f t="shared" si="165"/>
        <v>0.93698903290129609</v>
      </c>
      <c r="AP256" s="20">
        <v>5015</v>
      </c>
      <c r="AQ256" s="27">
        <f t="shared" si="250"/>
        <v>316</v>
      </c>
      <c r="AR256" s="20">
        <v>4699</v>
      </c>
      <c r="AS256" s="20">
        <v>3587</v>
      </c>
      <c r="AT256" s="20">
        <f t="shared" si="251"/>
        <v>1112</v>
      </c>
      <c r="AU256" s="20"/>
      <c r="AV256" s="20"/>
      <c r="AW256" s="45">
        <v>2013</v>
      </c>
      <c r="AX256" s="48" t="s">
        <v>48</v>
      </c>
      <c r="AY256" s="35">
        <f t="shared" si="168"/>
        <v>0.53214285714285714</v>
      </c>
      <c r="AZ256" s="35">
        <f t="shared" si="169"/>
        <v>0.6711711711711712</v>
      </c>
      <c r="BA256" s="35">
        <f t="shared" si="170"/>
        <v>0.79285714285714282</v>
      </c>
      <c r="BB256" s="20">
        <v>560</v>
      </c>
      <c r="BC256" s="27">
        <f t="shared" si="252"/>
        <v>116</v>
      </c>
      <c r="BD256" s="20">
        <v>444</v>
      </c>
      <c r="BE256" s="20">
        <v>298</v>
      </c>
      <c r="BF256" s="20">
        <f t="shared" si="253"/>
        <v>146</v>
      </c>
      <c r="BG256" s="20"/>
      <c r="BH256" s="20"/>
      <c r="BI256" s="45">
        <v>2013</v>
      </c>
      <c r="BJ256" s="48" t="s">
        <v>48</v>
      </c>
      <c r="BK256" s="35">
        <f t="shared" si="173"/>
        <v>0.56472795497185746</v>
      </c>
      <c r="BL256" s="35">
        <f t="shared" si="174"/>
        <v>0.59298660362490152</v>
      </c>
      <c r="BM256" s="35">
        <f t="shared" si="175"/>
        <v>0.95234521575984987</v>
      </c>
      <c r="BN256" s="20">
        <v>2665</v>
      </c>
      <c r="BO256" s="27">
        <f t="shared" si="254"/>
        <v>127</v>
      </c>
      <c r="BP256" s="20">
        <v>2538</v>
      </c>
      <c r="BQ256" s="20">
        <v>1505</v>
      </c>
      <c r="BR256" s="20">
        <f t="shared" si="255"/>
        <v>1033</v>
      </c>
      <c r="BS256" s="20"/>
      <c r="BT256" s="20"/>
      <c r="BU256" s="45">
        <v>2013</v>
      </c>
      <c r="BV256" s="48" t="s">
        <v>48</v>
      </c>
      <c r="BW256" s="35">
        <f t="shared" si="178"/>
        <v>0.71291866028708128</v>
      </c>
      <c r="BX256" s="35">
        <f t="shared" si="179"/>
        <v>0.7864393016646366</v>
      </c>
      <c r="BY256" s="35">
        <f t="shared" si="180"/>
        <v>0.90651453809348548</v>
      </c>
      <c r="BZ256" s="20">
        <v>2717</v>
      </c>
      <c r="CA256" s="27">
        <f t="shared" si="256"/>
        <v>254</v>
      </c>
      <c r="CB256" s="20">
        <v>2463</v>
      </c>
      <c r="CC256" s="20">
        <v>1937</v>
      </c>
      <c r="CD256" s="20">
        <f t="shared" si="257"/>
        <v>526</v>
      </c>
      <c r="CE256" s="20"/>
      <c r="CF256" s="20"/>
      <c r="CG256" s="45">
        <v>2013</v>
      </c>
      <c r="CH256" s="48" t="s">
        <v>48</v>
      </c>
      <c r="CI256" s="35">
        <f t="shared" si="203"/>
        <v>0.54634146341463419</v>
      </c>
      <c r="CJ256" s="35">
        <f t="shared" si="204"/>
        <v>0.59102902374670185</v>
      </c>
      <c r="CK256" s="35">
        <f t="shared" si="205"/>
        <v>0.92439024390243907</v>
      </c>
      <c r="CL256" s="20">
        <v>2870</v>
      </c>
      <c r="CM256" s="20">
        <f t="shared" si="186"/>
        <v>217</v>
      </c>
      <c r="CN256" s="20">
        <v>2653</v>
      </c>
      <c r="CO256" s="20">
        <v>1568</v>
      </c>
      <c r="CP256" s="20">
        <f t="shared" si="187"/>
        <v>1085</v>
      </c>
      <c r="CQ256" s="20"/>
      <c r="CR256" s="20"/>
      <c r="CS256" s="45">
        <v>2013</v>
      </c>
      <c r="CT256" s="48" t="s">
        <v>48</v>
      </c>
      <c r="CU256" s="35">
        <f t="shared" si="188"/>
        <v>0.37821782178217822</v>
      </c>
      <c r="CV256" s="35">
        <f t="shared" si="189"/>
        <v>0.63455149501661134</v>
      </c>
      <c r="CW256" s="35">
        <f t="shared" si="190"/>
        <v>0.59603960396039601</v>
      </c>
      <c r="CX256" s="20">
        <v>1010</v>
      </c>
      <c r="CY256" s="27">
        <f t="shared" si="258"/>
        <v>408</v>
      </c>
      <c r="CZ256" s="20">
        <v>602</v>
      </c>
      <c r="DA256" s="20">
        <v>382</v>
      </c>
      <c r="DB256" s="20">
        <f t="shared" si="259"/>
        <v>220</v>
      </c>
      <c r="DC256" s="20"/>
      <c r="DD256" s="20"/>
      <c r="DE256" s="45">
        <v>2013</v>
      </c>
      <c r="DF256" s="48" t="s">
        <v>48</v>
      </c>
      <c r="DG256" s="35">
        <f t="shared" si="193"/>
        <v>0.85314685314685312</v>
      </c>
      <c r="DH256" s="35">
        <f t="shared" si="194"/>
        <v>0.93200916730328498</v>
      </c>
      <c r="DI256" s="35">
        <f t="shared" si="195"/>
        <v>0.91538461538461535</v>
      </c>
      <c r="DJ256" s="20">
        <v>1430</v>
      </c>
      <c r="DK256" s="27">
        <f t="shared" si="260"/>
        <v>121</v>
      </c>
      <c r="DL256" s="20">
        <v>1309</v>
      </c>
      <c r="DM256" s="20">
        <v>1220</v>
      </c>
      <c r="DN256" s="20">
        <f t="shared" si="261"/>
        <v>89</v>
      </c>
      <c r="DO256" s="20"/>
      <c r="DP256" s="20"/>
      <c r="DQ256" s="45"/>
      <c r="DR256" s="48"/>
      <c r="DS256" s="35"/>
      <c r="DT256" s="35"/>
      <c r="DU256" s="35"/>
      <c r="DV256" s="27"/>
      <c r="DW256" s="27"/>
      <c r="DX256" s="27"/>
      <c r="DY256" s="27"/>
      <c r="DZ256" s="27"/>
      <c r="EA256" s="27"/>
      <c r="EB256" s="27"/>
      <c r="EJ256" s="29"/>
      <c r="EK256" s="29"/>
      <c r="EL256" s="29"/>
    </row>
    <row r="257" spans="1:142" s="34" customFormat="1" ht="12.95" customHeight="1">
      <c r="A257" s="46">
        <v>2013</v>
      </c>
      <c r="B257" s="47" t="s">
        <v>49</v>
      </c>
      <c r="C257" s="35">
        <f t="shared" si="198"/>
        <v>0.67401222739301037</v>
      </c>
      <c r="D257" s="35">
        <f t="shared" si="199"/>
        <v>0.77244444444444449</v>
      </c>
      <c r="E257" s="35">
        <f t="shared" si="200"/>
        <v>0.87257049000821241</v>
      </c>
      <c r="F25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21918</v>
      </c>
      <c r="G257" s="20">
        <f t="shared" si="201"/>
        <v>2793</v>
      </c>
      <c r="H25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19125</v>
      </c>
      <c r="I25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14773</v>
      </c>
      <c r="J257" s="20">
        <f t="shared" si="202"/>
        <v>4352</v>
      </c>
      <c r="K257" s="27"/>
      <c r="L257" s="27"/>
      <c r="M257" s="46">
        <v>2013</v>
      </c>
      <c r="N257" s="47" t="s">
        <v>49</v>
      </c>
      <c r="O257" s="35">
        <f t="shared" si="158"/>
        <v>0.6646751306945482</v>
      </c>
      <c r="P257" s="35">
        <f t="shared" si="159"/>
        <v>0.74837082194660498</v>
      </c>
      <c r="Q257" s="35">
        <f t="shared" si="160"/>
        <v>0.88816280806572068</v>
      </c>
      <c r="R257" s="20">
        <v>5356</v>
      </c>
      <c r="S257" s="27">
        <f t="shared" si="248"/>
        <v>599</v>
      </c>
      <c r="T257" s="20">
        <v>4757</v>
      </c>
      <c r="U257" s="20">
        <v>3560</v>
      </c>
      <c r="V257" s="20">
        <f t="shared" si="249"/>
        <v>1197</v>
      </c>
      <c r="W257" s="20"/>
      <c r="X257" s="20"/>
      <c r="Y257" s="46"/>
      <c r="Z257" s="47"/>
      <c r="AA257" s="35"/>
      <c r="AB257" s="35"/>
      <c r="AC257" s="35"/>
      <c r="AD257" s="20"/>
      <c r="AE257" s="27"/>
      <c r="AF257" s="20"/>
      <c r="AG257" s="20"/>
      <c r="AH257" s="20"/>
      <c r="AI257" s="20"/>
      <c r="AJ257" s="20"/>
      <c r="AK257" s="46">
        <v>2013</v>
      </c>
      <c r="AL257" s="47" t="s">
        <v>49</v>
      </c>
      <c r="AM257" s="35">
        <f t="shared" si="163"/>
        <v>0.75930667717155798</v>
      </c>
      <c r="AN257" s="35">
        <f t="shared" si="164"/>
        <v>0.82319026265214601</v>
      </c>
      <c r="AO257" s="35">
        <f t="shared" si="165"/>
        <v>0.92239511522552686</v>
      </c>
      <c r="AP257" s="20">
        <v>5077</v>
      </c>
      <c r="AQ257" s="27">
        <f t="shared" si="250"/>
        <v>394</v>
      </c>
      <c r="AR257" s="20">
        <v>4683</v>
      </c>
      <c r="AS257" s="20">
        <v>3855</v>
      </c>
      <c r="AT257" s="20">
        <f t="shared" si="251"/>
        <v>828</v>
      </c>
      <c r="AU257" s="20"/>
      <c r="AV257" s="20"/>
      <c r="AW257" s="46">
        <v>2013</v>
      </c>
      <c r="AX257" s="47" t="s">
        <v>49</v>
      </c>
      <c r="AY257" s="35">
        <f t="shared" si="168"/>
        <v>0.44360902255639095</v>
      </c>
      <c r="AZ257" s="35">
        <f t="shared" si="169"/>
        <v>0.65555555555555556</v>
      </c>
      <c r="BA257" s="35">
        <f t="shared" si="170"/>
        <v>0.67669172932330823</v>
      </c>
      <c r="BB257" s="20">
        <v>532</v>
      </c>
      <c r="BC257" s="27">
        <f t="shared" si="252"/>
        <v>172</v>
      </c>
      <c r="BD257" s="20">
        <v>360</v>
      </c>
      <c r="BE257" s="20">
        <v>236</v>
      </c>
      <c r="BF257" s="20">
        <f t="shared" si="253"/>
        <v>124</v>
      </c>
      <c r="BG257" s="20"/>
      <c r="BH257" s="20"/>
      <c r="BI257" s="46">
        <v>2013</v>
      </c>
      <c r="BJ257" s="47" t="s">
        <v>49</v>
      </c>
      <c r="BK257" s="35">
        <f t="shared" si="173"/>
        <v>0.62646627565982405</v>
      </c>
      <c r="BL257" s="35">
        <f t="shared" si="174"/>
        <v>0.72231614539306843</v>
      </c>
      <c r="BM257" s="35">
        <f t="shared" si="175"/>
        <v>0.86730205278592376</v>
      </c>
      <c r="BN257" s="20">
        <v>2728</v>
      </c>
      <c r="BO257" s="27">
        <f t="shared" si="254"/>
        <v>362</v>
      </c>
      <c r="BP257" s="20">
        <v>2366</v>
      </c>
      <c r="BQ257" s="20">
        <v>1709</v>
      </c>
      <c r="BR257" s="20">
        <f t="shared" si="255"/>
        <v>657</v>
      </c>
      <c r="BS257" s="20"/>
      <c r="BT257" s="20"/>
      <c r="BU257" s="46">
        <v>2013</v>
      </c>
      <c r="BV257" s="47" t="s">
        <v>49</v>
      </c>
      <c r="BW257" s="35">
        <f t="shared" si="178"/>
        <v>0.70590352771778253</v>
      </c>
      <c r="BX257" s="35">
        <f t="shared" si="179"/>
        <v>0.83875106928999144</v>
      </c>
      <c r="BY257" s="35">
        <f t="shared" si="180"/>
        <v>0.84161267098632109</v>
      </c>
      <c r="BZ257" s="20">
        <v>2778</v>
      </c>
      <c r="CA257" s="27">
        <f t="shared" si="256"/>
        <v>440</v>
      </c>
      <c r="CB257" s="20">
        <v>2338</v>
      </c>
      <c r="CC257" s="20">
        <v>1961</v>
      </c>
      <c r="CD257" s="20">
        <f t="shared" si="257"/>
        <v>377</v>
      </c>
      <c r="CE257" s="20"/>
      <c r="CF257" s="20"/>
      <c r="CG257" s="46">
        <v>2013</v>
      </c>
      <c r="CH257" s="47" t="s">
        <v>49</v>
      </c>
      <c r="CI257" s="35">
        <f t="shared" si="203"/>
        <v>0.55842391304347827</v>
      </c>
      <c r="CJ257" s="35">
        <f t="shared" si="204"/>
        <v>0.67239263803680982</v>
      </c>
      <c r="CK257" s="35">
        <f t="shared" si="205"/>
        <v>0.83050271739130432</v>
      </c>
      <c r="CL257" s="20">
        <v>2944</v>
      </c>
      <c r="CM257" s="20">
        <f t="shared" si="186"/>
        <v>499</v>
      </c>
      <c r="CN257" s="20">
        <v>2445</v>
      </c>
      <c r="CO257" s="20">
        <v>1644</v>
      </c>
      <c r="CP257" s="20">
        <f t="shared" si="187"/>
        <v>801</v>
      </c>
      <c r="CQ257" s="20"/>
      <c r="CR257" s="20"/>
      <c r="CS257" s="46">
        <v>2013</v>
      </c>
      <c r="CT257" s="47" t="s">
        <v>49</v>
      </c>
      <c r="CU257" s="35">
        <f t="shared" si="188"/>
        <v>0.49951783992285437</v>
      </c>
      <c r="CV257" s="35">
        <f t="shared" si="189"/>
        <v>0.6410891089108911</v>
      </c>
      <c r="CW257" s="35">
        <f t="shared" si="190"/>
        <v>0.77917068466730954</v>
      </c>
      <c r="CX257" s="20">
        <v>1037</v>
      </c>
      <c r="CY257" s="27">
        <f t="shared" si="258"/>
        <v>229</v>
      </c>
      <c r="CZ257" s="20">
        <v>808</v>
      </c>
      <c r="DA257" s="20">
        <v>518</v>
      </c>
      <c r="DB257" s="20">
        <f t="shared" si="259"/>
        <v>290</v>
      </c>
      <c r="DC257" s="20"/>
      <c r="DD257" s="20"/>
      <c r="DE257" s="46">
        <v>2013</v>
      </c>
      <c r="DF257" s="47" t="s">
        <v>49</v>
      </c>
      <c r="DG257" s="35">
        <f t="shared" si="193"/>
        <v>0.87994542974079126</v>
      </c>
      <c r="DH257" s="35">
        <f t="shared" si="194"/>
        <v>0.94298245614035092</v>
      </c>
      <c r="DI257" s="35">
        <f t="shared" si="195"/>
        <v>0.93315143246930421</v>
      </c>
      <c r="DJ257" s="20">
        <v>1466</v>
      </c>
      <c r="DK257" s="27">
        <f t="shared" si="260"/>
        <v>98</v>
      </c>
      <c r="DL257" s="20">
        <v>1368</v>
      </c>
      <c r="DM257" s="20">
        <v>1290</v>
      </c>
      <c r="DN257" s="20">
        <f t="shared" si="261"/>
        <v>78</v>
      </c>
      <c r="DO257" s="20"/>
      <c r="DP257" s="20"/>
      <c r="DQ257" s="46"/>
      <c r="DR257" s="47"/>
      <c r="DS257" s="35"/>
      <c r="DT257" s="35"/>
      <c r="DU257" s="35"/>
      <c r="DV257" s="27"/>
      <c r="DW257" s="27"/>
      <c r="DX257" s="27"/>
      <c r="DY257" s="27"/>
      <c r="DZ257" s="27"/>
      <c r="EA257" s="27"/>
      <c r="EB257" s="27"/>
      <c r="EJ257" s="29"/>
      <c r="EK257" s="29"/>
      <c r="EL257" s="29"/>
    </row>
    <row r="258" spans="1:142" s="29" customFormat="1" ht="12.75">
      <c r="A258" s="45">
        <v>2014</v>
      </c>
      <c r="B258" s="48" t="s">
        <v>38</v>
      </c>
      <c r="C258" s="35">
        <f t="shared" si="198"/>
        <v>0.75187903046475424</v>
      </c>
      <c r="D258" s="35">
        <f t="shared" si="199"/>
        <v>0.82496462206607135</v>
      </c>
      <c r="E258" s="35">
        <f t="shared" si="200"/>
        <v>0.9114076050700467</v>
      </c>
      <c r="F25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G258" s="20">
        <f t="shared" si="201"/>
        <v>1992</v>
      </c>
      <c r="H25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20493</v>
      </c>
      <c r="I25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16906</v>
      </c>
      <c r="J258" s="20">
        <f t="shared" si="202"/>
        <v>3587</v>
      </c>
      <c r="K258" s="27"/>
      <c r="L258" s="27"/>
      <c r="M258" s="45">
        <v>2014</v>
      </c>
      <c r="N258" s="48" t="s">
        <v>38</v>
      </c>
      <c r="O258" s="35">
        <f t="shared" si="158"/>
        <v>0.79416005767844267</v>
      </c>
      <c r="P258" s="35">
        <f t="shared" si="159"/>
        <v>0.82710718978787312</v>
      </c>
      <c r="Q258" s="35">
        <f t="shared" si="160"/>
        <v>0.9601658255227109</v>
      </c>
      <c r="R258" s="20">
        <v>5548</v>
      </c>
      <c r="S258" s="27">
        <f t="shared" ref="S258:S266" si="262">R258-T258</f>
        <v>221</v>
      </c>
      <c r="T258" s="20">
        <v>5327</v>
      </c>
      <c r="U258" s="20">
        <v>4406</v>
      </c>
      <c r="V258" s="20">
        <f t="shared" ref="V258:V269" si="263">T258-U258</f>
        <v>921</v>
      </c>
      <c r="W258" s="20"/>
      <c r="X258" s="20"/>
      <c r="Y258" s="45"/>
      <c r="Z258" s="48"/>
      <c r="AA258" s="35"/>
      <c r="AB258" s="35"/>
      <c r="AC258" s="35"/>
      <c r="AD258" s="20"/>
      <c r="AE258" s="27"/>
      <c r="AF258" s="20"/>
      <c r="AG258" s="20"/>
      <c r="AH258" s="20"/>
      <c r="AI258" s="20"/>
      <c r="AJ258" s="20"/>
      <c r="AK258" s="45">
        <v>2014</v>
      </c>
      <c r="AL258" s="48" t="s">
        <v>38</v>
      </c>
      <c r="AM258" s="35">
        <f t="shared" si="163"/>
        <v>0.82934761813659841</v>
      </c>
      <c r="AN258" s="35">
        <f t="shared" si="164"/>
        <v>0.88379204892966357</v>
      </c>
      <c r="AO258" s="35">
        <f t="shared" si="165"/>
        <v>0.93839678591926534</v>
      </c>
      <c r="AP258" s="20">
        <v>5227</v>
      </c>
      <c r="AQ258" s="27">
        <f t="shared" ref="AQ258:AQ266" si="264">AP258-AR258</f>
        <v>322</v>
      </c>
      <c r="AR258" s="20">
        <v>4905</v>
      </c>
      <c r="AS258" s="20">
        <v>4335</v>
      </c>
      <c r="AT258" s="20">
        <f t="shared" ref="AT258:AT269" si="265">AR258-AS258</f>
        <v>570</v>
      </c>
      <c r="AU258" s="20"/>
      <c r="AV258" s="20"/>
      <c r="AW258" s="45">
        <v>2014</v>
      </c>
      <c r="AX258" s="48" t="s">
        <v>38</v>
      </c>
      <c r="AY258" s="35">
        <f t="shared" si="168"/>
        <v>0.6558441558441559</v>
      </c>
      <c r="AZ258" s="35">
        <f t="shared" si="169"/>
        <v>0.74814814814814812</v>
      </c>
      <c r="BA258" s="35">
        <f t="shared" si="170"/>
        <v>0.87662337662337664</v>
      </c>
      <c r="BB258" s="20">
        <v>616</v>
      </c>
      <c r="BC258" s="27">
        <f t="shared" ref="BC258" si="266">BB258-BD258</f>
        <v>76</v>
      </c>
      <c r="BD258" s="20">
        <v>540</v>
      </c>
      <c r="BE258" s="20">
        <v>404</v>
      </c>
      <c r="BF258" s="20">
        <f t="shared" ref="BF258" si="267">BD258-BE258</f>
        <v>136</v>
      </c>
      <c r="BG258" s="20"/>
      <c r="BH258" s="20"/>
      <c r="BI258" s="45">
        <v>2014</v>
      </c>
      <c r="BJ258" s="48" t="s">
        <v>38</v>
      </c>
      <c r="BK258" s="35">
        <f t="shared" si="173"/>
        <v>0.75686416184971095</v>
      </c>
      <c r="BL258" s="35">
        <f t="shared" si="174"/>
        <v>0.78200821201941018</v>
      </c>
      <c r="BM258" s="35">
        <f t="shared" si="175"/>
        <v>0.96784682080924855</v>
      </c>
      <c r="BN258" s="20">
        <v>2768</v>
      </c>
      <c r="BO258" s="27">
        <f t="shared" ref="BO258:BO266" si="268">BN258-BP258</f>
        <v>89</v>
      </c>
      <c r="BP258" s="20">
        <v>2679</v>
      </c>
      <c r="BQ258" s="20">
        <v>2095</v>
      </c>
      <c r="BR258" s="20">
        <f t="shared" ref="BR258:BR269" si="269">BP258-BQ258</f>
        <v>584</v>
      </c>
      <c r="BS258" s="20"/>
      <c r="BT258" s="20"/>
      <c r="BU258" s="45">
        <v>2014</v>
      </c>
      <c r="BV258" s="48" t="s">
        <v>38</v>
      </c>
      <c r="BW258" s="35">
        <f t="shared" si="178"/>
        <v>0.8112136266855926</v>
      </c>
      <c r="BX258" s="35">
        <f t="shared" si="179"/>
        <v>0.8850174216027874</v>
      </c>
      <c r="BY258" s="35">
        <f t="shared" si="180"/>
        <v>0.91660752306600424</v>
      </c>
      <c r="BZ258" s="20">
        <v>2818</v>
      </c>
      <c r="CA258" s="27">
        <f t="shared" ref="CA258:CA266" si="270">BZ258-CB258</f>
        <v>235</v>
      </c>
      <c r="CB258" s="20">
        <v>2583</v>
      </c>
      <c r="CC258" s="20">
        <v>2286</v>
      </c>
      <c r="CD258" s="20">
        <f t="shared" ref="CD258:CD269" si="271">CB258-CC258</f>
        <v>297</v>
      </c>
      <c r="CE258" s="20"/>
      <c r="CF258" s="20"/>
      <c r="CG258" s="45">
        <v>2014</v>
      </c>
      <c r="CH258" s="48" t="s">
        <v>38</v>
      </c>
      <c r="CI258" s="35">
        <f t="shared" si="203"/>
        <v>0.58179375209942896</v>
      </c>
      <c r="CJ258" s="35">
        <f t="shared" si="204"/>
        <v>0.67868338557993735</v>
      </c>
      <c r="CK258" s="35">
        <f t="shared" si="205"/>
        <v>0.85723883103795773</v>
      </c>
      <c r="CL258" s="20">
        <v>2977</v>
      </c>
      <c r="CM258" s="20">
        <f t="shared" si="186"/>
        <v>425</v>
      </c>
      <c r="CN258" s="20">
        <v>2552</v>
      </c>
      <c r="CO258" s="20">
        <v>1732</v>
      </c>
      <c r="CP258" s="20">
        <f t="shared" si="187"/>
        <v>820</v>
      </c>
      <c r="CQ258" s="20"/>
      <c r="CR258" s="20"/>
      <c r="CS258" s="45">
        <v>2014</v>
      </c>
      <c r="CT258" s="48" t="s">
        <v>38</v>
      </c>
      <c r="CU258" s="35">
        <f t="shared" si="188"/>
        <v>0.38167938931297712</v>
      </c>
      <c r="CV258" s="35">
        <f t="shared" si="189"/>
        <v>0.68493150684931503</v>
      </c>
      <c r="CW258" s="35">
        <f t="shared" si="190"/>
        <v>0.5572519083969466</v>
      </c>
      <c r="CX258" s="20">
        <v>1048</v>
      </c>
      <c r="CY258" s="27">
        <f t="shared" ref="CY258:CY266" si="272">CX258-CZ258</f>
        <v>464</v>
      </c>
      <c r="CZ258" s="20">
        <v>584</v>
      </c>
      <c r="DA258" s="20">
        <v>400</v>
      </c>
      <c r="DB258" s="20">
        <f t="shared" ref="DB258:DB269" si="273">CZ258-DA258</f>
        <v>184</v>
      </c>
      <c r="DC258" s="20"/>
      <c r="DD258" s="20"/>
      <c r="DE258" s="45">
        <v>2014</v>
      </c>
      <c r="DF258" s="48" t="s">
        <v>38</v>
      </c>
      <c r="DG258" s="35">
        <f t="shared" si="193"/>
        <v>0.84153742414025623</v>
      </c>
      <c r="DH258" s="35">
        <f t="shared" si="194"/>
        <v>0.94331065759637189</v>
      </c>
      <c r="DI258" s="35">
        <f t="shared" si="195"/>
        <v>0.89211058664868514</v>
      </c>
      <c r="DJ258" s="20">
        <v>1483</v>
      </c>
      <c r="DK258" s="27">
        <f t="shared" ref="DK258:DK266" si="274">DJ258-DL258</f>
        <v>160</v>
      </c>
      <c r="DL258" s="20">
        <v>1323</v>
      </c>
      <c r="DM258" s="20">
        <v>1248</v>
      </c>
      <c r="DN258" s="20">
        <f t="shared" ref="DN258:DN269" si="275">DL258-DM258</f>
        <v>75</v>
      </c>
      <c r="DO258" s="20"/>
      <c r="DP258" s="20"/>
      <c r="DQ258" s="45"/>
      <c r="DR258" s="48"/>
      <c r="DS258" s="35"/>
      <c r="DT258" s="35"/>
      <c r="DU258" s="35"/>
      <c r="DV258" s="27"/>
      <c r="DW258" s="27"/>
      <c r="DX258" s="27"/>
      <c r="DY258" s="27"/>
      <c r="DZ258" s="27"/>
      <c r="EA258" s="27"/>
      <c r="EB258" s="27"/>
    </row>
    <row r="259" spans="1:142" s="29" customFormat="1" ht="12.75">
      <c r="A259" s="46">
        <v>2014</v>
      </c>
      <c r="B259" s="47" t="s">
        <v>39</v>
      </c>
      <c r="C259" s="35">
        <f t="shared" si="198"/>
        <v>0.78887210473313196</v>
      </c>
      <c r="D259" s="35">
        <f t="shared" si="199"/>
        <v>0.85257945145842406</v>
      </c>
      <c r="E259" s="35">
        <f t="shared" si="200"/>
        <v>0.92527693856998994</v>
      </c>
      <c r="F25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19860</v>
      </c>
      <c r="G259" s="20">
        <f t="shared" si="201"/>
        <v>1484</v>
      </c>
      <c r="H25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18376</v>
      </c>
      <c r="I25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15667</v>
      </c>
      <c r="J259" s="20">
        <f t="shared" si="202"/>
        <v>2709</v>
      </c>
      <c r="K259" s="27"/>
      <c r="L259" s="27"/>
      <c r="M259" s="46">
        <v>2014</v>
      </c>
      <c r="N259" s="47" t="s">
        <v>39</v>
      </c>
      <c r="O259" s="35">
        <f t="shared" si="158"/>
        <v>0.84897070467141722</v>
      </c>
      <c r="P259" s="35">
        <f t="shared" si="159"/>
        <v>0.87086294416243659</v>
      </c>
      <c r="Q259" s="35">
        <f t="shared" si="160"/>
        <v>0.97486144101346006</v>
      </c>
      <c r="R259" s="20">
        <v>5052</v>
      </c>
      <c r="S259" s="27">
        <f t="shared" si="262"/>
        <v>127</v>
      </c>
      <c r="T259" s="20">
        <v>4925</v>
      </c>
      <c r="U259" s="20">
        <v>4289</v>
      </c>
      <c r="V259" s="20">
        <f t="shared" si="263"/>
        <v>636</v>
      </c>
      <c r="W259" s="20"/>
      <c r="X259" s="20"/>
      <c r="Y259" s="46"/>
      <c r="Z259" s="47"/>
      <c r="AA259" s="35"/>
      <c r="AB259" s="35"/>
      <c r="AC259" s="35"/>
      <c r="AD259" s="20"/>
      <c r="AE259" s="27"/>
      <c r="AF259" s="20"/>
      <c r="AG259" s="20"/>
      <c r="AH259" s="20"/>
      <c r="AI259" s="20"/>
      <c r="AJ259" s="20"/>
      <c r="AK259" s="46">
        <v>2014</v>
      </c>
      <c r="AL259" s="47" t="s">
        <v>39</v>
      </c>
      <c r="AM259" s="35">
        <f t="shared" si="163"/>
        <v>0.86816652649285109</v>
      </c>
      <c r="AN259" s="35">
        <f t="shared" si="164"/>
        <v>0.91592724046140195</v>
      </c>
      <c r="AO259" s="35">
        <f t="shared" si="165"/>
        <v>0.94785534062237176</v>
      </c>
      <c r="AP259" s="20">
        <v>4756</v>
      </c>
      <c r="AQ259" s="27">
        <f t="shared" si="264"/>
        <v>248</v>
      </c>
      <c r="AR259" s="20">
        <v>4508</v>
      </c>
      <c r="AS259" s="20">
        <v>4129</v>
      </c>
      <c r="AT259" s="20">
        <f t="shared" si="265"/>
        <v>379</v>
      </c>
      <c r="AU259" s="20"/>
      <c r="AV259" s="20"/>
      <c r="AW259" s="46">
        <v>2014</v>
      </c>
      <c r="AX259" s="47" t="s">
        <v>39</v>
      </c>
      <c r="AY259" s="35"/>
      <c r="AZ259" s="35"/>
      <c r="BA259" s="35"/>
      <c r="BB259" s="20"/>
      <c r="BC259" s="20"/>
      <c r="BD259" s="20"/>
      <c r="BE259" s="20"/>
      <c r="BF259" s="20"/>
      <c r="BG259" s="20"/>
      <c r="BH259" s="20"/>
      <c r="BI259" s="46">
        <v>2014</v>
      </c>
      <c r="BJ259" s="47" t="s">
        <v>39</v>
      </c>
      <c r="BK259" s="35">
        <f t="shared" si="173"/>
        <v>0.73325358851674638</v>
      </c>
      <c r="BL259" s="35">
        <f t="shared" si="174"/>
        <v>0.76402160365600336</v>
      </c>
      <c r="BM259" s="35">
        <f t="shared" si="175"/>
        <v>0.95972886762360443</v>
      </c>
      <c r="BN259" s="20">
        <v>2508</v>
      </c>
      <c r="BO259" s="27">
        <f t="shared" si="268"/>
        <v>101</v>
      </c>
      <c r="BP259" s="20">
        <v>2407</v>
      </c>
      <c r="BQ259" s="20">
        <v>1839</v>
      </c>
      <c r="BR259" s="20">
        <f t="shared" si="269"/>
        <v>568</v>
      </c>
      <c r="BS259" s="20"/>
      <c r="BT259" s="20"/>
      <c r="BU259" s="46">
        <v>2014</v>
      </c>
      <c r="BV259" s="47" t="s">
        <v>39</v>
      </c>
      <c r="BW259" s="35">
        <f t="shared" si="178"/>
        <v>0.83059467918622853</v>
      </c>
      <c r="BX259" s="35">
        <f t="shared" si="179"/>
        <v>0.89843419382141343</v>
      </c>
      <c r="BY259" s="35">
        <f t="shared" si="180"/>
        <v>0.92449139280125192</v>
      </c>
      <c r="BZ259" s="20">
        <v>2556</v>
      </c>
      <c r="CA259" s="27">
        <f t="shared" si="270"/>
        <v>193</v>
      </c>
      <c r="CB259" s="20">
        <v>2363</v>
      </c>
      <c r="CC259" s="20">
        <v>2123</v>
      </c>
      <c r="CD259" s="20">
        <f t="shared" si="271"/>
        <v>240</v>
      </c>
      <c r="CE259" s="20"/>
      <c r="CF259" s="20"/>
      <c r="CG259" s="46">
        <v>2014</v>
      </c>
      <c r="CH259" s="47" t="s">
        <v>39</v>
      </c>
      <c r="CI259" s="35">
        <f t="shared" si="203"/>
        <v>0.66097922848664692</v>
      </c>
      <c r="CJ259" s="35">
        <f t="shared" si="204"/>
        <v>0.720873786407767</v>
      </c>
      <c r="CK259" s="35">
        <f t="shared" si="205"/>
        <v>0.91691394658753711</v>
      </c>
      <c r="CL259" s="20">
        <v>2696</v>
      </c>
      <c r="CM259" s="20">
        <f t="shared" si="186"/>
        <v>224</v>
      </c>
      <c r="CN259" s="20">
        <v>2472</v>
      </c>
      <c r="CO259" s="20">
        <v>1782</v>
      </c>
      <c r="CP259" s="20">
        <f t="shared" si="187"/>
        <v>690</v>
      </c>
      <c r="CQ259" s="20"/>
      <c r="CR259" s="20"/>
      <c r="CS259" s="46">
        <v>2014</v>
      </c>
      <c r="CT259" s="47" t="s">
        <v>39</v>
      </c>
      <c r="CU259" s="35">
        <f t="shared" si="188"/>
        <v>0.37552742616033757</v>
      </c>
      <c r="CV259" s="35">
        <f t="shared" si="189"/>
        <v>0.70775347912524855</v>
      </c>
      <c r="CW259" s="35">
        <f t="shared" si="190"/>
        <v>0.53059071729957807</v>
      </c>
      <c r="CX259" s="20">
        <v>948</v>
      </c>
      <c r="CY259" s="27">
        <f t="shared" si="272"/>
        <v>445</v>
      </c>
      <c r="CZ259" s="20">
        <v>503</v>
      </c>
      <c r="DA259" s="20">
        <v>356</v>
      </c>
      <c r="DB259" s="20">
        <f t="shared" si="273"/>
        <v>147</v>
      </c>
      <c r="DC259" s="20"/>
      <c r="DD259" s="20"/>
      <c r="DE259" s="46">
        <v>2014</v>
      </c>
      <c r="DF259" s="47" t="s">
        <v>39</v>
      </c>
      <c r="DG259" s="35">
        <f t="shared" si="193"/>
        <v>0.8549107142857143</v>
      </c>
      <c r="DH259" s="35">
        <f t="shared" si="194"/>
        <v>0.95909849749582643</v>
      </c>
      <c r="DI259" s="35">
        <f t="shared" si="195"/>
        <v>0.89136904761904767</v>
      </c>
      <c r="DJ259" s="20">
        <v>1344</v>
      </c>
      <c r="DK259" s="27">
        <f t="shared" si="274"/>
        <v>146</v>
      </c>
      <c r="DL259" s="20">
        <v>1198</v>
      </c>
      <c r="DM259" s="20">
        <v>1149</v>
      </c>
      <c r="DN259" s="20">
        <f t="shared" si="275"/>
        <v>49</v>
      </c>
      <c r="DO259" s="20"/>
      <c r="DP259" s="20"/>
      <c r="DQ259" s="46"/>
      <c r="DR259" s="47"/>
      <c r="DS259" s="35"/>
      <c r="DT259" s="35"/>
      <c r="DU259" s="35"/>
      <c r="DV259" s="27"/>
      <c r="DW259" s="27"/>
      <c r="DX259" s="27"/>
      <c r="DY259" s="27"/>
      <c r="DZ259" s="27"/>
      <c r="EA259" s="27"/>
      <c r="EB259" s="27"/>
    </row>
    <row r="260" spans="1:142" s="29" customFormat="1" ht="12.75">
      <c r="A260" s="45">
        <v>2014</v>
      </c>
      <c r="B260" s="48" t="s">
        <v>40</v>
      </c>
      <c r="C260" s="35">
        <f t="shared" si="198"/>
        <v>0.76694025577400271</v>
      </c>
      <c r="D260" s="35">
        <f t="shared" si="199"/>
        <v>0.81908062378962387</v>
      </c>
      <c r="E260" s="35">
        <f t="shared" si="200"/>
        <v>0.93634281351402937</v>
      </c>
      <c r="F26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G260" s="20">
        <f t="shared" si="201"/>
        <v>1334</v>
      </c>
      <c r="H26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19622</v>
      </c>
      <c r="I26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16072</v>
      </c>
      <c r="J260" s="20">
        <f t="shared" si="202"/>
        <v>3550</v>
      </c>
      <c r="K260" s="27"/>
      <c r="L260" s="27"/>
      <c r="M260" s="45">
        <v>2014</v>
      </c>
      <c r="N260" s="48" t="s">
        <v>40</v>
      </c>
      <c r="O260" s="35">
        <f t="shared" si="158"/>
        <v>0.8087442218798151</v>
      </c>
      <c r="P260" s="35">
        <f t="shared" si="159"/>
        <v>0.82771535580524347</v>
      </c>
      <c r="Q260" s="35">
        <f t="shared" si="160"/>
        <v>0.9770801232665639</v>
      </c>
      <c r="R260" s="20">
        <v>5192</v>
      </c>
      <c r="S260" s="27">
        <f t="shared" si="262"/>
        <v>119</v>
      </c>
      <c r="T260" s="20">
        <v>5073</v>
      </c>
      <c r="U260" s="20">
        <v>4199</v>
      </c>
      <c r="V260" s="20">
        <f t="shared" si="263"/>
        <v>874</v>
      </c>
      <c r="W260" s="20"/>
      <c r="X260" s="20"/>
      <c r="Y260" s="45"/>
      <c r="Z260" s="48"/>
      <c r="AA260" s="35"/>
      <c r="AB260" s="35"/>
      <c r="AC260" s="35"/>
      <c r="AD260" s="20"/>
      <c r="AE260" s="27"/>
      <c r="AF260" s="20"/>
      <c r="AG260" s="20"/>
      <c r="AH260" s="20"/>
      <c r="AI260" s="20"/>
      <c r="AJ260" s="20"/>
      <c r="AK260" s="45">
        <v>2014</v>
      </c>
      <c r="AL260" s="48" t="s">
        <v>40</v>
      </c>
      <c r="AM260" s="35">
        <f t="shared" si="163"/>
        <v>0.82901659247268311</v>
      </c>
      <c r="AN260" s="35">
        <f t="shared" si="164"/>
        <v>0.87133134836239901</v>
      </c>
      <c r="AO260" s="35">
        <f t="shared" si="165"/>
        <v>0.95143666531768512</v>
      </c>
      <c r="AP260" s="20">
        <v>4942</v>
      </c>
      <c r="AQ260" s="27">
        <f t="shared" si="264"/>
        <v>240</v>
      </c>
      <c r="AR260" s="20">
        <v>4702</v>
      </c>
      <c r="AS260" s="20">
        <v>4097</v>
      </c>
      <c r="AT260" s="20">
        <f t="shared" si="265"/>
        <v>605</v>
      </c>
      <c r="AU260" s="20"/>
      <c r="AV260" s="20"/>
      <c r="AW260" s="45">
        <v>2014</v>
      </c>
      <c r="AX260" s="48" t="s">
        <v>40</v>
      </c>
      <c r="AY260" s="35"/>
      <c r="AZ260" s="35"/>
      <c r="BA260" s="35"/>
      <c r="BB260" s="20"/>
      <c r="BC260" s="20"/>
      <c r="BD260" s="20"/>
      <c r="BE260" s="20"/>
      <c r="BF260" s="20"/>
      <c r="BG260" s="20"/>
      <c r="BH260" s="20"/>
      <c r="BI260" s="45">
        <v>2014</v>
      </c>
      <c r="BJ260" s="48" t="s">
        <v>40</v>
      </c>
      <c r="BK260" s="35">
        <f t="shared" si="173"/>
        <v>0.70107686594875607</v>
      </c>
      <c r="BL260" s="35">
        <f t="shared" si="174"/>
        <v>0.71841704718417043</v>
      </c>
      <c r="BM260" s="35">
        <f t="shared" si="175"/>
        <v>0.97586334942443376</v>
      </c>
      <c r="BN260" s="20">
        <v>2693</v>
      </c>
      <c r="BO260" s="27">
        <f t="shared" si="268"/>
        <v>65</v>
      </c>
      <c r="BP260" s="20">
        <v>2628</v>
      </c>
      <c r="BQ260" s="20">
        <v>1888</v>
      </c>
      <c r="BR260" s="20">
        <f t="shared" si="269"/>
        <v>740</v>
      </c>
      <c r="BS260" s="20"/>
      <c r="BT260" s="20"/>
      <c r="BU260" s="45">
        <v>2014</v>
      </c>
      <c r="BV260" s="48" t="s">
        <v>40</v>
      </c>
      <c r="BW260" s="35">
        <f t="shared" si="178"/>
        <v>0.84154801022270898</v>
      </c>
      <c r="BX260" s="35">
        <f t="shared" si="179"/>
        <v>0.88044308632543922</v>
      </c>
      <c r="BY260" s="35">
        <f t="shared" si="180"/>
        <v>0.95582329317269077</v>
      </c>
      <c r="BZ260" s="20">
        <v>2739</v>
      </c>
      <c r="CA260" s="27">
        <f t="shared" si="270"/>
        <v>121</v>
      </c>
      <c r="CB260" s="20">
        <v>2618</v>
      </c>
      <c r="CC260" s="20">
        <v>2305</v>
      </c>
      <c r="CD260" s="20">
        <f t="shared" si="271"/>
        <v>313</v>
      </c>
      <c r="CE260" s="20"/>
      <c r="CF260" s="20"/>
      <c r="CG260" s="45">
        <v>2014</v>
      </c>
      <c r="CH260" s="48" t="s">
        <v>40</v>
      </c>
      <c r="CI260" s="35">
        <f t="shared" si="203"/>
        <v>0.65774116031582563</v>
      </c>
      <c r="CJ260" s="35">
        <f t="shared" si="204"/>
        <v>0.70910436713545522</v>
      </c>
      <c r="CK260" s="35">
        <f t="shared" si="205"/>
        <v>0.92756608307586685</v>
      </c>
      <c r="CL260" s="20">
        <v>2913</v>
      </c>
      <c r="CM260" s="20">
        <f t="shared" si="186"/>
        <v>211</v>
      </c>
      <c r="CN260" s="20">
        <v>2702</v>
      </c>
      <c r="CO260" s="20">
        <v>1916</v>
      </c>
      <c r="CP260" s="20">
        <f t="shared" si="187"/>
        <v>786</v>
      </c>
      <c r="CQ260" s="20"/>
      <c r="CR260" s="20"/>
      <c r="CS260" s="45">
        <v>2014</v>
      </c>
      <c r="CT260" s="48" t="s">
        <v>40</v>
      </c>
      <c r="CU260" s="35">
        <f t="shared" si="188"/>
        <v>0.47281553398058251</v>
      </c>
      <c r="CV260" s="35">
        <f t="shared" si="189"/>
        <v>0.71407624633431088</v>
      </c>
      <c r="CW260" s="35">
        <f t="shared" si="190"/>
        <v>0.6621359223300971</v>
      </c>
      <c r="CX260" s="20">
        <v>1030</v>
      </c>
      <c r="CY260" s="27">
        <f t="shared" si="272"/>
        <v>348</v>
      </c>
      <c r="CZ260" s="20">
        <v>682</v>
      </c>
      <c r="DA260" s="20">
        <v>487</v>
      </c>
      <c r="DB260" s="20">
        <f t="shared" si="273"/>
        <v>195</v>
      </c>
      <c r="DC260" s="20"/>
      <c r="DD260" s="20"/>
      <c r="DE260" s="45">
        <v>2014</v>
      </c>
      <c r="DF260" s="48" t="s">
        <v>40</v>
      </c>
      <c r="DG260" s="35">
        <f t="shared" si="193"/>
        <v>0.81548030407740157</v>
      </c>
      <c r="DH260" s="35">
        <f t="shared" si="194"/>
        <v>0.96959737058340179</v>
      </c>
      <c r="DI260" s="35">
        <f t="shared" si="195"/>
        <v>0.84105044920525229</v>
      </c>
      <c r="DJ260" s="20">
        <v>1447</v>
      </c>
      <c r="DK260" s="27">
        <f t="shared" si="274"/>
        <v>230</v>
      </c>
      <c r="DL260" s="20">
        <v>1217</v>
      </c>
      <c r="DM260" s="20">
        <v>1180</v>
      </c>
      <c r="DN260" s="20">
        <f t="shared" si="275"/>
        <v>37</v>
      </c>
      <c r="DO260" s="20"/>
      <c r="DP260" s="20"/>
      <c r="DQ260" s="45"/>
      <c r="DR260" s="48"/>
      <c r="DS260" s="35"/>
      <c r="DT260" s="35"/>
      <c r="DU260" s="35"/>
      <c r="DV260" s="27"/>
      <c r="DW260" s="27"/>
      <c r="DX260" s="27"/>
      <c r="DY260" s="27"/>
      <c r="DZ260" s="27"/>
      <c r="EA260" s="27"/>
      <c r="EB260" s="27"/>
    </row>
    <row r="261" spans="1:142" s="29" customFormat="1" ht="12.75">
      <c r="A261" s="46">
        <v>2014</v>
      </c>
      <c r="B261" s="47" t="s">
        <v>41</v>
      </c>
      <c r="C261" s="35">
        <f t="shared" si="198"/>
        <v>0.7413427220989679</v>
      </c>
      <c r="D261" s="35">
        <f t="shared" si="199"/>
        <v>0.81725861335601868</v>
      </c>
      <c r="E261" s="35">
        <f t="shared" si="200"/>
        <v>0.90710909617054114</v>
      </c>
      <c r="F26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20734</v>
      </c>
      <c r="G261" s="20">
        <f t="shared" si="201"/>
        <v>1926</v>
      </c>
      <c r="H26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18808</v>
      </c>
      <c r="I26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15371</v>
      </c>
      <c r="J261" s="20">
        <f t="shared" si="202"/>
        <v>3437</v>
      </c>
      <c r="K261" s="27"/>
      <c r="L261" s="27"/>
      <c r="M261" s="46">
        <v>2014</v>
      </c>
      <c r="N261" s="47" t="s">
        <v>41</v>
      </c>
      <c r="O261" s="35">
        <f t="shared" si="158"/>
        <v>0.76519230769230773</v>
      </c>
      <c r="P261" s="35">
        <f t="shared" si="159"/>
        <v>0.82312784443525033</v>
      </c>
      <c r="Q261" s="35">
        <f t="shared" si="160"/>
        <v>0.92961538461538462</v>
      </c>
      <c r="R261" s="20">
        <v>5200</v>
      </c>
      <c r="S261" s="27">
        <f t="shared" si="262"/>
        <v>366</v>
      </c>
      <c r="T261" s="20">
        <v>4834</v>
      </c>
      <c r="U261" s="20">
        <v>3979</v>
      </c>
      <c r="V261" s="20">
        <f t="shared" si="263"/>
        <v>855</v>
      </c>
      <c r="W261" s="20"/>
      <c r="X261" s="20"/>
      <c r="Y261" s="46"/>
      <c r="Z261" s="47"/>
      <c r="AA261" s="35"/>
      <c r="AB261" s="35"/>
      <c r="AC261" s="35"/>
      <c r="AD261" s="20"/>
      <c r="AE261" s="27"/>
      <c r="AF261" s="20"/>
      <c r="AG261" s="20"/>
      <c r="AH261" s="20"/>
      <c r="AI261" s="20"/>
      <c r="AJ261" s="20"/>
      <c r="AK261" s="46">
        <v>2014</v>
      </c>
      <c r="AL261" s="47" t="s">
        <v>41</v>
      </c>
      <c r="AM261" s="35">
        <f t="shared" si="163"/>
        <v>0.80385786802030457</v>
      </c>
      <c r="AN261" s="35">
        <f t="shared" si="164"/>
        <v>0.87453059421250279</v>
      </c>
      <c r="AO261" s="35">
        <f t="shared" si="165"/>
        <v>0.91918781725888321</v>
      </c>
      <c r="AP261" s="20">
        <v>4925</v>
      </c>
      <c r="AQ261" s="27">
        <f t="shared" si="264"/>
        <v>398</v>
      </c>
      <c r="AR261" s="20">
        <v>4527</v>
      </c>
      <c r="AS261" s="20">
        <v>3959</v>
      </c>
      <c r="AT261" s="20">
        <f t="shared" si="265"/>
        <v>568</v>
      </c>
      <c r="AU261" s="20"/>
      <c r="AV261" s="20"/>
      <c r="AW261" s="46">
        <v>2014</v>
      </c>
      <c r="AX261" s="47" t="s">
        <v>41</v>
      </c>
      <c r="AY261" s="35"/>
      <c r="AZ261" s="35"/>
      <c r="BA261" s="35"/>
      <c r="BB261" s="20"/>
      <c r="BC261" s="20"/>
      <c r="BD261" s="20"/>
      <c r="BE261" s="20"/>
      <c r="BF261" s="20"/>
      <c r="BG261" s="20"/>
      <c r="BH261" s="20"/>
      <c r="BI261" s="46">
        <v>2014</v>
      </c>
      <c r="BJ261" s="47" t="s">
        <v>41</v>
      </c>
      <c r="BK261" s="35">
        <f t="shared" si="173"/>
        <v>0.65304578130911839</v>
      </c>
      <c r="BL261" s="35">
        <f t="shared" si="174"/>
        <v>0.70766707667076667</v>
      </c>
      <c r="BM261" s="35">
        <f t="shared" si="175"/>
        <v>0.92281498297389331</v>
      </c>
      <c r="BN261" s="20">
        <v>2643</v>
      </c>
      <c r="BO261" s="27">
        <f t="shared" si="268"/>
        <v>204</v>
      </c>
      <c r="BP261" s="20">
        <v>2439</v>
      </c>
      <c r="BQ261" s="20">
        <v>1726</v>
      </c>
      <c r="BR261" s="20">
        <f t="shared" si="269"/>
        <v>713</v>
      </c>
      <c r="BS261" s="20"/>
      <c r="BT261" s="20"/>
      <c r="BU261" s="46">
        <v>2014</v>
      </c>
      <c r="BV261" s="47" t="s">
        <v>41</v>
      </c>
      <c r="BW261" s="35">
        <f t="shared" si="178"/>
        <v>0.78075065031586766</v>
      </c>
      <c r="BX261" s="35">
        <f t="shared" si="179"/>
        <v>0.87432376196421135</v>
      </c>
      <c r="BY261" s="35">
        <f t="shared" si="180"/>
        <v>0.8929765886287625</v>
      </c>
      <c r="BZ261" s="20">
        <v>2691</v>
      </c>
      <c r="CA261" s="27">
        <f t="shared" si="270"/>
        <v>288</v>
      </c>
      <c r="CB261" s="20">
        <v>2403</v>
      </c>
      <c r="CC261" s="20">
        <v>2101</v>
      </c>
      <c r="CD261" s="20">
        <f t="shared" si="271"/>
        <v>302</v>
      </c>
      <c r="CE261" s="20"/>
      <c r="CF261" s="20"/>
      <c r="CG261" s="46">
        <v>2014</v>
      </c>
      <c r="CH261" s="47" t="s">
        <v>41</v>
      </c>
      <c r="CI261" s="35">
        <f t="shared" si="203"/>
        <v>0.65661171518765349</v>
      </c>
      <c r="CJ261" s="35">
        <f t="shared" si="204"/>
        <v>0.70989761092150172</v>
      </c>
      <c r="CK261" s="35">
        <f t="shared" si="205"/>
        <v>0.92493861802876187</v>
      </c>
      <c r="CL261" s="20">
        <v>2851</v>
      </c>
      <c r="CM261" s="20">
        <f t="shared" si="186"/>
        <v>214</v>
      </c>
      <c r="CN261" s="20">
        <v>2637</v>
      </c>
      <c r="CO261" s="20">
        <v>1872</v>
      </c>
      <c r="CP261" s="20">
        <f t="shared" si="187"/>
        <v>765</v>
      </c>
      <c r="CQ261" s="20"/>
      <c r="CR261" s="20"/>
      <c r="CS261" s="46">
        <v>2014</v>
      </c>
      <c r="CT261" s="47" t="s">
        <v>41</v>
      </c>
      <c r="CU261" s="35">
        <f t="shared" si="188"/>
        <v>0.65174129353233834</v>
      </c>
      <c r="CV261" s="35">
        <f t="shared" si="189"/>
        <v>0.76251455180442373</v>
      </c>
      <c r="CW261" s="35">
        <f t="shared" si="190"/>
        <v>0.854726368159204</v>
      </c>
      <c r="CX261" s="20">
        <v>1005</v>
      </c>
      <c r="CY261" s="27">
        <f t="shared" si="272"/>
        <v>146</v>
      </c>
      <c r="CZ261" s="20">
        <v>859</v>
      </c>
      <c r="DA261" s="20">
        <v>655</v>
      </c>
      <c r="DB261" s="20">
        <f t="shared" si="273"/>
        <v>204</v>
      </c>
      <c r="DC261" s="20"/>
      <c r="DD261" s="20"/>
      <c r="DE261" s="46">
        <v>2014</v>
      </c>
      <c r="DF261" s="47" t="s">
        <v>41</v>
      </c>
      <c r="DG261" s="35">
        <f t="shared" si="193"/>
        <v>0.76039464411557434</v>
      </c>
      <c r="DH261" s="35">
        <f t="shared" si="194"/>
        <v>0.97294860234445446</v>
      </c>
      <c r="DI261" s="35">
        <f t="shared" si="195"/>
        <v>0.78153629316420015</v>
      </c>
      <c r="DJ261" s="20">
        <v>1419</v>
      </c>
      <c r="DK261" s="27">
        <f t="shared" si="274"/>
        <v>310</v>
      </c>
      <c r="DL261" s="20">
        <v>1109</v>
      </c>
      <c r="DM261" s="20">
        <v>1079</v>
      </c>
      <c r="DN261" s="20">
        <f t="shared" si="275"/>
        <v>30</v>
      </c>
      <c r="DO261" s="20"/>
      <c r="DP261" s="20"/>
      <c r="DQ261" s="46"/>
      <c r="DR261" s="47"/>
      <c r="DS261" s="35"/>
      <c r="DT261" s="35"/>
      <c r="DU261" s="35"/>
      <c r="DV261" s="27"/>
      <c r="DW261" s="27"/>
      <c r="DX261" s="27"/>
      <c r="DY261" s="27"/>
      <c r="DZ261" s="27"/>
      <c r="EA261" s="27"/>
      <c r="EB261" s="27"/>
    </row>
    <row r="262" spans="1:142" s="29" customFormat="1" ht="12.75">
      <c r="A262" s="45">
        <v>2014</v>
      </c>
      <c r="B262" s="48" t="s">
        <v>42</v>
      </c>
      <c r="C262" s="35">
        <f t="shared" si="198"/>
        <v>0.75443979544397954</v>
      </c>
      <c r="D262" s="35">
        <f t="shared" si="199"/>
        <v>0.78734656251516177</v>
      </c>
      <c r="E262" s="35">
        <f t="shared" si="200"/>
        <v>0.95820548582054854</v>
      </c>
      <c r="F26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21510</v>
      </c>
      <c r="G262" s="20">
        <f t="shared" si="201"/>
        <v>899</v>
      </c>
      <c r="H26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20611</v>
      </c>
      <c r="I26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16228</v>
      </c>
      <c r="J262" s="20">
        <f t="shared" si="202"/>
        <v>4383</v>
      </c>
      <c r="K262" s="27"/>
      <c r="L262" s="27"/>
      <c r="M262" s="45">
        <v>2014</v>
      </c>
      <c r="N262" s="48" t="s">
        <v>42</v>
      </c>
      <c r="O262" s="35">
        <f t="shared" ref="O262:O325" si="276">U262/R262</f>
        <v>0.78139448862585537</v>
      </c>
      <c r="P262" s="35">
        <f t="shared" ref="P262:P325" si="277">U262/T262</f>
        <v>0.80292664386164958</v>
      </c>
      <c r="Q262" s="35">
        <f t="shared" ref="Q262:Q325" si="278">T262/R262</f>
        <v>0.97318291104124288</v>
      </c>
      <c r="R262" s="20">
        <v>5407</v>
      </c>
      <c r="S262" s="27">
        <f t="shared" si="262"/>
        <v>145</v>
      </c>
      <c r="T262" s="20">
        <v>5262</v>
      </c>
      <c r="U262" s="20">
        <v>4225</v>
      </c>
      <c r="V262" s="20">
        <f t="shared" si="263"/>
        <v>1037</v>
      </c>
      <c r="W262" s="20"/>
      <c r="X262" s="20"/>
      <c r="Y262" s="45"/>
      <c r="Z262" s="48"/>
      <c r="AA262" s="35"/>
      <c r="AB262" s="35"/>
      <c r="AC262" s="35"/>
      <c r="AD262" s="20"/>
      <c r="AE262" s="27"/>
      <c r="AF262" s="20"/>
      <c r="AG262" s="20"/>
      <c r="AH262" s="20"/>
      <c r="AI262" s="20"/>
      <c r="AJ262" s="20"/>
      <c r="AK262" s="45">
        <v>2014</v>
      </c>
      <c r="AL262" s="48" t="s">
        <v>42</v>
      </c>
      <c r="AM262" s="35">
        <f t="shared" ref="AM262:AM325" si="279">AS262/AP262</f>
        <v>0.79597420363494231</v>
      </c>
      <c r="AN262" s="35">
        <f t="shared" ref="AN262:AN325" si="280">AS262/AR262</f>
        <v>0.84783513738551208</v>
      </c>
      <c r="AO262" s="35">
        <f t="shared" ref="AO262:AO325" si="281">AR262/AP262</f>
        <v>0.93883134649208522</v>
      </c>
      <c r="AP262" s="20">
        <v>5117</v>
      </c>
      <c r="AQ262" s="27">
        <f t="shared" si="264"/>
        <v>313</v>
      </c>
      <c r="AR262" s="20">
        <v>4804</v>
      </c>
      <c r="AS262" s="20">
        <v>4073</v>
      </c>
      <c r="AT262" s="20">
        <f t="shared" si="265"/>
        <v>731</v>
      </c>
      <c r="AU262" s="20"/>
      <c r="AV262" s="20"/>
      <c r="AW262" s="45">
        <v>2014</v>
      </c>
      <c r="AX262" s="48" t="s">
        <v>42</v>
      </c>
      <c r="AY262" s="35"/>
      <c r="AZ262" s="35"/>
      <c r="BA262" s="35"/>
      <c r="BB262" s="20"/>
      <c r="BC262" s="20"/>
      <c r="BD262" s="20"/>
      <c r="BE262" s="20"/>
      <c r="BF262" s="20"/>
      <c r="BG262" s="20"/>
      <c r="BH262" s="20"/>
      <c r="BI262" s="45">
        <v>2014</v>
      </c>
      <c r="BJ262" s="48" t="s">
        <v>42</v>
      </c>
      <c r="BK262" s="35">
        <f t="shared" ref="BK262:BK325" si="282">BQ262/BN262</f>
        <v>0.65984654731457804</v>
      </c>
      <c r="BL262" s="35">
        <f t="shared" ref="BL262:BL325" si="283">BQ262/BP262</f>
        <v>0.68073878627968343</v>
      </c>
      <c r="BM262" s="35">
        <f t="shared" ref="BM262:BM325" si="284">BP262/BN262</f>
        <v>0.96930946291560105</v>
      </c>
      <c r="BN262" s="20">
        <v>2737</v>
      </c>
      <c r="BO262" s="27">
        <f t="shared" si="268"/>
        <v>84</v>
      </c>
      <c r="BP262" s="20">
        <v>2653</v>
      </c>
      <c r="BQ262" s="20">
        <v>1806</v>
      </c>
      <c r="BR262" s="20">
        <f t="shared" si="269"/>
        <v>847</v>
      </c>
      <c r="BS262" s="20"/>
      <c r="BT262" s="20"/>
      <c r="BU262" s="45">
        <v>2014</v>
      </c>
      <c r="BV262" s="48" t="s">
        <v>42</v>
      </c>
      <c r="BW262" s="35">
        <f t="shared" ref="BW262:BW325" si="285">CC262/BZ262</f>
        <v>0.76479024740050194</v>
      </c>
      <c r="BX262" s="35">
        <f t="shared" ref="BX262:BX325" si="286">CC262/CB262</f>
        <v>0.80097634247089744</v>
      </c>
      <c r="BY262" s="35">
        <f t="shared" ref="BY262:BY325" si="287">CB262/BZ262</f>
        <v>0.95482251703119403</v>
      </c>
      <c r="BZ262" s="20">
        <v>2789</v>
      </c>
      <c r="CA262" s="27">
        <f t="shared" si="270"/>
        <v>126</v>
      </c>
      <c r="CB262" s="20">
        <v>2663</v>
      </c>
      <c r="CC262" s="20">
        <v>2133</v>
      </c>
      <c r="CD262" s="20">
        <f t="shared" si="271"/>
        <v>530</v>
      </c>
      <c r="CE262" s="20"/>
      <c r="CF262" s="20"/>
      <c r="CG262" s="45">
        <v>2014</v>
      </c>
      <c r="CH262" s="48" t="s">
        <v>42</v>
      </c>
      <c r="CI262" s="35">
        <f t="shared" ref="CI262:CI325" si="288">CO262/CL262</f>
        <v>0.65638766519823788</v>
      </c>
      <c r="CJ262" s="35">
        <f t="shared" ref="CJ262:CJ325" si="289">CO262/CN262</f>
        <v>0.68542108987968864</v>
      </c>
      <c r="CK262" s="35">
        <f t="shared" ref="CK262:CK325" si="290">CN262/CL262</f>
        <v>0.95764147746526607</v>
      </c>
      <c r="CL262" s="20">
        <v>2951</v>
      </c>
      <c r="CM262" s="20">
        <f t="shared" ref="CM262:CM277" si="291">CL262-CN262</f>
        <v>125</v>
      </c>
      <c r="CN262" s="20">
        <v>2826</v>
      </c>
      <c r="CO262" s="20">
        <v>1937</v>
      </c>
      <c r="CP262" s="20">
        <f t="shared" ref="CP262:CP277" si="292">CN262-CO262</f>
        <v>889</v>
      </c>
      <c r="CQ262" s="20"/>
      <c r="CR262" s="20"/>
      <c r="CS262" s="45">
        <v>2014</v>
      </c>
      <c r="CT262" s="48" t="s">
        <v>42</v>
      </c>
      <c r="CU262" s="35">
        <f t="shared" ref="CU262:CU325" si="293">DA262/CX262</f>
        <v>0.70769230769230773</v>
      </c>
      <c r="CV262" s="35">
        <f t="shared" ref="CV262:CV325" si="294">DA262/CZ262</f>
        <v>0.73306772908366535</v>
      </c>
      <c r="CW262" s="35">
        <f t="shared" ref="CW262:CW325" si="295">CZ262/CX262</f>
        <v>0.9653846153846154</v>
      </c>
      <c r="CX262" s="20">
        <v>1040</v>
      </c>
      <c r="CY262" s="27">
        <f t="shared" si="272"/>
        <v>36</v>
      </c>
      <c r="CZ262" s="20">
        <v>1004</v>
      </c>
      <c r="DA262" s="20">
        <v>736</v>
      </c>
      <c r="DB262" s="20">
        <f t="shared" si="273"/>
        <v>268</v>
      </c>
      <c r="DC262" s="20"/>
      <c r="DD262" s="20"/>
      <c r="DE262" s="45">
        <v>2014</v>
      </c>
      <c r="DF262" s="48" t="s">
        <v>42</v>
      </c>
      <c r="DG262" s="35">
        <f t="shared" ref="DG262:DG325" si="296">DM262/DJ262</f>
        <v>0.89720898570456098</v>
      </c>
      <c r="DH262" s="35">
        <f t="shared" ref="DH262:DH325" si="297">DM262/DL262</f>
        <v>0.94210150107219437</v>
      </c>
      <c r="DI262" s="35">
        <f t="shared" ref="DI262:DI325" si="298">DL262/DJ262</f>
        <v>0.95234853641933293</v>
      </c>
      <c r="DJ262" s="20">
        <v>1469</v>
      </c>
      <c r="DK262" s="27">
        <f t="shared" si="274"/>
        <v>70</v>
      </c>
      <c r="DL262" s="20">
        <v>1399</v>
      </c>
      <c r="DM262" s="20">
        <v>1318</v>
      </c>
      <c r="DN262" s="20">
        <f t="shared" si="275"/>
        <v>81</v>
      </c>
      <c r="DO262" s="20"/>
      <c r="DP262" s="20"/>
      <c r="DQ262" s="45"/>
      <c r="DR262" s="48"/>
      <c r="DS262" s="35"/>
      <c r="DT262" s="35"/>
      <c r="DU262" s="35"/>
      <c r="DV262" s="27"/>
      <c r="DW262" s="27"/>
      <c r="DX262" s="27"/>
      <c r="DY262" s="27"/>
      <c r="DZ262" s="27"/>
      <c r="EA262" s="27"/>
      <c r="EB262" s="27"/>
    </row>
    <row r="263" spans="1:142" s="29" customFormat="1" ht="12.75">
      <c r="A263" s="46">
        <v>2014</v>
      </c>
      <c r="B263" s="47" t="s">
        <v>43</v>
      </c>
      <c r="C263" s="35">
        <f t="shared" ref="C263:C326" si="299">I263/F263</f>
        <v>0.72743925954492861</v>
      </c>
      <c r="D263" s="35">
        <f t="shared" ref="D263:D326" si="300">I263/H263</f>
        <v>0.7629303807068103</v>
      </c>
      <c r="E263" s="35">
        <f t="shared" ref="E263:E326" si="301">H263/F263</f>
        <v>0.95348052448900888</v>
      </c>
      <c r="F26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20744</v>
      </c>
      <c r="G263" s="20">
        <f t="shared" ref="G263:G326" si="302">F263-H263</f>
        <v>965</v>
      </c>
      <c r="H26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19779</v>
      </c>
      <c r="I26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15090</v>
      </c>
      <c r="J263" s="20">
        <f t="shared" ref="J263:J326" si="303">H263-I263</f>
        <v>4689</v>
      </c>
      <c r="K263" s="27"/>
      <c r="L263" s="27"/>
      <c r="M263" s="46">
        <v>2014</v>
      </c>
      <c r="N263" s="47" t="s">
        <v>43</v>
      </c>
      <c r="O263" s="35">
        <f t="shared" si="276"/>
        <v>0.73630986452966996</v>
      </c>
      <c r="P263" s="35">
        <f t="shared" si="277"/>
        <v>0.75415282392026584</v>
      </c>
      <c r="Q263" s="35">
        <f t="shared" si="278"/>
        <v>0.9763403930547605</v>
      </c>
      <c r="R263" s="20">
        <v>5241</v>
      </c>
      <c r="S263" s="27">
        <f t="shared" si="262"/>
        <v>124</v>
      </c>
      <c r="T263" s="20">
        <v>5117</v>
      </c>
      <c r="U263" s="20">
        <v>3859</v>
      </c>
      <c r="V263" s="20">
        <f t="shared" si="263"/>
        <v>1258</v>
      </c>
      <c r="W263" s="20"/>
      <c r="X263" s="20"/>
      <c r="Y263" s="46"/>
      <c r="Z263" s="47"/>
      <c r="AA263" s="35"/>
      <c r="AB263" s="35"/>
      <c r="AC263" s="35"/>
      <c r="AD263" s="20"/>
      <c r="AE263" s="27"/>
      <c r="AF263" s="20"/>
      <c r="AG263" s="20"/>
      <c r="AH263" s="20"/>
      <c r="AI263" s="20"/>
      <c r="AJ263" s="20"/>
      <c r="AK263" s="46">
        <v>2014</v>
      </c>
      <c r="AL263" s="47" t="s">
        <v>43</v>
      </c>
      <c r="AM263" s="35">
        <f t="shared" si="279"/>
        <v>0.78775510204081634</v>
      </c>
      <c r="AN263" s="35">
        <f t="shared" si="280"/>
        <v>0.81160639192598827</v>
      </c>
      <c r="AO263" s="35">
        <f t="shared" si="281"/>
        <v>0.97061224489795916</v>
      </c>
      <c r="AP263" s="20">
        <v>4900</v>
      </c>
      <c r="AQ263" s="27">
        <f t="shared" si="264"/>
        <v>144</v>
      </c>
      <c r="AR263" s="20">
        <v>4756</v>
      </c>
      <c r="AS263" s="20">
        <v>3860</v>
      </c>
      <c r="AT263" s="20">
        <f t="shared" si="265"/>
        <v>896</v>
      </c>
      <c r="AU263" s="20"/>
      <c r="AV263" s="20"/>
      <c r="AW263" s="46">
        <v>2014</v>
      </c>
      <c r="AX263" s="47" t="s">
        <v>43</v>
      </c>
      <c r="AY263" s="35"/>
      <c r="AZ263" s="35"/>
      <c r="BA263" s="35"/>
      <c r="BB263" s="20"/>
      <c r="BC263" s="20"/>
      <c r="BD263" s="20"/>
      <c r="BE263" s="20"/>
      <c r="BF263" s="20"/>
      <c r="BG263" s="20"/>
      <c r="BH263" s="20"/>
      <c r="BI263" s="46">
        <v>2014</v>
      </c>
      <c r="BJ263" s="47" t="s">
        <v>43</v>
      </c>
      <c r="BK263" s="35">
        <f t="shared" si="282"/>
        <v>0.66239155035835529</v>
      </c>
      <c r="BL263" s="35">
        <f t="shared" si="283"/>
        <v>0.6954455445544554</v>
      </c>
      <c r="BM263" s="35">
        <f t="shared" si="284"/>
        <v>0.9524707657487741</v>
      </c>
      <c r="BN263" s="20">
        <v>2651</v>
      </c>
      <c r="BO263" s="27">
        <f t="shared" si="268"/>
        <v>126</v>
      </c>
      <c r="BP263" s="20">
        <v>2525</v>
      </c>
      <c r="BQ263" s="20">
        <v>1756</v>
      </c>
      <c r="BR263" s="20">
        <f t="shared" si="269"/>
        <v>769</v>
      </c>
      <c r="BS263" s="20"/>
      <c r="BT263" s="20"/>
      <c r="BU263" s="46">
        <v>2014</v>
      </c>
      <c r="BV263" s="47" t="s">
        <v>43</v>
      </c>
      <c r="BW263" s="35">
        <f t="shared" si="285"/>
        <v>0.76477187733732233</v>
      </c>
      <c r="BX263" s="35">
        <f t="shared" si="286"/>
        <v>0.81931089743589747</v>
      </c>
      <c r="BY263" s="35">
        <f t="shared" si="287"/>
        <v>0.9334330590875094</v>
      </c>
      <c r="BZ263" s="20">
        <v>2674</v>
      </c>
      <c r="CA263" s="27">
        <f t="shared" si="270"/>
        <v>178</v>
      </c>
      <c r="CB263" s="20">
        <v>2496</v>
      </c>
      <c r="CC263" s="20">
        <v>2045</v>
      </c>
      <c r="CD263" s="20">
        <f t="shared" si="271"/>
        <v>451</v>
      </c>
      <c r="CE263" s="20"/>
      <c r="CF263" s="20"/>
      <c r="CG263" s="46">
        <v>2014</v>
      </c>
      <c r="CH263" s="47" t="s">
        <v>43</v>
      </c>
      <c r="CI263" s="35">
        <f t="shared" si="288"/>
        <v>0.632373595505618</v>
      </c>
      <c r="CJ263" s="35">
        <f t="shared" si="289"/>
        <v>0.68661837590545183</v>
      </c>
      <c r="CK263" s="35">
        <f t="shared" si="290"/>
        <v>0.920997191011236</v>
      </c>
      <c r="CL263" s="20">
        <v>2848</v>
      </c>
      <c r="CM263" s="20">
        <f t="shared" si="291"/>
        <v>225</v>
      </c>
      <c r="CN263" s="20">
        <v>2623</v>
      </c>
      <c r="CO263" s="20">
        <v>1801</v>
      </c>
      <c r="CP263" s="20">
        <f t="shared" si="292"/>
        <v>822</v>
      </c>
      <c r="CQ263" s="20"/>
      <c r="CR263" s="20"/>
      <c r="CS263" s="46">
        <v>2014</v>
      </c>
      <c r="CT263" s="47" t="s">
        <v>43</v>
      </c>
      <c r="CU263" s="35">
        <f t="shared" si="293"/>
        <v>0.46924603174603174</v>
      </c>
      <c r="CV263" s="35">
        <f t="shared" si="294"/>
        <v>0.51750547045951856</v>
      </c>
      <c r="CW263" s="35">
        <f t="shared" si="295"/>
        <v>0.90674603174603174</v>
      </c>
      <c r="CX263" s="20">
        <v>1008</v>
      </c>
      <c r="CY263" s="27">
        <f t="shared" si="272"/>
        <v>94</v>
      </c>
      <c r="CZ263" s="20">
        <v>914</v>
      </c>
      <c r="DA263" s="20">
        <v>473</v>
      </c>
      <c r="DB263" s="20">
        <f t="shared" si="273"/>
        <v>441</v>
      </c>
      <c r="DC263" s="20"/>
      <c r="DD263" s="20"/>
      <c r="DE263" s="46">
        <v>2014</v>
      </c>
      <c r="DF263" s="47" t="s">
        <v>43</v>
      </c>
      <c r="DG263" s="35">
        <f t="shared" si="296"/>
        <v>0.91139240506329111</v>
      </c>
      <c r="DH263" s="35">
        <f t="shared" si="297"/>
        <v>0.96142433234421365</v>
      </c>
      <c r="DI263" s="35">
        <f t="shared" si="298"/>
        <v>0.9479606188466948</v>
      </c>
      <c r="DJ263" s="20">
        <v>1422</v>
      </c>
      <c r="DK263" s="27">
        <f t="shared" si="274"/>
        <v>74</v>
      </c>
      <c r="DL263" s="20">
        <v>1348</v>
      </c>
      <c r="DM263" s="20">
        <v>1296</v>
      </c>
      <c r="DN263" s="20">
        <f t="shared" si="275"/>
        <v>52</v>
      </c>
      <c r="DO263" s="20"/>
      <c r="DP263" s="20"/>
      <c r="DQ263" s="46"/>
      <c r="DR263" s="47"/>
      <c r="DS263" s="35"/>
      <c r="DT263" s="35"/>
      <c r="DU263" s="35"/>
      <c r="DV263" s="27"/>
      <c r="DW263" s="27"/>
      <c r="DX263" s="27"/>
      <c r="DY263" s="27"/>
      <c r="DZ263" s="27"/>
      <c r="EA263" s="27"/>
      <c r="EB263" s="27"/>
    </row>
    <row r="264" spans="1:142" s="29" customFormat="1" ht="12.75">
      <c r="A264" s="45">
        <v>2014</v>
      </c>
      <c r="B264" s="48" t="s">
        <v>44</v>
      </c>
      <c r="C264" s="35">
        <f t="shared" si="299"/>
        <v>0.75027457440966505</v>
      </c>
      <c r="D264" s="35">
        <f t="shared" si="300"/>
        <v>0.78268964529526897</v>
      </c>
      <c r="E264" s="35">
        <f t="shared" si="301"/>
        <v>0.95858502654219291</v>
      </c>
      <c r="F26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21852</v>
      </c>
      <c r="G264" s="20">
        <f t="shared" si="302"/>
        <v>905</v>
      </c>
      <c r="H26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20947</v>
      </c>
      <c r="I26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J264" s="20">
        <f t="shared" si="303"/>
        <v>4552</v>
      </c>
      <c r="K264" s="27"/>
      <c r="L264" s="27"/>
      <c r="M264" s="45">
        <v>2014</v>
      </c>
      <c r="N264" s="48" t="s">
        <v>44</v>
      </c>
      <c r="O264" s="35">
        <f t="shared" si="276"/>
        <v>0.7689257390050469</v>
      </c>
      <c r="P264" s="35">
        <f t="shared" si="277"/>
        <v>0.78650442477876104</v>
      </c>
      <c r="Q264" s="35">
        <f t="shared" si="278"/>
        <v>0.97764960346070651</v>
      </c>
      <c r="R264" s="20">
        <v>5548</v>
      </c>
      <c r="S264" s="27">
        <f t="shared" si="262"/>
        <v>124</v>
      </c>
      <c r="T264" s="20">
        <v>5424</v>
      </c>
      <c r="U264" s="20">
        <v>4266</v>
      </c>
      <c r="V264" s="20">
        <f t="shared" si="263"/>
        <v>1158</v>
      </c>
      <c r="W264" s="20"/>
      <c r="X264" s="20"/>
      <c r="Y264" s="45"/>
      <c r="Z264" s="48"/>
      <c r="AA264" s="35"/>
      <c r="AB264" s="35"/>
      <c r="AC264" s="35"/>
      <c r="AD264" s="20"/>
      <c r="AE264" s="27"/>
      <c r="AF264" s="20"/>
      <c r="AG264" s="20"/>
      <c r="AH264" s="20"/>
      <c r="AI264" s="20"/>
      <c r="AJ264" s="20"/>
      <c r="AK264" s="45">
        <v>2014</v>
      </c>
      <c r="AL264" s="48" t="s">
        <v>44</v>
      </c>
      <c r="AM264" s="35">
        <f t="shared" si="279"/>
        <v>0.82268679829655444</v>
      </c>
      <c r="AN264" s="35">
        <f t="shared" si="280"/>
        <v>0.85255767301905716</v>
      </c>
      <c r="AO264" s="35">
        <f t="shared" si="281"/>
        <v>0.96496322106078203</v>
      </c>
      <c r="AP264" s="20">
        <v>5166</v>
      </c>
      <c r="AQ264" s="27">
        <f t="shared" si="264"/>
        <v>181</v>
      </c>
      <c r="AR264" s="20">
        <v>4985</v>
      </c>
      <c r="AS264" s="20">
        <v>4250</v>
      </c>
      <c r="AT264" s="20">
        <f t="shared" si="265"/>
        <v>735</v>
      </c>
      <c r="AU264" s="20"/>
      <c r="AV264" s="20"/>
      <c r="AW264" s="45">
        <v>2014</v>
      </c>
      <c r="AX264" s="48" t="s">
        <v>44</v>
      </c>
      <c r="AY264" s="35"/>
      <c r="AZ264" s="35"/>
      <c r="BA264" s="35"/>
      <c r="BB264" s="20"/>
      <c r="BC264" s="20"/>
      <c r="BD264" s="20"/>
      <c r="BE264" s="20"/>
      <c r="BF264" s="20"/>
      <c r="BG264" s="20"/>
      <c r="BH264" s="20"/>
      <c r="BI264" s="45">
        <v>2014</v>
      </c>
      <c r="BJ264" s="48" t="s">
        <v>44</v>
      </c>
      <c r="BK264" s="35">
        <f t="shared" si="282"/>
        <v>0.68595927116827438</v>
      </c>
      <c r="BL264" s="35">
        <f t="shared" si="283"/>
        <v>0.71668533034714443</v>
      </c>
      <c r="BM264" s="35">
        <f t="shared" si="284"/>
        <v>0.95712754555198287</v>
      </c>
      <c r="BN264" s="20">
        <v>2799</v>
      </c>
      <c r="BO264" s="27">
        <f t="shared" si="268"/>
        <v>120</v>
      </c>
      <c r="BP264" s="20">
        <v>2679</v>
      </c>
      <c r="BQ264" s="20">
        <v>1920</v>
      </c>
      <c r="BR264" s="20">
        <f t="shared" si="269"/>
        <v>759</v>
      </c>
      <c r="BS264" s="20"/>
      <c r="BT264" s="20"/>
      <c r="BU264" s="45">
        <v>2014</v>
      </c>
      <c r="BV264" s="48" t="s">
        <v>44</v>
      </c>
      <c r="BW264" s="35">
        <f t="shared" si="285"/>
        <v>0.77578796561604579</v>
      </c>
      <c r="BX264" s="35">
        <f t="shared" si="286"/>
        <v>0.81828485077446167</v>
      </c>
      <c r="BY264" s="35">
        <f t="shared" si="287"/>
        <v>0.94806590257879653</v>
      </c>
      <c r="BZ264" s="20">
        <v>2792</v>
      </c>
      <c r="CA264" s="27">
        <f t="shared" si="270"/>
        <v>145</v>
      </c>
      <c r="CB264" s="20">
        <v>2647</v>
      </c>
      <c r="CC264" s="20">
        <v>2166</v>
      </c>
      <c r="CD264" s="20">
        <f t="shared" si="271"/>
        <v>481</v>
      </c>
      <c r="CE264" s="20"/>
      <c r="CF264" s="20"/>
      <c r="CG264" s="45">
        <v>2014</v>
      </c>
      <c r="CH264" s="48" t="s">
        <v>44</v>
      </c>
      <c r="CI264" s="35">
        <f t="shared" si="288"/>
        <v>0.63063660477453576</v>
      </c>
      <c r="CJ264" s="35">
        <f t="shared" si="289"/>
        <v>0.67710929156283373</v>
      </c>
      <c r="CK264" s="35">
        <f t="shared" si="290"/>
        <v>0.93136604774535814</v>
      </c>
      <c r="CL264" s="20">
        <v>3016</v>
      </c>
      <c r="CM264" s="20">
        <f t="shared" si="291"/>
        <v>207</v>
      </c>
      <c r="CN264" s="20">
        <v>2809</v>
      </c>
      <c r="CO264" s="20">
        <v>1902</v>
      </c>
      <c r="CP264" s="20">
        <f t="shared" si="292"/>
        <v>907</v>
      </c>
      <c r="CQ264" s="20"/>
      <c r="CR264" s="20"/>
      <c r="CS264" s="45">
        <v>2014</v>
      </c>
      <c r="CT264" s="48" t="s">
        <v>44</v>
      </c>
      <c r="CU264" s="35">
        <f t="shared" si="293"/>
        <v>0.47041984732824427</v>
      </c>
      <c r="CV264" s="35">
        <f t="shared" si="294"/>
        <v>0.51354166666666667</v>
      </c>
      <c r="CW264" s="35">
        <f t="shared" si="295"/>
        <v>0.91603053435114501</v>
      </c>
      <c r="CX264" s="20">
        <v>1048</v>
      </c>
      <c r="CY264" s="27">
        <f t="shared" si="272"/>
        <v>88</v>
      </c>
      <c r="CZ264" s="20">
        <v>960</v>
      </c>
      <c r="DA264" s="20">
        <v>493</v>
      </c>
      <c r="DB264" s="20">
        <f t="shared" si="273"/>
        <v>467</v>
      </c>
      <c r="DC264" s="20"/>
      <c r="DD264" s="20"/>
      <c r="DE264" s="45">
        <v>2014</v>
      </c>
      <c r="DF264" s="48" t="s">
        <v>44</v>
      </c>
      <c r="DG264" s="35">
        <f t="shared" si="296"/>
        <v>0.94268374915711395</v>
      </c>
      <c r="DH264" s="35">
        <f t="shared" si="297"/>
        <v>0.96881496881496887</v>
      </c>
      <c r="DI264" s="35">
        <f t="shared" si="298"/>
        <v>0.97302764666217123</v>
      </c>
      <c r="DJ264" s="20">
        <v>1483</v>
      </c>
      <c r="DK264" s="27">
        <f t="shared" si="274"/>
        <v>40</v>
      </c>
      <c r="DL264" s="20">
        <v>1443</v>
      </c>
      <c r="DM264" s="20">
        <v>1398</v>
      </c>
      <c r="DN264" s="20">
        <f t="shared" si="275"/>
        <v>45</v>
      </c>
      <c r="DO264" s="20"/>
      <c r="DP264" s="20"/>
      <c r="DQ264" s="45"/>
      <c r="DR264" s="48"/>
      <c r="DS264" s="35"/>
      <c r="DT264" s="35"/>
      <c r="DU264" s="35"/>
      <c r="DV264" s="27"/>
      <c r="DW264" s="27"/>
      <c r="DX264" s="27"/>
      <c r="DY264" s="27"/>
      <c r="DZ264" s="27"/>
      <c r="EA264" s="27"/>
      <c r="EB264" s="27"/>
    </row>
    <row r="265" spans="1:142" s="29" customFormat="1" ht="12.75">
      <c r="A265" s="46">
        <v>2014</v>
      </c>
      <c r="B265" s="47" t="s">
        <v>45</v>
      </c>
      <c r="C265" s="35">
        <f t="shared" si="299"/>
        <v>0.73961982158703465</v>
      </c>
      <c r="D265" s="35">
        <f t="shared" si="300"/>
        <v>0.7984672011294307</v>
      </c>
      <c r="E265" s="35">
        <f t="shared" si="301"/>
        <v>0.92629956564382798</v>
      </c>
      <c r="F26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21411</v>
      </c>
      <c r="G265" s="20">
        <f t="shared" si="302"/>
        <v>1578</v>
      </c>
      <c r="H26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19833</v>
      </c>
      <c r="I26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15836</v>
      </c>
      <c r="J265" s="20">
        <f t="shared" si="303"/>
        <v>3997</v>
      </c>
      <c r="K265" s="27"/>
      <c r="L265" s="27"/>
      <c r="M265" s="46">
        <v>2014</v>
      </c>
      <c r="N265" s="47" t="s">
        <v>45</v>
      </c>
      <c r="O265" s="35">
        <f t="shared" si="276"/>
        <v>0.74662474570001847</v>
      </c>
      <c r="P265" s="35">
        <f t="shared" si="277"/>
        <v>0.80019821605550046</v>
      </c>
      <c r="Q265" s="35">
        <f t="shared" si="278"/>
        <v>0.93304975032365456</v>
      </c>
      <c r="R265" s="20">
        <v>5407</v>
      </c>
      <c r="S265" s="27">
        <f t="shared" si="262"/>
        <v>362</v>
      </c>
      <c r="T265" s="20">
        <v>5045</v>
      </c>
      <c r="U265" s="20">
        <v>4037</v>
      </c>
      <c r="V265" s="20">
        <f t="shared" si="263"/>
        <v>1008</v>
      </c>
      <c r="W265" s="20"/>
      <c r="X265" s="20"/>
      <c r="Y265" s="46"/>
      <c r="Z265" s="47"/>
      <c r="AA265" s="35"/>
      <c r="AB265" s="35"/>
      <c r="AC265" s="35"/>
      <c r="AD265" s="20"/>
      <c r="AE265" s="27"/>
      <c r="AF265" s="20"/>
      <c r="AG265" s="20"/>
      <c r="AH265" s="20"/>
      <c r="AI265" s="20"/>
      <c r="AJ265" s="20"/>
      <c r="AK265" s="46">
        <v>2014</v>
      </c>
      <c r="AL265" s="47" t="s">
        <v>45</v>
      </c>
      <c r="AM265" s="35">
        <f t="shared" si="279"/>
        <v>0.8166370282552855</v>
      </c>
      <c r="AN265" s="35">
        <f t="shared" si="280"/>
        <v>0.88086104006820121</v>
      </c>
      <c r="AO265" s="35">
        <f t="shared" si="281"/>
        <v>0.92708950800237111</v>
      </c>
      <c r="AP265" s="20">
        <v>5061</v>
      </c>
      <c r="AQ265" s="27">
        <f t="shared" si="264"/>
        <v>369</v>
      </c>
      <c r="AR265" s="20">
        <v>4692</v>
      </c>
      <c r="AS265" s="20">
        <v>4133</v>
      </c>
      <c r="AT265" s="20">
        <f t="shared" si="265"/>
        <v>559</v>
      </c>
      <c r="AU265" s="20"/>
      <c r="AV265" s="20"/>
      <c r="AW265" s="46">
        <v>2014</v>
      </c>
      <c r="AX265" s="47" t="s">
        <v>45</v>
      </c>
      <c r="AY265" s="35"/>
      <c r="AZ265" s="35"/>
      <c r="BA265" s="35"/>
      <c r="BB265" s="20"/>
      <c r="BC265" s="20"/>
      <c r="BD265" s="20"/>
      <c r="BE265" s="20"/>
      <c r="BF265" s="20"/>
      <c r="BG265" s="20"/>
      <c r="BH265" s="20"/>
      <c r="BI265" s="46">
        <v>2014</v>
      </c>
      <c r="BJ265" s="47" t="s">
        <v>45</v>
      </c>
      <c r="BK265" s="35">
        <f t="shared" si="282"/>
        <v>0.67069154774972561</v>
      </c>
      <c r="BL265" s="35">
        <f t="shared" si="283"/>
        <v>0.71601562500000004</v>
      </c>
      <c r="BM265" s="35">
        <f t="shared" si="284"/>
        <v>0.93669959751189169</v>
      </c>
      <c r="BN265" s="20">
        <v>2733</v>
      </c>
      <c r="BO265" s="27">
        <f t="shared" si="268"/>
        <v>173</v>
      </c>
      <c r="BP265" s="20">
        <v>2560</v>
      </c>
      <c r="BQ265" s="20">
        <v>1833</v>
      </c>
      <c r="BR265" s="20">
        <f t="shared" si="269"/>
        <v>727</v>
      </c>
      <c r="BS265" s="20"/>
      <c r="BT265" s="20"/>
      <c r="BU265" s="46">
        <v>2014</v>
      </c>
      <c r="BV265" s="47" t="s">
        <v>45</v>
      </c>
      <c r="BW265" s="35">
        <f t="shared" si="285"/>
        <v>0.73191027496382055</v>
      </c>
      <c r="BX265" s="35">
        <f t="shared" si="286"/>
        <v>0.81638418079096042</v>
      </c>
      <c r="BY265" s="35">
        <f t="shared" si="287"/>
        <v>0.89652677279305359</v>
      </c>
      <c r="BZ265" s="20">
        <v>2764</v>
      </c>
      <c r="CA265" s="27">
        <f t="shared" si="270"/>
        <v>286</v>
      </c>
      <c r="CB265" s="20">
        <v>2478</v>
      </c>
      <c r="CC265" s="20">
        <v>2023</v>
      </c>
      <c r="CD265" s="20">
        <f t="shared" si="271"/>
        <v>455</v>
      </c>
      <c r="CE265" s="20"/>
      <c r="CF265" s="20"/>
      <c r="CG265" s="46">
        <v>2014</v>
      </c>
      <c r="CH265" s="47" t="s">
        <v>45</v>
      </c>
      <c r="CI265" s="35">
        <f t="shared" si="288"/>
        <v>0.65202587674497792</v>
      </c>
      <c r="CJ265" s="35">
        <f t="shared" si="289"/>
        <v>0.70172224257969951</v>
      </c>
      <c r="CK265" s="35">
        <f t="shared" si="290"/>
        <v>0.92917943479741227</v>
      </c>
      <c r="CL265" s="20">
        <v>2937</v>
      </c>
      <c r="CM265" s="20">
        <f t="shared" si="291"/>
        <v>208</v>
      </c>
      <c r="CN265" s="20">
        <v>2729</v>
      </c>
      <c r="CO265" s="20">
        <v>1915</v>
      </c>
      <c r="CP265" s="20">
        <f t="shared" si="292"/>
        <v>814</v>
      </c>
      <c r="CQ265" s="20"/>
      <c r="CR265" s="20"/>
      <c r="CS265" s="46">
        <v>2014</v>
      </c>
      <c r="CT265" s="47" t="s">
        <v>45</v>
      </c>
      <c r="CU265" s="35">
        <f t="shared" si="293"/>
        <v>0.50865384615384612</v>
      </c>
      <c r="CV265" s="35">
        <f t="shared" si="294"/>
        <v>0.56216790648246551</v>
      </c>
      <c r="CW265" s="35">
        <f t="shared" si="295"/>
        <v>0.90480769230769231</v>
      </c>
      <c r="CX265" s="20">
        <v>1040</v>
      </c>
      <c r="CY265" s="27">
        <f t="shared" si="272"/>
        <v>99</v>
      </c>
      <c r="CZ265" s="20">
        <v>941</v>
      </c>
      <c r="DA265" s="20">
        <v>529</v>
      </c>
      <c r="DB265" s="20">
        <f t="shared" si="273"/>
        <v>412</v>
      </c>
      <c r="DC265" s="20"/>
      <c r="DD265" s="20"/>
      <c r="DE265" s="46">
        <v>2014</v>
      </c>
      <c r="DF265" s="47" t="s">
        <v>45</v>
      </c>
      <c r="DG265" s="35">
        <f t="shared" si="296"/>
        <v>0.92988427501701842</v>
      </c>
      <c r="DH265" s="35">
        <f t="shared" si="297"/>
        <v>0.98414985590778103</v>
      </c>
      <c r="DI265" s="35">
        <f t="shared" si="298"/>
        <v>0.94486044928522805</v>
      </c>
      <c r="DJ265" s="20">
        <v>1469</v>
      </c>
      <c r="DK265" s="27">
        <f t="shared" si="274"/>
        <v>81</v>
      </c>
      <c r="DL265" s="20">
        <v>1388</v>
      </c>
      <c r="DM265" s="20">
        <v>1366</v>
      </c>
      <c r="DN265" s="20">
        <f t="shared" si="275"/>
        <v>22</v>
      </c>
      <c r="DO265" s="20"/>
      <c r="DP265" s="20"/>
      <c r="DQ265" s="46"/>
      <c r="DR265" s="47"/>
      <c r="DS265" s="35"/>
      <c r="DT265" s="35"/>
      <c r="DU265" s="35"/>
      <c r="DV265" s="27"/>
      <c r="DW265" s="27"/>
      <c r="DX265" s="27"/>
      <c r="DY265" s="27"/>
      <c r="DZ265" s="27"/>
      <c r="EA265" s="27"/>
      <c r="EB265" s="27"/>
    </row>
    <row r="266" spans="1:142" s="29" customFormat="1" ht="12.75">
      <c r="A266" s="45">
        <v>2014</v>
      </c>
      <c r="B266" s="48" t="s">
        <v>46</v>
      </c>
      <c r="C266" s="35">
        <f t="shared" si="299"/>
        <v>0.76234132581100145</v>
      </c>
      <c r="D266" s="35">
        <f t="shared" si="300"/>
        <v>0.78993520728796218</v>
      </c>
      <c r="E266" s="35">
        <f t="shared" si="301"/>
        <v>0.96506817113305121</v>
      </c>
      <c r="F26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21270</v>
      </c>
      <c r="G266" s="20">
        <f t="shared" si="302"/>
        <v>743</v>
      </c>
      <c r="H26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20527</v>
      </c>
      <c r="I26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16215</v>
      </c>
      <c r="J266" s="20">
        <f t="shared" si="303"/>
        <v>4312</v>
      </c>
      <c r="K266" s="27"/>
      <c r="L266" s="27"/>
      <c r="M266" s="45">
        <v>2014</v>
      </c>
      <c r="N266" s="48" t="s">
        <v>46</v>
      </c>
      <c r="O266" s="35">
        <f t="shared" si="276"/>
        <v>0.73032471106219043</v>
      </c>
      <c r="P266" s="35">
        <f t="shared" si="277"/>
        <v>0.75655644241733178</v>
      </c>
      <c r="Q266" s="35">
        <f t="shared" si="278"/>
        <v>0.96532746285085302</v>
      </c>
      <c r="R266" s="20">
        <v>5451</v>
      </c>
      <c r="S266" s="27">
        <f t="shared" si="262"/>
        <v>189</v>
      </c>
      <c r="T266" s="20">
        <v>5262</v>
      </c>
      <c r="U266" s="20">
        <v>3981</v>
      </c>
      <c r="V266" s="20">
        <f t="shared" si="263"/>
        <v>1281</v>
      </c>
      <c r="W266" s="20"/>
      <c r="X266" s="20"/>
      <c r="Y266" s="45"/>
      <c r="Z266" s="48"/>
      <c r="AA266" s="35"/>
      <c r="AB266" s="35"/>
      <c r="AC266" s="35"/>
      <c r="AD266" s="20"/>
      <c r="AE266" s="27"/>
      <c r="AF266" s="20"/>
      <c r="AG266" s="20"/>
      <c r="AH266" s="20"/>
      <c r="AI266" s="20"/>
      <c r="AJ266" s="20"/>
      <c r="AK266" s="45">
        <v>2014</v>
      </c>
      <c r="AL266" s="48" t="s">
        <v>46</v>
      </c>
      <c r="AM266" s="35">
        <f t="shared" si="279"/>
        <v>0.80410742496050558</v>
      </c>
      <c r="AN266" s="35">
        <f t="shared" si="280"/>
        <v>0.84201819685690649</v>
      </c>
      <c r="AO266" s="35">
        <f t="shared" si="281"/>
        <v>0.95497630331753558</v>
      </c>
      <c r="AP266" s="20">
        <v>5064</v>
      </c>
      <c r="AQ266" s="27">
        <f t="shared" si="264"/>
        <v>228</v>
      </c>
      <c r="AR266" s="20">
        <v>4836</v>
      </c>
      <c r="AS266" s="20">
        <v>4072</v>
      </c>
      <c r="AT266" s="20">
        <f t="shared" si="265"/>
        <v>764</v>
      </c>
      <c r="AU266" s="20"/>
      <c r="AV266" s="20"/>
      <c r="AW266" s="45">
        <v>2014</v>
      </c>
      <c r="AX266" s="48" t="s">
        <v>46</v>
      </c>
      <c r="AY266" s="35"/>
      <c r="AZ266" s="35"/>
      <c r="BA266" s="35"/>
      <c r="BB266" s="20"/>
      <c r="BC266" s="20"/>
      <c r="BD266" s="20"/>
      <c r="BE266" s="20"/>
      <c r="BF266" s="20"/>
      <c r="BG266" s="20"/>
      <c r="BH266" s="20"/>
      <c r="BI266" s="45">
        <v>2014</v>
      </c>
      <c r="BJ266" s="48" t="s">
        <v>46</v>
      </c>
      <c r="BK266" s="35">
        <f t="shared" si="282"/>
        <v>0.72017837235228543</v>
      </c>
      <c r="BL266" s="35">
        <f t="shared" si="283"/>
        <v>0.74167623421354767</v>
      </c>
      <c r="BM266" s="35">
        <f t="shared" si="284"/>
        <v>0.97101449275362317</v>
      </c>
      <c r="BN266" s="20">
        <v>2691</v>
      </c>
      <c r="BO266" s="27">
        <f t="shared" si="268"/>
        <v>78</v>
      </c>
      <c r="BP266" s="20">
        <v>2613</v>
      </c>
      <c r="BQ266" s="20">
        <v>1938</v>
      </c>
      <c r="BR266" s="20">
        <f t="shared" si="269"/>
        <v>675</v>
      </c>
      <c r="BS266" s="20"/>
      <c r="BT266" s="20"/>
      <c r="BU266" s="45">
        <v>2014</v>
      </c>
      <c r="BV266" s="48" t="s">
        <v>46</v>
      </c>
      <c r="BW266" s="35">
        <f t="shared" si="285"/>
        <v>0.81764705882352939</v>
      </c>
      <c r="BX266" s="35">
        <f t="shared" si="286"/>
        <v>0.86034816247582202</v>
      </c>
      <c r="BY266" s="35">
        <f t="shared" si="287"/>
        <v>0.95036764705882348</v>
      </c>
      <c r="BZ266" s="20">
        <v>2720</v>
      </c>
      <c r="CA266" s="27">
        <f t="shared" si="270"/>
        <v>135</v>
      </c>
      <c r="CB266" s="20">
        <v>2585</v>
      </c>
      <c r="CC266" s="20">
        <v>2224</v>
      </c>
      <c r="CD266" s="20">
        <f t="shared" si="271"/>
        <v>361</v>
      </c>
      <c r="CE266" s="20"/>
      <c r="CF266" s="20"/>
      <c r="CG266" s="45">
        <v>2014</v>
      </c>
      <c r="CH266" s="48" t="s">
        <v>46</v>
      </c>
      <c r="CI266" s="35">
        <f t="shared" si="288"/>
        <v>0.71027064538514917</v>
      </c>
      <c r="CJ266" s="35">
        <f t="shared" si="289"/>
        <v>0.7195079086115993</v>
      </c>
      <c r="CK266" s="35">
        <f t="shared" si="290"/>
        <v>0.98716169326856351</v>
      </c>
      <c r="CL266" s="20">
        <v>2882</v>
      </c>
      <c r="CM266" s="20">
        <f t="shared" si="291"/>
        <v>37</v>
      </c>
      <c r="CN266" s="20">
        <v>2845</v>
      </c>
      <c r="CO266" s="20">
        <v>2047</v>
      </c>
      <c r="CP266" s="20">
        <f t="shared" si="292"/>
        <v>798</v>
      </c>
      <c r="CQ266" s="20"/>
      <c r="CR266" s="20"/>
      <c r="CS266" s="45">
        <v>2014</v>
      </c>
      <c r="CT266" s="48" t="s">
        <v>46</v>
      </c>
      <c r="CU266" s="35">
        <f t="shared" si="293"/>
        <v>0.56286836935166995</v>
      </c>
      <c r="CV266" s="35">
        <f t="shared" si="294"/>
        <v>0.59378238341968914</v>
      </c>
      <c r="CW266" s="35">
        <f t="shared" si="295"/>
        <v>0.9479371316306483</v>
      </c>
      <c r="CX266" s="20">
        <v>1018</v>
      </c>
      <c r="CY266" s="27">
        <f t="shared" si="272"/>
        <v>53</v>
      </c>
      <c r="CZ266" s="20">
        <v>965</v>
      </c>
      <c r="DA266" s="20">
        <v>573</v>
      </c>
      <c r="DB266" s="20">
        <f t="shared" si="273"/>
        <v>392</v>
      </c>
      <c r="DC266" s="20"/>
      <c r="DD266" s="20"/>
      <c r="DE266" s="45">
        <v>2014</v>
      </c>
      <c r="DF266" s="48" t="s">
        <v>46</v>
      </c>
      <c r="DG266" s="35">
        <f t="shared" si="296"/>
        <v>0.95567867036011078</v>
      </c>
      <c r="DH266" s="35">
        <f t="shared" si="297"/>
        <v>0.97114707952146373</v>
      </c>
      <c r="DI266" s="35">
        <f t="shared" si="298"/>
        <v>0.98407202216066481</v>
      </c>
      <c r="DJ266" s="20">
        <v>1444</v>
      </c>
      <c r="DK266" s="27">
        <f t="shared" si="274"/>
        <v>23</v>
      </c>
      <c r="DL266" s="20">
        <v>1421</v>
      </c>
      <c r="DM266" s="20">
        <v>1380</v>
      </c>
      <c r="DN266" s="20">
        <f t="shared" si="275"/>
        <v>41</v>
      </c>
      <c r="DO266" s="20"/>
      <c r="DP266" s="20"/>
      <c r="DQ266" s="45"/>
      <c r="DR266" s="48"/>
      <c r="DS266" s="35"/>
      <c r="DT266" s="35"/>
      <c r="DU266" s="35"/>
      <c r="DV266" s="27"/>
      <c r="DW266" s="27"/>
      <c r="DX266" s="27"/>
      <c r="DY266" s="27"/>
      <c r="DZ266" s="27"/>
      <c r="EA266" s="27"/>
      <c r="EB266" s="27"/>
    </row>
    <row r="267" spans="1:142" s="29" customFormat="1" ht="12.75">
      <c r="A267" s="46">
        <v>2014</v>
      </c>
      <c r="B267" s="47" t="s">
        <v>47</v>
      </c>
      <c r="C267" s="35">
        <f t="shared" si="299"/>
        <v>0.7459129316678913</v>
      </c>
      <c r="D267" s="35">
        <f t="shared" si="300"/>
        <v>0.78373944511459592</v>
      </c>
      <c r="E267" s="35">
        <f t="shared" si="301"/>
        <v>0.95173585598824395</v>
      </c>
      <c r="F26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21776</v>
      </c>
      <c r="G267" s="20">
        <f t="shared" si="302"/>
        <v>1051</v>
      </c>
      <c r="H26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20725</v>
      </c>
      <c r="I26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16243</v>
      </c>
      <c r="J267" s="20">
        <f t="shared" si="303"/>
        <v>4482</v>
      </c>
      <c r="K267" s="27"/>
      <c r="L267" s="27"/>
      <c r="M267" s="46">
        <v>2014</v>
      </c>
      <c r="N267" s="47" t="s">
        <v>47</v>
      </c>
      <c r="O267" s="35">
        <f t="shared" si="276"/>
        <v>0.72825499729875742</v>
      </c>
      <c r="P267" s="35">
        <f t="shared" si="277"/>
        <v>0.74695234577022529</v>
      </c>
      <c r="Q267" s="35">
        <f t="shared" si="278"/>
        <v>0.97496848550333148</v>
      </c>
      <c r="R267" s="20">
        <v>5553</v>
      </c>
      <c r="S267" s="27">
        <f>R267-T267</f>
        <v>139</v>
      </c>
      <c r="T267" s="20">
        <v>5414</v>
      </c>
      <c r="U267" s="20">
        <v>4044</v>
      </c>
      <c r="V267" s="20">
        <f t="shared" si="263"/>
        <v>1370</v>
      </c>
      <c r="W267" s="20"/>
      <c r="X267" s="20"/>
      <c r="Y267" s="46"/>
      <c r="Z267" s="47"/>
      <c r="AA267" s="35"/>
      <c r="AB267" s="35"/>
      <c r="AC267" s="35"/>
      <c r="AD267" s="20"/>
      <c r="AE267" s="27"/>
      <c r="AF267" s="20"/>
      <c r="AG267" s="20"/>
      <c r="AH267" s="20"/>
      <c r="AI267" s="20"/>
      <c r="AJ267" s="20"/>
      <c r="AK267" s="46">
        <v>2014</v>
      </c>
      <c r="AL267" s="47" t="s">
        <v>47</v>
      </c>
      <c r="AM267" s="35">
        <f t="shared" si="279"/>
        <v>0.8174081237911025</v>
      </c>
      <c r="AN267" s="35">
        <f t="shared" si="280"/>
        <v>0.83999204929437488</v>
      </c>
      <c r="AO267" s="35">
        <f t="shared" si="281"/>
        <v>0.97311411992263053</v>
      </c>
      <c r="AP267" s="20">
        <v>5170</v>
      </c>
      <c r="AQ267" s="27">
        <f>AP267-AR267</f>
        <v>139</v>
      </c>
      <c r="AR267" s="20">
        <v>5031</v>
      </c>
      <c r="AS267" s="20">
        <v>4226</v>
      </c>
      <c r="AT267" s="20">
        <f t="shared" si="265"/>
        <v>805</v>
      </c>
      <c r="AU267" s="20"/>
      <c r="AV267" s="20"/>
      <c r="AW267" s="46">
        <v>2014</v>
      </c>
      <c r="AX267" s="47" t="s">
        <v>47</v>
      </c>
      <c r="AY267" s="35"/>
      <c r="AZ267" s="35"/>
      <c r="BA267" s="35"/>
      <c r="BB267" s="20"/>
      <c r="BC267" s="20"/>
      <c r="BD267" s="20"/>
      <c r="BE267" s="20"/>
      <c r="BF267" s="20"/>
      <c r="BG267" s="20"/>
      <c r="BH267" s="20"/>
      <c r="BI267" s="46">
        <v>2014</v>
      </c>
      <c r="BJ267" s="47" t="s">
        <v>47</v>
      </c>
      <c r="BK267" s="35">
        <f t="shared" si="282"/>
        <v>0.68017366136034729</v>
      </c>
      <c r="BL267" s="35">
        <f t="shared" si="283"/>
        <v>0.72252113758647196</v>
      </c>
      <c r="BM267" s="35">
        <f t="shared" si="284"/>
        <v>0.94138929088277856</v>
      </c>
      <c r="BN267" s="20">
        <v>2764</v>
      </c>
      <c r="BO267" s="27">
        <f>BN267-BP267</f>
        <v>162</v>
      </c>
      <c r="BP267" s="20">
        <v>2602</v>
      </c>
      <c r="BQ267" s="20">
        <v>1880</v>
      </c>
      <c r="BR267" s="20">
        <f t="shared" si="269"/>
        <v>722</v>
      </c>
      <c r="BS267" s="20"/>
      <c r="BT267" s="20"/>
      <c r="BU267" s="46">
        <v>2014</v>
      </c>
      <c r="BV267" s="47" t="s">
        <v>47</v>
      </c>
      <c r="BW267" s="35">
        <f t="shared" si="285"/>
        <v>0.78632784538296352</v>
      </c>
      <c r="BX267" s="35">
        <f t="shared" si="286"/>
        <v>0.84826254826254821</v>
      </c>
      <c r="BY267" s="35">
        <f t="shared" si="287"/>
        <v>0.92698639942734429</v>
      </c>
      <c r="BZ267" s="20">
        <v>2794</v>
      </c>
      <c r="CA267" s="27">
        <f>BZ267-CB267</f>
        <v>204</v>
      </c>
      <c r="CB267" s="20">
        <v>2590</v>
      </c>
      <c r="CC267" s="20">
        <v>2197</v>
      </c>
      <c r="CD267" s="20">
        <f t="shared" si="271"/>
        <v>393</v>
      </c>
      <c r="CE267" s="20"/>
      <c r="CF267" s="20"/>
      <c r="CG267" s="46">
        <v>2014</v>
      </c>
      <c r="CH267" s="47" t="s">
        <v>47</v>
      </c>
      <c r="CI267" s="35">
        <f t="shared" si="288"/>
        <v>0.66093117408906887</v>
      </c>
      <c r="CJ267" s="35">
        <f t="shared" si="289"/>
        <v>0.71366120218579232</v>
      </c>
      <c r="CK267" s="35">
        <f t="shared" si="290"/>
        <v>0.92611336032388669</v>
      </c>
      <c r="CL267" s="20">
        <v>2964</v>
      </c>
      <c r="CM267" s="20">
        <f t="shared" si="291"/>
        <v>219</v>
      </c>
      <c r="CN267" s="20">
        <v>2745</v>
      </c>
      <c r="CO267" s="20">
        <v>1959</v>
      </c>
      <c r="CP267" s="20">
        <f t="shared" si="292"/>
        <v>786</v>
      </c>
      <c r="CQ267" s="20"/>
      <c r="CR267" s="20"/>
      <c r="CS267" s="46">
        <v>2014</v>
      </c>
      <c r="CT267" s="47" t="s">
        <v>47</v>
      </c>
      <c r="CU267" s="35">
        <f t="shared" si="293"/>
        <v>0.53244274809160308</v>
      </c>
      <c r="CV267" s="35">
        <f t="shared" si="294"/>
        <v>0.60784313725490191</v>
      </c>
      <c r="CW267" s="35">
        <f t="shared" si="295"/>
        <v>0.87595419847328249</v>
      </c>
      <c r="CX267" s="20">
        <v>1048</v>
      </c>
      <c r="CY267" s="27">
        <f>CX267-CZ267</f>
        <v>130</v>
      </c>
      <c r="CZ267" s="20">
        <v>918</v>
      </c>
      <c r="DA267" s="20">
        <v>558</v>
      </c>
      <c r="DB267" s="20">
        <f t="shared" si="273"/>
        <v>360</v>
      </c>
      <c r="DC267" s="20"/>
      <c r="DD267" s="20"/>
      <c r="DE267" s="46">
        <v>2014</v>
      </c>
      <c r="DF267" s="47" t="s">
        <v>47</v>
      </c>
      <c r="DG267" s="35">
        <f t="shared" si="296"/>
        <v>0.92987188132164533</v>
      </c>
      <c r="DH267" s="35">
        <f t="shared" si="297"/>
        <v>0.96771929824561409</v>
      </c>
      <c r="DI267" s="35">
        <f t="shared" si="298"/>
        <v>0.96089008766014838</v>
      </c>
      <c r="DJ267" s="20">
        <v>1483</v>
      </c>
      <c r="DK267" s="27">
        <f>DJ267-DL267</f>
        <v>58</v>
      </c>
      <c r="DL267" s="20">
        <v>1425</v>
      </c>
      <c r="DM267" s="20">
        <v>1379</v>
      </c>
      <c r="DN267" s="20">
        <f t="shared" si="275"/>
        <v>46</v>
      </c>
      <c r="DO267" s="20"/>
      <c r="DP267" s="20"/>
      <c r="DQ267" s="46"/>
      <c r="DR267" s="47"/>
      <c r="DS267" s="35"/>
      <c r="DT267" s="35"/>
      <c r="DU267" s="35"/>
      <c r="DV267" s="27"/>
      <c r="DW267" s="27"/>
      <c r="DX267" s="27"/>
      <c r="DY267" s="27"/>
      <c r="DZ267" s="27"/>
      <c r="EA267" s="27"/>
      <c r="EB267" s="27"/>
    </row>
    <row r="268" spans="1:142" s="29" customFormat="1" ht="12.75">
      <c r="A268" s="45">
        <v>2014</v>
      </c>
      <c r="B268" s="48" t="s">
        <v>48</v>
      </c>
      <c r="C268" s="35">
        <f t="shared" si="299"/>
        <v>0.71541329717689217</v>
      </c>
      <c r="D268" s="35">
        <f t="shared" si="300"/>
        <v>0.76517505697120369</v>
      </c>
      <c r="E268" s="35">
        <f t="shared" si="301"/>
        <v>0.93496682969347733</v>
      </c>
      <c r="F26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20651</v>
      </c>
      <c r="G268" s="20">
        <f t="shared" si="302"/>
        <v>1343</v>
      </c>
      <c r="H26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19308</v>
      </c>
      <c r="I26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14774</v>
      </c>
      <c r="J268" s="20">
        <f t="shared" si="303"/>
        <v>4534</v>
      </c>
      <c r="K268" s="27"/>
      <c r="L268" s="27"/>
      <c r="M268" s="45">
        <v>2014</v>
      </c>
      <c r="N268" s="48" t="s">
        <v>48</v>
      </c>
      <c r="O268" s="35">
        <f t="shared" si="276"/>
        <v>0.69606147934678197</v>
      </c>
      <c r="P268" s="35">
        <f t="shared" si="277"/>
        <v>0.72085157182650217</v>
      </c>
      <c r="Q268" s="35">
        <f t="shared" si="278"/>
        <v>0.96560999039385209</v>
      </c>
      <c r="R268" s="20">
        <v>5205</v>
      </c>
      <c r="S268" s="27">
        <f>R268-T268</f>
        <v>179</v>
      </c>
      <c r="T268" s="20">
        <v>5026</v>
      </c>
      <c r="U268" s="20">
        <v>3623</v>
      </c>
      <c r="V268" s="20">
        <f t="shared" si="263"/>
        <v>1403</v>
      </c>
      <c r="W268" s="20"/>
      <c r="X268" s="20"/>
      <c r="Y268" s="45"/>
      <c r="Z268" s="48"/>
      <c r="AA268" s="35"/>
      <c r="AB268" s="35"/>
      <c r="AC268" s="35"/>
      <c r="AD268" s="20"/>
      <c r="AE268" s="27"/>
      <c r="AF268" s="20"/>
      <c r="AG268" s="20"/>
      <c r="AH268" s="20"/>
      <c r="AI268" s="20"/>
      <c r="AJ268" s="20"/>
      <c r="AK268" s="45">
        <v>2014</v>
      </c>
      <c r="AL268" s="48" t="s">
        <v>48</v>
      </c>
      <c r="AM268" s="35">
        <f t="shared" si="279"/>
        <v>0.77773221242567148</v>
      </c>
      <c r="AN268" s="35">
        <f t="shared" si="280"/>
        <v>0.80139446439890138</v>
      </c>
      <c r="AO268" s="35">
        <f t="shared" si="281"/>
        <v>0.97047365183514456</v>
      </c>
      <c r="AP268" s="20">
        <v>4877</v>
      </c>
      <c r="AQ268" s="27">
        <f>AP268-AR268</f>
        <v>144</v>
      </c>
      <c r="AR268" s="20">
        <v>4733</v>
      </c>
      <c r="AS268" s="20">
        <v>3793</v>
      </c>
      <c r="AT268" s="20">
        <f t="shared" si="265"/>
        <v>940</v>
      </c>
      <c r="AU268" s="20"/>
      <c r="AV268" s="20"/>
      <c r="AW268" s="45">
        <v>2014</v>
      </c>
      <c r="AX268" s="48" t="s">
        <v>48</v>
      </c>
      <c r="AY268" s="35"/>
      <c r="AZ268" s="35"/>
      <c r="BA268" s="35"/>
      <c r="BB268" s="20"/>
      <c r="BC268" s="20"/>
      <c r="BD268" s="20"/>
      <c r="BE268" s="20"/>
      <c r="BF268" s="20"/>
      <c r="BG268" s="20"/>
      <c r="BH268" s="20"/>
      <c r="BI268" s="45">
        <v>2014</v>
      </c>
      <c r="BJ268" s="48" t="s">
        <v>48</v>
      </c>
      <c r="BK268" s="35">
        <f t="shared" si="282"/>
        <v>0.67184539598332704</v>
      </c>
      <c r="BL268" s="35">
        <f t="shared" si="283"/>
        <v>0.73325062034739452</v>
      </c>
      <c r="BM268" s="35">
        <f t="shared" si="284"/>
        <v>0.91625615763546797</v>
      </c>
      <c r="BN268" s="20">
        <v>2639</v>
      </c>
      <c r="BO268" s="27">
        <f>BN268-BP268</f>
        <v>221</v>
      </c>
      <c r="BP268" s="20">
        <v>2418</v>
      </c>
      <c r="BQ268" s="20">
        <v>1773</v>
      </c>
      <c r="BR268" s="20">
        <f t="shared" si="269"/>
        <v>645</v>
      </c>
      <c r="BS268" s="20"/>
      <c r="BT268" s="20"/>
      <c r="BU268" s="45">
        <v>2014</v>
      </c>
      <c r="BV268" s="48" t="s">
        <v>48</v>
      </c>
      <c r="BW268" s="35">
        <f t="shared" si="285"/>
        <v>0.76320719370550771</v>
      </c>
      <c r="BX268" s="35">
        <f t="shared" si="286"/>
        <v>0.84628167843788948</v>
      </c>
      <c r="BY268" s="35">
        <f t="shared" si="287"/>
        <v>0.90183589359310601</v>
      </c>
      <c r="BZ268" s="20">
        <v>2669</v>
      </c>
      <c r="CA268" s="27">
        <f>BZ268-CB268</f>
        <v>262</v>
      </c>
      <c r="CB268" s="20">
        <v>2407</v>
      </c>
      <c r="CC268" s="20">
        <v>2037</v>
      </c>
      <c r="CD268" s="20">
        <f t="shared" si="271"/>
        <v>370</v>
      </c>
      <c r="CE268" s="20"/>
      <c r="CF268" s="20"/>
      <c r="CG268" s="45">
        <v>2014</v>
      </c>
      <c r="CH268" s="48" t="s">
        <v>48</v>
      </c>
      <c r="CI268" s="35">
        <f t="shared" si="288"/>
        <v>0.6605569263306309</v>
      </c>
      <c r="CJ268" s="35">
        <f t="shared" si="289"/>
        <v>0.70239880059970017</v>
      </c>
      <c r="CK268" s="35">
        <f t="shared" si="290"/>
        <v>0.94043003172365169</v>
      </c>
      <c r="CL268" s="20">
        <v>2837</v>
      </c>
      <c r="CM268" s="20">
        <f t="shared" si="291"/>
        <v>169</v>
      </c>
      <c r="CN268" s="20">
        <v>2668</v>
      </c>
      <c r="CO268" s="20">
        <v>1874</v>
      </c>
      <c r="CP268" s="20">
        <f t="shared" si="292"/>
        <v>794</v>
      </c>
      <c r="CQ268" s="20"/>
      <c r="CR268" s="20"/>
      <c r="CS268" s="45">
        <v>2014</v>
      </c>
      <c r="CT268" s="48" t="s">
        <v>48</v>
      </c>
      <c r="CU268" s="35">
        <f t="shared" si="293"/>
        <v>0.3263681592039801</v>
      </c>
      <c r="CV268" s="35">
        <f t="shared" si="294"/>
        <v>0.49472096530920062</v>
      </c>
      <c r="CW268" s="35">
        <f t="shared" si="295"/>
        <v>0.65970149253731347</v>
      </c>
      <c r="CX268" s="20">
        <v>1005</v>
      </c>
      <c r="CY268" s="27">
        <f>CX268-CZ268</f>
        <v>342</v>
      </c>
      <c r="CZ268" s="20">
        <v>663</v>
      </c>
      <c r="DA268" s="20">
        <v>328</v>
      </c>
      <c r="DB268" s="20">
        <f t="shared" si="273"/>
        <v>335</v>
      </c>
      <c r="DC268" s="20"/>
      <c r="DD268" s="20"/>
      <c r="DE268" s="45">
        <v>2014</v>
      </c>
      <c r="DF268" s="48" t="s">
        <v>48</v>
      </c>
      <c r="DG268" s="35">
        <f t="shared" si="296"/>
        <v>0.94855532064834391</v>
      </c>
      <c r="DH268" s="35">
        <f t="shared" si="297"/>
        <v>0.96625987078248388</v>
      </c>
      <c r="DI268" s="35">
        <f t="shared" si="298"/>
        <v>0.98167723749119096</v>
      </c>
      <c r="DJ268" s="20">
        <v>1419</v>
      </c>
      <c r="DK268" s="27">
        <f>DJ268-DL268</f>
        <v>26</v>
      </c>
      <c r="DL268" s="20">
        <v>1393</v>
      </c>
      <c r="DM268" s="20">
        <v>1346</v>
      </c>
      <c r="DN268" s="20">
        <f t="shared" si="275"/>
        <v>47</v>
      </c>
      <c r="DO268" s="20"/>
      <c r="DP268" s="20"/>
      <c r="DQ268" s="45"/>
      <c r="DR268" s="48"/>
      <c r="DS268" s="35"/>
      <c r="DT268" s="35"/>
      <c r="DU268" s="35"/>
      <c r="DV268" s="27"/>
      <c r="DW268" s="27"/>
      <c r="DX268" s="27"/>
      <c r="DY268" s="27"/>
      <c r="DZ268" s="27"/>
      <c r="EA268" s="27"/>
      <c r="EB268" s="27"/>
    </row>
    <row r="269" spans="1:142" s="29" customFormat="1" ht="12.75">
      <c r="A269" s="46">
        <v>2014</v>
      </c>
      <c r="B269" s="47" t="s">
        <v>49</v>
      </c>
      <c r="C269" s="35">
        <f t="shared" si="299"/>
        <v>0.774129746835443</v>
      </c>
      <c r="D269" s="35">
        <f t="shared" si="300"/>
        <v>0.83869930894091171</v>
      </c>
      <c r="E269" s="35">
        <f t="shared" si="301"/>
        <v>0.92301226265822789</v>
      </c>
      <c r="F26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20224</v>
      </c>
      <c r="G269" s="20">
        <f t="shared" si="302"/>
        <v>1557</v>
      </c>
      <c r="H26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18667</v>
      </c>
      <c r="I26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J269" s="20">
        <f t="shared" si="303"/>
        <v>3011</v>
      </c>
      <c r="K269" s="27"/>
      <c r="L269" s="27"/>
      <c r="M269" s="46">
        <v>2014</v>
      </c>
      <c r="N269" s="47" t="s">
        <v>49</v>
      </c>
      <c r="O269" s="35">
        <f t="shared" si="276"/>
        <v>0.7670371146990983</v>
      </c>
      <c r="P269" s="35">
        <f t="shared" si="277"/>
        <v>0.80148992112182293</v>
      </c>
      <c r="Q269" s="35">
        <f t="shared" si="278"/>
        <v>0.95701404906689036</v>
      </c>
      <c r="R269" s="20">
        <v>4769</v>
      </c>
      <c r="S269" s="27">
        <f>R269-T269</f>
        <v>205</v>
      </c>
      <c r="T269" s="20">
        <v>4564</v>
      </c>
      <c r="U269" s="20">
        <v>3658</v>
      </c>
      <c r="V269" s="20">
        <f t="shared" si="263"/>
        <v>906</v>
      </c>
      <c r="W269" s="20"/>
      <c r="X269" s="20"/>
      <c r="Y269" s="46"/>
      <c r="Z269" s="47"/>
      <c r="AA269" s="35"/>
      <c r="AB269" s="35"/>
      <c r="AC269" s="35"/>
      <c r="AD269" s="20"/>
      <c r="AE269" s="27"/>
      <c r="AF269" s="20"/>
      <c r="AG269" s="20"/>
      <c r="AH269" s="20"/>
      <c r="AI269" s="20"/>
      <c r="AJ269" s="20"/>
      <c r="AK269" s="46">
        <v>2014</v>
      </c>
      <c r="AL269" s="47" t="s">
        <v>49</v>
      </c>
      <c r="AM269" s="35">
        <f t="shared" si="279"/>
        <v>0.86094028962507441</v>
      </c>
      <c r="AN269" s="35">
        <f t="shared" si="280"/>
        <v>0.89910917754298736</v>
      </c>
      <c r="AO269" s="35">
        <f t="shared" si="281"/>
        <v>0.95754810553461611</v>
      </c>
      <c r="AP269" s="20">
        <v>5041</v>
      </c>
      <c r="AQ269" s="27">
        <f>AP269-AR269</f>
        <v>214</v>
      </c>
      <c r="AR269" s="20">
        <v>4827</v>
      </c>
      <c r="AS269" s="20">
        <v>4340</v>
      </c>
      <c r="AT269" s="20">
        <f t="shared" si="265"/>
        <v>487</v>
      </c>
      <c r="AU269" s="20"/>
      <c r="AV269" s="20"/>
      <c r="AW269" s="46">
        <v>2014</v>
      </c>
      <c r="AX269" s="47" t="s">
        <v>49</v>
      </c>
      <c r="AY269" s="35"/>
      <c r="AZ269" s="35"/>
      <c r="BA269" s="35"/>
      <c r="BB269" s="20"/>
      <c r="BC269" s="20"/>
      <c r="BD269" s="20"/>
      <c r="BE269" s="20"/>
      <c r="BF269" s="20"/>
      <c r="BG269" s="20"/>
      <c r="BH269" s="20"/>
      <c r="BI269" s="46">
        <v>2014</v>
      </c>
      <c r="BJ269" s="47" t="s">
        <v>49</v>
      </c>
      <c r="BK269" s="35">
        <f t="shared" si="282"/>
        <v>0.72143675964845244</v>
      </c>
      <c r="BL269" s="35">
        <f t="shared" si="283"/>
        <v>0.81030042918454936</v>
      </c>
      <c r="BM269" s="35">
        <f t="shared" si="284"/>
        <v>0.89033244172716852</v>
      </c>
      <c r="BN269" s="20">
        <v>2617</v>
      </c>
      <c r="BO269" s="27">
        <f>BN269-BP269</f>
        <v>287</v>
      </c>
      <c r="BP269" s="20">
        <v>2330</v>
      </c>
      <c r="BQ269" s="20">
        <v>1888</v>
      </c>
      <c r="BR269" s="20">
        <f t="shared" si="269"/>
        <v>442</v>
      </c>
      <c r="BS269" s="20"/>
      <c r="BT269" s="20"/>
      <c r="BU269" s="46">
        <v>2014</v>
      </c>
      <c r="BV269" s="47" t="s">
        <v>49</v>
      </c>
      <c r="BW269" s="35">
        <f t="shared" si="285"/>
        <v>0.73548387096774193</v>
      </c>
      <c r="BX269" s="35">
        <f t="shared" si="286"/>
        <v>0.85638532920901456</v>
      </c>
      <c r="BY269" s="35">
        <f t="shared" si="287"/>
        <v>0.85882352941176465</v>
      </c>
      <c r="BZ269" s="20">
        <v>2635</v>
      </c>
      <c r="CA269" s="27">
        <f>BZ269-CB269</f>
        <v>372</v>
      </c>
      <c r="CB269" s="20">
        <v>2263</v>
      </c>
      <c r="CC269" s="20">
        <v>1938</v>
      </c>
      <c r="CD269" s="20">
        <f t="shared" si="271"/>
        <v>325</v>
      </c>
      <c r="CE269" s="20"/>
      <c r="CF269" s="20"/>
      <c r="CG269" s="46">
        <v>2014</v>
      </c>
      <c r="CH269" s="47" t="s">
        <v>49</v>
      </c>
      <c r="CI269" s="35">
        <f t="shared" si="288"/>
        <v>0.754324038122132</v>
      </c>
      <c r="CJ269" s="35">
        <f t="shared" si="289"/>
        <v>0.78739867354458359</v>
      </c>
      <c r="CK269" s="35">
        <f t="shared" si="290"/>
        <v>0.95799505824214615</v>
      </c>
      <c r="CL269" s="20">
        <v>2833</v>
      </c>
      <c r="CM269" s="20">
        <f t="shared" si="291"/>
        <v>119</v>
      </c>
      <c r="CN269" s="20">
        <v>2714</v>
      </c>
      <c r="CO269" s="20">
        <v>2137</v>
      </c>
      <c r="CP269" s="20">
        <f t="shared" si="292"/>
        <v>577</v>
      </c>
      <c r="CQ269" s="20"/>
      <c r="CR269" s="20"/>
      <c r="CS269" s="46">
        <v>2014</v>
      </c>
      <c r="CT269" s="47" t="s">
        <v>49</v>
      </c>
      <c r="CU269" s="35">
        <f t="shared" si="293"/>
        <v>0.42842215256008359</v>
      </c>
      <c r="CV269" s="35">
        <f t="shared" si="294"/>
        <v>0.62980030721966207</v>
      </c>
      <c r="CW269" s="35">
        <f t="shared" si="295"/>
        <v>0.68025078369905956</v>
      </c>
      <c r="CX269" s="20">
        <v>957</v>
      </c>
      <c r="CY269" s="27">
        <f>CX269-CZ269</f>
        <v>306</v>
      </c>
      <c r="CZ269" s="20">
        <v>651</v>
      </c>
      <c r="DA269" s="20">
        <v>410</v>
      </c>
      <c r="DB269" s="20">
        <f t="shared" si="273"/>
        <v>241</v>
      </c>
      <c r="DC269" s="20"/>
      <c r="DD269" s="20"/>
      <c r="DE269" s="46">
        <v>2014</v>
      </c>
      <c r="DF269" s="47" t="s">
        <v>49</v>
      </c>
      <c r="DG269" s="35">
        <f t="shared" si="296"/>
        <v>0.9365889212827988</v>
      </c>
      <c r="DH269" s="35">
        <f t="shared" si="297"/>
        <v>0.97496206373292871</v>
      </c>
      <c r="DI269" s="35">
        <f t="shared" si="298"/>
        <v>0.96064139941690962</v>
      </c>
      <c r="DJ269" s="20">
        <v>1372</v>
      </c>
      <c r="DK269" s="27">
        <f>DJ269-DL269</f>
        <v>54</v>
      </c>
      <c r="DL269" s="20">
        <v>1318</v>
      </c>
      <c r="DM269" s="20">
        <v>1285</v>
      </c>
      <c r="DN269" s="20">
        <f t="shared" si="275"/>
        <v>33</v>
      </c>
      <c r="DO269" s="20"/>
      <c r="DP269" s="20"/>
      <c r="DQ269" s="46"/>
      <c r="DR269" s="47"/>
      <c r="DS269" s="35"/>
      <c r="DT269" s="35"/>
      <c r="DU269" s="35"/>
      <c r="DV269" s="27"/>
      <c r="DW269" s="27"/>
      <c r="DX269" s="27"/>
      <c r="DY269" s="27"/>
      <c r="DZ269" s="27"/>
      <c r="EA269" s="27"/>
      <c r="EB269" s="27"/>
    </row>
    <row r="270" spans="1:142" s="29" customFormat="1" ht="12.75">
      <c r="A270" s="45">
        <v>2015</v>
      </c>
      <c r="B270" s="48" t="s">
        <v>38</v>
      </c>
      <c r="C270" s="35">
        <f t="shared" si="299"/>
        <v>0.86125746399719005</v>
      </c>
      <c r="D270" s="35">
        <f t="shared" si="300"/>
        <v>0.92274608891995058</v>
      </c>
      <c r="E270" s="35">
        <f t="shared" si="301"/>
        <v>0.9333634402127553</v>
      </c>
      <c r="F27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19929</v>
      </c>
      <c r="G270" s="20">
        <f t="shared" si="302"/>
        <v>1328</v>
      </c>
      <c r="H27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18601</v>
      </c>
      <c r="I27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17164</v>
      </c>
      <c r="J270" s="20">
        <f t="shared" si="303"/>
        <v>1437</v>
      </c>
      <c r="K270" s="27"/>
      <c r="L270" s="27"/>
      <c r="M270" s="45">
        <v>2015</v>
      </c>
      <c r="N270" s="48" t="s">
        <v>38</v>
      </c>
      <c r="O270" s="35">
        <f t="shared" si="276"/>
        <v>0.89503133393017009</v>
      </c>
      <c r="P270" s="35">
        <f t="shared" si="277"/>
        <v>0.9400564174894217</v>
      </c>
      <c r="Q270" s="35">
        <f t="shared" si="278"/>
        <v>0.95210384959713523</v>
      </c>
      <c r="R270" s="20">
        <v>4468</v>
      </c>
      <c r="S270" s="27">
        <f>+R270-T270</f>
        <v>214</v>
      </c>
      <c r="T270" s="20">
        <v>4254</v>
      </c>
      <c r="U270" s="20">
        <v>3999</v>
      </c>
      <c r="V270" s="20">
        <f t="shared" ref="V270:V281" si="304">T270-U270</f>
        <v>255</v>
      </c>
      <c r="W270" s="20"/>
      <c r="X270" s="20"/>
      <c r="Y270" s="45"/>
      <c r="Z270" s="48"/>
      <c r="AA270" s="35"/>
      <c r="AB270" s="35"/>
      <c r="AC270" s="35"/>
      <c r="AD270" s="20"/>
      <c r="AE270" s="27"/>
      <c r="AF270" s="20"/>
      <c r="AG270" s="20"/>
      <c r="AH270" s="20"/>
      <c r="AI270" s="20"/>
      <c r="AJ270" s="20"/>
      <c r="AK270" s="45">
        <v>2015</v>
      </c>
      <c r="AL270" s="48" t="s">
        <v>38</v>
      </c>
      <c r="AM270" s="35">
        <f t="shared" si="279"/>
        <v>0.93876383059900803</v>
      </c>
      <c r="AN270" s="35">
        <f t="shared" si="280"/>
        <v>0.9706114398422091</v>
      </c>
      <c r="AO270" s="35">
        <f t="shared" si="281"/>
        <v>0.96718809614650891</v>
      </c>
      <c r="AP270" s="20">
        <v>5242</v>
      </c>
      <c r="AQ270" s="27">
        <f>+AP270-AR270</f>
        <v>172</v>
      </c>
      <c r="AR270" s="20">
        <v>5070</v>
      </c>
      <c r="AS270" s="20">
        <v>4921</v>
      </c>
      <c r="AT270" s="20">
        <f t="shared" ref="AT270:AT281" si="305">AR270-AS270</f>
        <v>149</v>
      </c>
      <c r="AU270" s="20"/>
      <c r="AV270" s="20"/>
      <c r="AW270" s="45">
        <v>2015</v>
      </c>
      <c r="AX270" s="48" t="s">
        <v>38</v>
      </c>
      <c r="AY270" s="35"/>
      <c r="AZ270" s="35"/>
      <c r="BA270" s="35"/>
      <c r="BB270" s="20"/>
      <c r="BC270" s="20"/>
      <c r="BD270" s="20"/>
      <c r="BE270" s="20"/>
      <c r="BF270" s="20"/>
      <c r="BG270" s="20"/>
      <c r="BH270" s="20"/>
      <c r="BI270" s="45">
        <v>2015</v>
      </c>
      <c r="BJ270" s="48" t="s">
        <v>38</v>
      </c>
      <c r="BK270" s="35">
        <f t="shared" si="282"/>
        <v>0.7967542503863988</v>
      </c>
      <c r="BL270" s="35">
        <f t="shared" si="283"/>
        <v>0.89071274298056158</v>
      </c>
      <c r="BM270" s="35">
        <f t="shared" si="284"/>
        <v>0.8945131375579598</v>
      </c>
      <c r="BN270" s="20">
        <v>2588</v>
      </c>
      <c r="BO270" s="20">
        <f t="shared" ref="BO270:BO278" si="306">BN270-BP270</f>
        <v>273</v>
      </c>
      <c r="BP270" s="20">
        <v>2315</v>
      </c>
      <c r="BQ270" s="20">
        <v>2062</v>
      </c>
      <c r="BR270" s="20">
        <f t="shared" ref="BR270:BR278" si="307">BP270-BQ270</f>
        <v>253</v>
      </c>
      <c r="BS270" s="20"/>
      <c r="BT270" s="20"/>
      <c r="BU270" s="45">
        <v>2015</v>
      </c>
      <c r="BV270" s="48" t="s">
        <v>38</v>
      </c>
      <c r="BW270" s="35">
        <f t="shared" si="285"/>
        <v>0.79214780600461898</v>
      </c>
      <c r="BX270" s="35">
        <f t="shared" si="286"/>
        <v>0.91061946902654867</v>
      </c>
      <c r="BY270" s="35">
        <f t="shared" si="287"/>
        <v>0.86989992301770591</v>
      </c>
      <c r="BZ270" s="20">
        <v>2598</v>
      </c>
      <c r="CA270" s="20">
        <f t="shared" ref="CA270:CA278" si="308">BZ270-CB270</f>
        <v>338</v>
      </c>
      <c r="CB270" s="20">
        <v>2260</v>
      </c>
      <c r="CC270" s="20">
        <v>2058</v>
      </c>
      <c r="CD270" s="20">
        <f t="shared" ref="CD270:CD278" si="309">CB270-CC270</f>
        <v>202</v>
      </c>
      <c r="CE270" s="20"/>
      <c r="CF270" s="20"/>
      <c r="CG270" s="45">
        <v>2015</v>
      </c>
      <c r="CH270" s="48" t="s">
        <v>38</v>
      </c>
      <c r="CI270" s="35">
        <f t="shared" si="288"/>
        <v>0.80106761565836304</v>
      </c>
      <c r="CJ270" s="35">
        <f t="shared" si="289"/>
        <v>0.82909760589318604</v>
      </c>
      <c r="CK270" s="35">
        <f t="shared" si="290"/>
        <v>0.96619217081850539</v>
      </c>
      <c r="CL270" s="20">
        <v>2810</v>
      </c>
      <c r="CM270" s="20">
        <f t="shared" si="291"/>
        <v>95</v>
      </c>
      <c r="CN270" s="20">
        <v>2715</v>
      </c>
      <c r="CO270" s="20">
        <v>2251</v>
      </c>
      <c r="CP270" s="20">
        <f t="shared" si="292"/>
        <v>464</v>
      </c>
      <c r="CQ270" s="20"/>
      <c r="CR270" s="20"/>
      <c r="CS270" s="45">
        <v>2015</v>
      </c>
      <c r="CT270" s="48" t="s">
        <v>38</v>
      </c>
      <c r="CU270" s="35">
        <f t="shared" si="293"/>
        <v>0.74065934065934069</v>
      </c>
      <c r="CV270" s="35">
        <f t="shared" si="294"/>
        <v>0.90591397849462363</v>
      </c>
      <c r="CW270" s="35">
        <f t="shared" si="295"/>
        <v>0.81758241758241756</v>
      </c>
      <c r="CX270" s="20">
        <v>910</v>
      </c>
      <c r="CY270" s="20">
        <f t="shared" ref="CY270:CY278" si="310">CX270-CZ270</f>
        <v>166</v>
      </c>
      <c r="CZ270" s="20">
        <v>744</v>
      </c>
      <c r="DA270" s="20">
        <v>674</v>
      </c>
      <c r="DB270" s="20">
        <f t="shared" ref="DB270:DB281" si="311">CZ270-DA270</f>
        <v>70</v>
      </c>
      <c r="DC270" s="20"/>
      <c r="DD270" s="20"/>
      <c r="DE270" s="45">
        <v>2015</v>
      </c>
      <c r="DF270" s="48" t="s">
        <v>38</v>
      </c>
      <c r="DG270" s="35">
        <f t="shared" si="296"/>
        <v>0.91317593297791322</v>
      </c>
      <c r="DH270" s="35">
        <f t="shared" si="297"/>
        <v>0.96460176991150437</v>
      </c>
      <c r="DI270" s="35">
        <f t="shared" si="298"/>
        <v>0.9466869763899467</v>
      </c>
      <c r="DJ270" s="20">
        <v>1313</v>
      </c>
      <c r="DK270" s="20">
        <f t="shared" ref="DK270:DK278" si="312">DJ270-DL270</f>
        <v>70</v>
      </c>
      <c r="DL270" s="20">
        <v>1243</v>
      </c>
      <c r="DM270" s="20">
        <v>1199</v>
      </c>
      <c r="DN270" s="20">
        <f t="shared" ref="DN270:DN281" si="313">DL270-DM270</f>
        <v>44</v>
      </c>
      <c r="DO270" s="20"/>
      <c r="DP270" s="20"/>
      <c r="DQ270" s="45"/>
      <c r="DR270" s="48"/>
      <c r="DS270" s="35"/>
      <c r="DT270" s="35"/>
      <c r="DU270" s="35"/>
      <c r="DV270" s="27"/>
      <c r="DW270" s="27"/>
      <c r="DX270" s="27"/>
      <c r="DY270" s="27"/>
      <c r="DZ270" s="27"/>
      <c r="EA270" s="27"/>
      <c r="EB270" s="27"/>
    </row>
    <row r="271" spans="1:142" s="29" customFormat="1" ht="12.75">
      <c r="A271" s="46">
        <v>2015</v>
      </c>
      <c r="B271" s="47" t="s">
        <v>39</v>
      </c>
      <c r="C271" s="35">
        <f t="shared" si="299"/>
        <v>0.83845886039224793</v>
      </c>
      <c r="D271" s="35">
        <f t="shared" si="300"/>
        <v>0.88835608016722001</v>
      </c>
      <c r="E271" s="35">
        <f t="shared" si="301"/>
        <v>0.94383196007891379</v>
      </c>
      <c r="F27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17234</v>
      </c>
      <c r="G271" s="20">
        <f t="shared" si="302"/>
        <v>968</v>
      </c>
      <c r="H27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16266</v>
      </c>
      <c r="I27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14450</v>
      </c>
      <c r="J271" s="20">
        <f t="shared" si="303"/>
        <v>1816</v>
      </c>
      <c r="K271" s="27"/>
      <c r="L271" s="27"/>
      <c r="M271" s="46">
        <v>2015</v>
      </c>
      <c r="N271" s="47" t="s">
        <v>39</v>
      </c>
      <c r="O271" s="35">
        <f t="shared" si="276"/>
        <v>0.8566717402333841</v>
      </c>
      <c r="P271" s="35">
        <f t="shared" si="277"/>
        <v>0.90536193029490619</v>
      </c>
      <c r="Q271" s="35">
        <f t="shared" si="278"/>
        <v>0.94622019279553526</v>
      </c>
      <c r="R271" s="20">
        <v>3942</v>
      </c>
      <c r="S271" s="27">
        <f t="shared" ref="S271:S281" si="314">R271-T271</f>
        <v>212</v>
      </c>
      <c r="T271" s="20">
        <v>3730</v>
      </c>
      <c r="U271" s="20">
        <v>3377</v>
      </c>
      <c r="V271" s="20">
        <f t="shared" si="304"/>
        <v>353</v>
      </c>
      <c r="W271" s="20"/>
      <c r="X271" s="20"/>
      <c r="Y271" s="46"/>
      <c r="Z271" s="47"/>
      <c r="AA271" s="35"/>
      <c r="AB271" s="35"/>
      <c r="AC271" s="35"/>
      <c r="AD271" s="20"/>
      <c r="AE271" s="27"/>
      <c r="AF271" s="20"/>
      <c r="AG271" s="20"/>
      <c r="AH271" s="20"/>
      <c r="AI271" s="20"/>
      <c r="AJ271" s="20"/>
      <c r="AK271" s="46">
        <v>2015</v>
      </c>
      <c r="AL271" s="47" t="s">
        <v>39</v>
      </c>
      <c r="AM271" s="35">
        <f t="shared" si="279"/>
        <v>0.91338241663057596</v>
      </c>
      <c r="AN271" s="35">
        <f t="shared" si="280"/>
        <v>0.95776566757493187</v>
      </c>
      <c r="AO271" s="35">
        <f t="shared" si="281"/>
        <v>0.95365959289735813</v>
      </c>
      <c r="AP271" s="20">
        <v>4618</v>
      </c>
      <c r="AQ271" s="27">
        <f t="shared" ref="AQ271:AQ281" si="315">AP271-AR271</f>
        <v>214</v>
      </c>
      <c r="AR271" s="20">
        <v>4404</v>
      </c>
      <c r="AS271" s="20">
        <v>4218</v>
      </c>
      <c r="AT271" s="20">
        <f t="shared" si="305"/>
        <v>186</v>
      </c>
      <c r="AU271" s="20"/>
      <c r="AV271" s="20"/>
      <c r="AW271" s="46">
        <v>2015</v>
      </c>
      <c r="AX271" s="47" t="s">
        <v>39</v>
      </c>
      <c r="AY271" s="35"/>
      <c r="AZ271" s="35"/>
      <c r="BA271" s="35"/>
      <c r="BB271" s="20"/>
      <c r="BC271" s="20"/>
      <c r="BD271" s="20"/>
      <c r="BE271" s="20"/>
      <c r="BF271" s="20"/>
      <c r="BG271" s="20"/>
      <c r="BH271" s="20"/>
      <c r="BI271" s="46">
        <v>2015</v>
      </c>
      <c r="BJ271" s="47" t="s">
        <v>39</v>
      </c>
      <c r="BK271" s="35">
        <f t="shared" si="282"/>
        <v>0.77680221811460259</v>
      </c>
      <c r="BL271" s="35">
        <f t="shared" si="283"/>
        <v>0.79292452830188676</v>
      </c>
      <c r="BM271" s="35">
        <f t="shared" si="284"/>
        <v>0.97966728280961179</v>
      </c>
      <c r="BN271" s="20">
        <v>2164</v>
      </c>
      <c r="BO271" s="20">
        <f t="shared" si="306"/>
        <v>44</v>
      </c>
      <c r="BP271" s="20">
        <v>2120</v>
      </c>
      <c r="BQ271" s="20">
        <v>1681</v>
      </c>
      <c r="BR271" s="20">
        <f t="shared" si="307"/>
        <v>439</v>
      </c>
      <c r="BS271" s="20"/>
      <c r="BT271" s="20"/>
      <c r="BU271" s="46">
        <v>2015</v>
      </c>
      <c r="BV271" s="47" t="s">
        <v>39</v>
      </c>
      <c r="BW271" s="35">
        <f t="shared" si="285"/>
        <v>0.79620379620379622</v>
      </c>
      <c r="BX271" s="35">
        <f t="shared" si="286"/>
        <v>0.836745406824147</v>
      </c>
      <c r="BY271" s="35">
        <f t="shared" si="287"/>
        <v>0.95154845154845158</v>
      </c>
      <c r="BZ271" s="20">
        <v>2002</v>
      </c>
      <c r="CA271" s="20">
        <f t="shared" si="308"/>
        <v>97</v>
      </c>
      <c r="CB271" s="20">
        <v>1905</v>
      </c>
      <c r="CC271" s="20">
        <v>1594</v>
      </c>
      <c r="CD271" s="20">
        <f t="shared" si="309"/>
        <v>311</v>
      </c>
      <c r="CE271" s="20"/>
      <c r="CF271" s="20"/>
      <c r="CG271" s="46">
        <v>2015</v>
      </c>
      <c r="CH271" s="47" t="s">
        <v>39</v>
      </c>
      <c r="CI271" s="35">
        <f t="shared" si="288"/>
        <v>0.7420382165605095</v>
      </c>
      <c r="CJ271" s="35">
        <f t="shared" si="289"/>
        <v>0.80587980977086038</v>
      </c>
      <c r="CK271" s="35">
        <f t="shared" si="290"/>
        <v>0.92078025477707004</v>
      </c>
      <c r="CL271" s="20">
        <v>2512</v>
      </c>
      <c r="CM271" s="20">
        <f t="shared" si="291"/>
        <v>199</v>
      </c>
      <c r="CN271" s="20">
        <v>2313</v>
      </c>
      <c r="CO271" s="20">
        <v>1864</v>
      </c>
      <c r="CP271" s="20">
        <f t="shared" si="292"/>
        <v>449</v>
      </c>
      <c r="CQ271" s="20"/>
      <c r="CR271" s="20"/>
      <c r="CS271" s="46">
        <v>2015</v>
      </c>
      <c r="CT271" s="47" t="s">
        <v>39</v>
      </c>
      <c r="CU271" s="35">
        <f t="shared" si="293"/>
        <v>0.75612745098039214</v>
      </c>
      <c r="CV271" s="35">
        <f t="shared" si="294"/>
        <v>0.93061840120663653</v>
      </c>
      <c r="CW271" s="35">
        <f t="shared" si="295"/>
        <v>0.8125</v>
      </c>
      <c r="CX271" s="20">
        <v>816</v>
      </c>
      <c r="CY271" s="20">
        <f t="shared" si="310"/>
        <v>153</v>
      </c>
      <c r="CZ271" s="20">
        <v>663</v>
      </c>
      <c r="DA271" s="20">
        <v>617</v>
      </c>
      <c r="DB271" s="20">
        <f t="shared" si="311"/>
        <v>46</v>
      </c>
      <c r="DC271" s="20"/>
      <c r="DD271" s="20"/>
      <c r="DE271" s="46">
        <v>2015</v>
      </c>
      <c r="DF271" s="47" t="s">
        <v>39</v>
      </c>
      <c r="DG271" s="35">
        <f t="shared" si="296"/>
        <v>0.93135593220338986</v>
      </c>
      <c r="DH271" s="35">
        <f t="shared" si="297"/>
        <v>0.9717064544650752</v>
      </c>
      <c r="DI271" s="35">
        <f t="shared" si="298"/>
        <v>0.95847457627118648</v>
      </c>
      <c r="DJ271" s="20">
        <v>1180</v>
      </c>
      <c r="DK271" s="20">
        <f t="shared" si="312"/>
        <v>49</v>
      </c>
      <c r="DL271" s="20">
        <v>1131</v>
      </c>
      <c r="DM271" s="20">
        <v>1099</v>
      </c>
      <c r="DN271" s="20">
        <f t="shared" si="313"/>
        <v>32</v>
      </c>
      <c r="DO271" s="20"/>
      <c r="DP271" s="20"/>
      <c r="DQ271" s="46"/>
      <c r="DR271" s="47"/>
      <c r="DS271" s="35"/>
      <c r="DT271" s="35"/>
      <c r="DU271" s="35"/>
      <c r="DV271" s="27"/>
      <c r="DW271" s="27"/>
      <c r="DX271" s="27"/>
      <c r="DY271" s="27"/>
      <c r="DZ271" s="27"/>
      <c r="EA271" s="27"/>
      <c r="EB271" s="27"/>
    </row>
    <row r="272" spans="1:142" s="29" customFormat="1" ht="12.75">
      <c r="A272" s="45">
        <v>2015</v>
      </c>
      <c r="B272" s="48" t="s">
        <v>40</v>
      </c>
      <c r="C272" s="35">
        <f t="shared" si="299"/>
        <v>0.79505169867060566</v>
      </c>
      <c r="D272" s="35">
        <f t="shared" si="300"/>
        <v>0.86929687950625834</v>
      </c>
      <c r="E272" s="35">
        <f t="shared" si="301"/>
        <v>0.91459168600970664</v>
      </c>
      <c r="F27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18956</v>
      </c>
      <c r="G272" s="20">
        <f t="shared" si="302"/>
        <v>1619</v>
      </c>
      <c r="H27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17337</v>
      </c>
      <c r="I27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15071</v>
      </c>
      <c r="J272" s="20">
        <f t="shared" si="303"/>
        <v>2266</v>
      </c>
      <c r="K272" s="27"/>
      <c r="L272" s="27"/>
      <c r="M272" s="45">
        <v>2015</v>
      </c>
      <c r="N272" s="48" t="s">
        <v>40</v>
      </c>
      <c r="O272" s="35">
        <f t="shared" si="276"/>
        <v>0.7975615366919715</v>
      </c>
      <c r="P272" s="35">
        <f t="shared" si="277"/>
        <v>0.87066800602712202</v>
      </c>
      <c r="Q272" s="35">
        <f t="shared" si="278"/>
        <v>0.91603404646882913</v>
      </c>
      <c r="R272" s="20">
        <v>4347</v>
      </c>
      <c r="S272" s="27">
        <f t="shared" si="314"/>
        <v>365</v>
      </c>
      <c r="T272" s="20">
        <v>3982</v>
      </c>
      <c r="U272" s="20">
        <v>3467</v>
      </c>
      <c r="V272" s="20">
        <f t="shared" si="304"/>
        <v>515</v>
      </c>
      <c r="W272" s="20"/>
      <c r="X272" s="20"/>
      <c r="Y272" s="45"/>
      <c r="Z272" s="48"/>
      <c r="AA272" s="35"/>
      <c r="AB272" s="35"/>
      <c r="AC272" s="35"/>
      <c r="AD272" s="20"/>
      <c r="AE272" s="27"/>
      <c r="AF272" s="20"/>
      <c r="AG272" s="20"/>
      <c r="AH272" s="20"/>
      <c r="AI272" s="20"/>
      <c r="AJ272" s="20"/>
      <c r="AK272" s="45">
        <v>2015</v>
      </c>
      <c r="AL272" s="48" t="s">
        <v>40</v>
      </c>
      <c r="AM272" s="35">
        <f t="shared" si="279"/>
        <v>0.84957834869582272</v>
      </c>
      <c r="AN272" s="35">
        <f t="shared" si="280"/>
        <v>0.93041237113402064</v>
      </c>
      <c r="AO272" s="35">
        <f t="shared" si="281"/>
        <v>0.91312021965091195</v>
      </c>
      <c r="AP272" s="20">
        <v>5099</v>
      </c>
      <c r="AQ272" s="27">
        <f t="shared" si="315"/>
        <v>443</v>
      </c>
      <c r="AR272" s="20">
        <v>4656</v>
      </c>
      <c r="AS272" s="20">
        <v>4332</v>
      </c>
      <c r="AT272" s="20">
        <f t="shared" si="305"/>
        <v>324</v>
      </c>
      <c r="AU272" s="20"/>
      <c r="AV272" s="20"/>
      <c r="AW272" s="45">
        <v>2015</v>
      </c>
      <c r="AX272" s="48" t="s">
        <v>40</v>
      </c>
      <c r="AY272" s="35"/>
      <c r="AZ272" s="35"/>
      <c r="BA272" s="35"/>
      <c r="BB272" s="20"/>
      <c r="BC272" s="20"/>
      <c r="BD272" s="20"/>
      <c r="BE272" s="20"/>
      <c r="BF272" s="20"/>
      <c r="BG272" s="20"/>
      <c r="BH272" s="20"/>
      <c r="BI272" s="45">
        <v>2015</v>
      </c>
      <c r="BJ272" s="48" t="s">
        <v>40</v>
      </c>
      <c r="BK272" s="35">
        <f t="shared" si="282"/>
        <v>0.75735294117647056</v>
      </c>
      <c r="BL272" s="35">
        <f t="shared" si="283"/>
        <v>0.79954337899543382</v>
      </c>
      <c r="BM272" s="35">
        <f t="shared" si="284"/>
        <v>0.94723183391003463</v>
      </c>
      <c r="BN272" s="20">
        <v>2312</v>
      </c>
      <c r="BO272" s="20">
        <f t="shared" si="306"/>
        <v>122</v>
      </c>
      <c r="BP272" s="20">
        <v>2190</v>
      </c>
      <c r="BQ272" s="20">
        <v>1751</v>
      </c>
      <c r="BR272" s="20">
        <f t="shared" si="307"/>
        <v>439</v>
      </c>
      <c r="BS272" s="20"/>
      <c r="BT272" s="20"/>
      <c r="BU272" s="45">
        <v>2015</v>
      </c>
      <c r="BV272" s="48" t="s">
        <v>40</v>
      </c>
      <c r="BW272" s="35">
        <f t="shared" si="285"/>
        <v>0.76513098464317975</v>
      </c>
      <c r="BX272" s="35">
        <f t="shared" si="286"/>
        <v>0.82917278511992165</v>
      </c>
      <c r="BY272" s="35">
        <f t="shared" si="287"/>
        <v>0.92276422764227639</v>
      </c>
      <c r="BZ272" s="20">
        <v>2214</v>
      </c>
      <c r="CA272" s="20">
        <f t="shared" si="308"/>
        <v>171</v>
      </c>
      <c r="CB272" s="20">
        <v>2043</v>
      </c>
      <c r="CC272" s="20">
        <v>1694</v>
      </c>
      <c r="CD272" s="20">
        <f t="shared" si="309"/>
        <v>349</v>
      </c>
      <c r="CE272" s="20"/>
      <c r="CF272" s="20"/>
      <c r="CG272" s="45">
        <v>2015</v>
      </c>
      <c r="CH272" s="48" t="s">
        <v>40</v>
      </c>
      <c r="CI272" s="35">
        <f t="shared" si="288"/>
        <v>0.68671227943824276</v>
      </c>
      <c r="CJ272" s="35">
        <f t="shared" si="289"/>
        <v>0.77646579804560256</v>
      </c>
      <c r="CK272" s="35">
        <f t="shared" si="290"/>
        <v>0.88440763413755852</v>
      </c>
      <c r="CL272" s="20">
        <v>2777</v>
      </c>
      <c r="CM272" s="20">
        <f t="shared" si="291"/>
        <v>321</v>
      </c>
      <c r="CN272" s="20">
        <v>2456</v>
      </c>
      <c r="CO272" s="20">
        <v>1907</v>
      </c>
      <c r="CP272" s="20">
        <f t="shared" si="292"/>
        <v>549</v>
      </c>
      <c r="CQ272" s="20"/>
      <c r="CR272" s="20"/>
      <c r="CS272" s="45">
        <v>2015</v>
      </c>
      <c r="CT272" s="48" t="s">
        <v>40</v>
      </c>
      <c r="CU272" s="35">
        <f t="shared" si="293"/>
        <v>0.83259423503325947</v>
      </c>
      <c r="CV272" s="35">
        <f t="shared" si="294"/>
        <v>0.93757802746566787</v>
      </c>
      <c r="CW272" s="35">
        <f t="shared" si="295"/>
        <v>0.88802660753880269</v>
      </c>
      <c r="CX272" s="20">
        <v>902</v>
      </c>
      <c r="CY272" s="20">
        <f t="shared" si="310"/>
        <v>101</v>
      </c>
      <c r="CZ272" s="20">
        <v>801</v>
      </c>
      <c r="DA272" s="20">
        <v>751</v>
      </c>
      <c r="DB272" s="20">
        <f t="shared" si="311"/>
        <v>50</v>
      </c>
      <c r="DC272" s="20"/>
      <c r="DD272" s="20"/>
      <c r="DE272" s="45">
        <v>2015</v>
      </c>
      <c r="DF272" s="48" t="s">
        <v>40</v>
      </c>
      <c r="DG272" s="35">
        <f t="shared" si="296"/>
        <v>0.89578544061302678</v>
      </c>
      <c r="DH272" s="35">
        <f t="shared" si="297"/>
        <v>0.96691480562448306</v>
      </c>
      <c r="DI272" s="35">
        <f t="shared" si="298"/>
        <v>0.9264367816091954</v>
      </c>
      <c r="DJ272" s="20">
        <v>1305</v>
      </c>
      <c r="DK272" s="20">
        <f t="shared" si="312"/>
        <v>96</v>
      </c>
      <c r="DL272" s="20">
        <v>1209</v>
      </c>
      <c r="DM272" s="20">
        <v>1169</v>
      </c>
      <c r="DN272" s="20">
        <f t="shared" si="313"/>
        <v>40</v>
      </c>
      <c r="DO272" s="20"/>
      <c r="DP272" s="20"/>
      <c r="DQ272" s="45"/>
      <c r="DR272" s="48"/>
      <c r="DS272" s="35"/>
      <c r="DT272" s="35"/>
      <c r="DU272" s="35"/>
      <c r="DV272" s="27"/>
      <c r="DW272" s="27"/>
      <c r="DX272" s="27"/>
      <c r="DY272" s="27"/>
      <c r="DZ272" s="27"/>
      <c r="EA272" s="27"/>
      <c r="EB272" s="27"/>
    </row>
    <row r="273" spans="1:132" s="29" customFormat="1" ht="12.75">
      <c r="A273" s="46">
        <v>2015</v>
      </c>
      <c r="B273" s="47" t="s">
        <v>41</v>
      </c>
      <c r="C273" s="35">
        <f t="shared" si="299"/>
        <v>0.78462874511506731</v>
      </c>
      <c r="D273" s="35">
        <f t="shared" si="300"/>
        <v>0.82908924065152556</v>
      </c>
      <c r="E273" s="35">
        <f t="shared" si="301"/>
        <v>0.94637429439861054</v>
      </c>
      <c r="F27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18424</v>
      </c>
      <c r="G273" s="20">
        <f t="shared" si="302"/>
        <v>988</v>
      </c>
      <c r="H27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17436</v>
      </c>
      <c r="I27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14456</v>
      </c>
      <c r="J273" s="20">
        <f t="shared" si="303"/>
        <v>2980</v>
      </c>
      <c r="K273" s="27"/>
      <c r="L273" s="27"/>
      <c r="M273" s="46">
        <v>2015</v>
      </c>
      <c r="N273" s="47" t="s">
        <v>41</v>
      </c>
      <c r="O273" s="35">
        <f t="shared" si="276"/>
        <v>0.77876937529356505</v>
      </c>
      <c r="P273" s="35">
        <f t="shared" si="277"/>
        <v>0.82303301067262347</v>
      </c>
      <c r="Q273" s="35">
        <f t="shared" si="278"/>
        <v>0.94621888210427429</v>
      </c>
      <c r="R273" s="20">
        <v>4258</v>
      </c>
      <c r="S273" s="27">
        <f t="shared" si="314"/>
        <v>229</v>
      </c>
      <c r="T273" s="20">
        <v>4029</v>
      </c>
      <c r="U273" s="20">
        <v>3316</v>
      </c>
      <c r="V273" s="20">
        <f t="shared" si="304"/>
        <v>713</v>
      </c>
      <c r="W273" s="20"/>
      <c r="X273" s="20"/>
      <c r="Y273" s="46"/>
      <c r="Z273" s="47"/>
      <c r="AA273" s="35"/>
      <c r="AB273" s="35"/>
      <c r="AC273" s="35"/>
      <c r="AD273" s="20"/>
      <c r="AE273" s="27"/>
      <c r="AF273" s="20"/>
      <c r="AG273" s="20"/>
      <c r="AH273" s="20"/>
      <c r="AI273" s="20"/>
      <c r="AJ273" s="20"/>
      <c r="AK273" s="46">
        <v>2015</v>
      </c>
      <c r="AL273" s="47" t="s">
        <v>41</v>
      </c>
      <c r="AM273" s="35">
        <f t="shared" si="279"/>
        <v>0.81467413034786085</v>
      </c>
      <c r="AN273" s="35">
        <f t="shared" si="280"/>
        <v>0.87540279269602583</v>
      </c>
      <c r="AO273" s="35">
        <f t="shared" si="281"/>
        <v>0.93062774890043987</v>
      </c>
      <c r="AP273" s="20">
        <v>5002</v>
      </c>
      <c r="AQ273" s="27">
        <f t="shared" si="315"/>
        <v>347</v>
      </c>
      <c r="AR273" s="20">
        <v>4655</v>
      </c>
      <c r="AS273" s="20">
        <v>4075</v>
      </c>
      <c r="AT273" s="20">
        <f t="shared" si="305"/>
        <v>580</v>
      </c>
      <c r="AU273" s="20"/>
      <c r="AV273" s="20"/>
      <c r="AW273" s="46">
        <v>2015</v>
      </c>
      <c r="AX273" s="47" t="s">
        <v>41</v>
      </c>
      <c r="AY273" s="35"/>
      <c r="AZ273" s="35"/>
      <c r="BA273" s="35"/>
      <c r="BB273" s="20"/>
      <c r="BC273" s="20"/>
      <c r="BD273" s="20"/>
      <c r="BE273" s="20"/>
      <c r="BF273" s="20"/>
      <c r="BG273" s="20"/>
      <c r="BH273" s="20"/>
      <c r="BI273" s="46">
        <v>2015</v>
      </c>
      <c r="BJ273" s="47" t="s">
        <v>41</v>
      </c>
      <c r="BK273" s="35">
        <f t="shared" si="282"/>
        <v>0.75138376383763839</v>
      </c>
      <c r="BL273" s="35">
        <f t="shared" si="283"/>
        <v>0.77277039848197349</v>
      </c>
      <c r="BM273" s="35">
        <f t="shared" si="284"/>
        <v>0.97232472324723251</v>
      </c>
      <c r="BN273" s="20">
        <v>2168</v>
      </c>
      <c r="BO273" s="20">
        <f t="shared" si="306"/>
        <v>60</v>
      </c>
      <c r="BP273" s="20">
        <v>2108</v>
      </c>
      <c r="BQ273" s="20">
        <v>1629</v>
      </c>
      <c r="BR273" s="20">
        <f t="shared" si="307"/>
        <v>479</v>
      </c>
      <c r="BS273" s="20"/>
      <c r="BT273" s="20"/>
      <c r="BU273" s="46">
        <v>2015</v>
      </c>
      <c r="BV273" s="47" t="s">
        <v>41</v>
      </c>
      <c r="BW273" s="35">
        <f t="shared" si="285"/>
        <v>0.7397769516728625</v>
      </c>
      <c r="BX273" s="35">
        <f t="shared" si="286"/>
        <v>0.78192534381139489</v>
      </c>
      <c r="BY273" s="35">
        <f t="shared" si="287"/>
        <v>0.94609665427509293</v>
      </c>
      <c r="BZ273" s="20">
        <v>2152</v>
      </c>
      <c r="CA273" s="20">
        <f t="shared" si="308"/>
        <v>116</v>
      </c>
      <c r="CB273" s="20">
        <v>2036</v>
      </c>
      <c r="CC273" s="20">
        <v>1592</v>
      </c>
      <c r="CD273" s="20">
        <f t="shared" si="309"/>
        <v>444</v>
      </c>
      <c r="CE273" s="20"/>
      <c r="CF273" s="20"/>
      <c r="CG273" s="46">
        <v>2015</v>
      </c>
      <c r="CH273" s="47" t="s">
        <v>41</v>
      </c>
      <c r="CI273" s="35">
        <f t="shared" si="288"/>
        <v>0.69022945965951144</v>
      </c>
      <c r="CJ273" s="35">
        <f t="shared" si="289"/>
        <v>0.72483482316362224</v>
      </c>
      <c r="CK273" s="35">
        <f t="shared" si="290"/>
        <v>0.95225758697261287</v>
      </c>
      <c r="CL273" s="20">
        <v>2702</v>
      </c>
      <c r="CM273" s="20">
        <f t="shared" si="291"/>
        <v>129</v>
      </c>
      <c r="CN273" s="20">
        <v>2573</v>
      </c>
      <c r="CO273" s="20">
        <v>1865</v>
      </c>
      <c r="CP273" s="20">
        <f t="shared" si="292"/>
        <v>708</v>
      </c>
      <c r="CQ273" s="20"/>
      <c r="CR273" s="20"/>
      <c r="CS273" s="46">
        <v>2015</v>
      </c>
      <c r="CT273" s="47" t="s">
        <v>41</v>
      </c>
      <c r="CU273" s="35">
        <f t="shared" si="293"/>
        <v>0.89611872146118721</v>
      </c>
      <c r="CV273" s="35">
        <f t="shared" si="294"/>
        <v>0.95731707317073167</v>
      </c>
      <c r="CW273" s="35">
        <f t="shared" si="295"/>
        <v>0.9360730593607306</v>
      </c>
      <c r="CX273" s="20">
        <v>876</v>
      </c>
      <c r="CY273" s="20">
        <f t="shared" si="310"/>
        <v>56</v>
      </c>
      <c r="CZ273" s="20">
        <v>820</v>
      </c>
      <c r="DA273" s="20">
        <v>785</v>
      </c>
      <c r="DB273" s="20">
        <f t="shared" si="311"/>
        <v>35</v>
      </c>
      <c r="DC273" s="20"/>
      <c r="DD273" s="20"/>
      <c r="DE273" s="46">
        <v>2015</v>
      </c>
      <c r="DF273" s="47" t="s">
        <v>41</v>
      </c>
      <c r="DG273" s="35">
        <f t="shared" si="296"/>
        <v>0.94312796208530802</v>
      </c>
      <c r="DH273" s="35">
        <f t="shared" si="297"/>
        <v>0.98271604938271606</v>
      </c>
      <c r="DI273" s="35">
        <f t="shared" si="298"/>
        <v>0.95971563981042651</v>
      </c>
      <c r="DJ273" s="20">
        <v>1266</v>
      </c>
      <c r="DK273" s="20">
        <f t="shared" si="312"/>
        <v>51</v>
      </c>
      <c r="DL273" s="20">
        <v>1215</v>
      </c>
      <c r="DM273" s="20">
        <v>1194</v>
      </c>
      <c r="DN273" s="20">
        <f t="shared" si="313"/>
        <v>21</v>
      </c>
      <c r="DO273" s="20"/>
      <c r="DP273" s="20"/>
      <c r="DQ273" s="46"/>
      <c r="DR273" s="47"/>
      <c r="DS273" s="35"/>
      <c r="DT273" s="35"/>
      <c r="DU273" s="35"/>
      <c r="DV273" s="27"/>
      <c r="DW273" s="27"/>
      <c r="DX273" s="27"/>
      <c r="DY273" s="27"/>
      <c r="DZ273" s="27"/>
      <c r="EA273" s="27"/>
      <c r="EB273" s="27"/>
    </row>
    <row r="274" spans="1:132" s="29" customFormat="1" ht="12.75">
      <c r="A274" s="45">
        <v>2015</v>
      </c>
      <c r="B274" s="48" t="s">
        <v>42</v>
      </c>
      <c r="C274" s="35">
        <f t="shared" si="299"/>
        <v>0.68599085203701737</v>
      </c>
      <c r="D274" s="35">
        <f t="shared" si="300"/>
        <v>0.76000235696187612</v>
      </c>
      <c r="E274" s="35">
        <f t="shared" si="301"/>
        <v>0.90261674289969152</v>
      </c>
      <c r="F27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18802</v>
      </c>
      <c r="G274" s="20">
        <f t="shared" si="302"/>
        <v>1831</v>
      </c>
      <c r="H27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16971</v>
      </c>
      <c r="I27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12898</v>
      </c>
      <c r="J274" s="20">
        <f t="shared" si="303"/>
        <v>4073</v>
      </c>
      <c r="K274" s="27"/>
      <c r="L274" s="27"/>
      <c r="M274" s="45">
        <v>2015</v>
      </c>
      <c r="N274" s="48" t="s">
        <v>42</v>
      </c>
      <c r="O274" s="35">
        <f t="shared" si="276"/>
        <v>0.73995381062355658</v>
      </c>
      <c r="P274" s="35">
        <f t="shared" si="277"/>
        <v>0.79072063178677199</v>
      </c>
      <c r="Q274" s="35">
        <f t="shared" si="278"/>
        <v>0.93579676674364898</v>
      </c>
      <c r="R274" s="20">
        <v>4330</v>
      </c>
      <c r="S274" s="27">
        <f t="shared" si="314"/>
        <v>278</v>
      </c>
      <c r="T274" s="20">
        <v>4052</v>
      </c>
      <c r="U274" s="20">
        <v>3204</v>
      </c>
      <c r="V274" s="20">
        <f t="shared" si="304"/>
        <v>848</v>
      </c>
      <c r="W274" s="20"/>
      <c r="X274" s="20"/>
      <c r="Y274" s="45"/>
      <c r="Z274" s="48"/>
      <c r="AA274" s="35"/>
      <c r="AB274" s="35"/>
      <c r="AC274" s="35"/>
      <c r="AD274" s="20"/>
      <c r="AE274" s="27"/>
      <c r="AF274" s="20"/>
      <c r="AG274" s="20"/>
      <c r="AH274" s="20"/>
      <c r="AI274" s="20"/>
      <c r="AJ274" s="20"/>
      <c r="AK274" s="45">
        <v>2015</v>
      </c>
      <c r="AL274" s="48" t="s">
        <v>42</v>
      </c>
      <c r="AM274" s="35">
        <f t="shared" si="279"/>
        <v>0.69279493269992087</v>
      </c>
      <c r="AN274" s="35">
        <f t="shared" si="280"/>
        <v>0.78264758497316633</v>
      </c>
      <c r="AO274" s="35">
        <f t="shared" si="281"/>
        <v>0.885193982581156</v>
      </c>
      <c r="AP274" s="20">
        <v>5052</v>
      </c>
      <c r="AQ274" s="27">
        <f t="shared" si="315"/>
        <v>580</v>
      </c>
      <c r="AR274" s="20">
        <v>4472</v>
      </c>
      <c r="AS274" s="20">
        <v>3500</v>
      </c>
      <c r="AT274" s="20">
        <f t="shared" si="305"/>
        <v>972</v>
      </c>
      <c r="AU274" s="20"/>
      <c r="AV274" s="20"/>
      <c r="AW274" s="45">
        <v>2015</v>
      </c>
      <c r="AX274" s="48" t="s">
        <v>42</v>
      </c>
      <c r="AY274" s="35"/>
      <c r="AZ274" s="35"/>
      <c r="BA274" s="35"/>
      <c r="BB274" s="20"/>
      <c r="BC274" s="20"/>
      <c r="BD274" s="20"/>
      <c r="BE274" s="20"/>
      <c r="BF274" s="20"/>
      <c r="BG274" s="20"/>
      <c r="BH274" s="20"/>
      <c r="BI274" s="45">
        <v>2015</v>
      </c>
      <c r="BJ274" s="48" t="s">
        <v>42</v>
      </c>
      <c r="BK274" s="35">
        <f t="shared" si="282"/>
        <v>0.60832587287376905</v>
      </c>
      <c r="BL274" s="35">
        <f t="shared" si="283"/>
        <v>0.67210682492581597</v>
      </c>
      <c r="BM274" s="35">
        <f t="shared" si="284"/>
        <v>0.90510295434198751</v>
      </c>
      <c r="BN274" s="20">
        <v>2234</v>
      </c>
      <c r="BO274" s="20">
        <f t="shared" si="306"/>
        <v>212</v>
      </c>
      <c r="BP274" s="20">
        <v>2022</v>
      </c>
      <c r="BQ274" s="20">
        <v>1359</v>
      </c>
      <c r="BR274" s="20">
        <f t="shared" si="307"/>
        <v>663</v>
      </c>
      <c r="BS274" s="20"/>
      <c r="BT274" s="20"/>
      <c r="BU274" s="45">
        <v>2015</v>
      </c>
      <c r="BV274" s="48" t="s">
        <v>42</v>
      </c>
      <c r="BW274" s="35">
        <f t="shared" si="285"/>
        <v>0.61928474422815749</v>
      </c>
      <c r="BX274" s="35">
        <f t="shared" si="286"/>
        <v>0.70442842430484032</v>
      </c>
      <c r="BY274" s="35">
        <f t="shared" si="287"/>
        <v>0.87913082842915347</v>
      </c>
      <c r="BZ274" s="20">
        <v>2209</v>
      </c>
      <c r="CA274" s="20">
        <f t="shared" si="308"/>
        <v>267</v>
      </c>
      <c r="CB274" s="20">
        <v>1942</v>
      </c>
      <c r="CC274" s="20">
        <v>1368</v>
      </c>
      <c r="CD274" s="20">
        <f t="shared" si="309"/>
        <v>574</v>
      </c>
      <c r="CE274" s="20"/>
      <c r="CF274" s="20"/>
      <c r="CG274" s="45">
        <v>2015</v>
      </c>
      <c r="CH274" s="48" t="s">
        <v>42</v>
      </c>
      <c r="CI274" s="35">
        <f t="shared" si="288"/>
        <v>0.57581227436823101</v>
      </c>
      <c r="CJ274" s="35">
        <f t="shared" si="289"/>
        <v>0.6473214285714286</v>
      </c>
      <c r="CK274" s="35">
        <f t="shared" si="290"/>
        <v>0.8895306859205776</v>
      </c>
      <c r="CL274" s="20">
        <v>2770</v>
      </c>
      <c r="CM274" s="20">
        <f t="shared" si="291"/>
        <v>306</v>
      </c>
      <c r="CN274" s="20">
        <v>2464</v>
      </c>
      <c r="CO274" s="20">
        <v>1595</v>
      </c>
      <c r="CP274" s="20">
        <f t="shared" si="292"/>
        <v>869</v>
      </c>
      <c r="CQ274" s="20"/>
      <c r="CR274" s="20"/>
      <c r="CS274" s="45">
        <v>2015</v>
      </c>
      <c r="CT274" s="48" t="s">
        <v>42</v>
      </c>
      <c r="CU274" s="35">
        <f t="shared" si="293"/>
        <v>0.79933481152993346</v>
      </c>
      <c r="CV274" s="35">
        <f t="shared" si="294"/>
        <v>0.90577889447236182</v>
      </c>
      <c r="CW274" s="35">
        <f t="shared" si="295"/>
        <v>0.8824833702882483</v>
      </c>
      <c r="CX274" s="20">
        <v>902</v>
      </c>
      <c r="CY274" s="20">
        <f t="shared" si="310"/>
        <v>106</v>
      </c>
      <c r="CZ274" s="20">
        <v>796</v>
      </c>
      <c r="DA274" s="20">
        <v>721</v>
      </c>
      <c r="DB274" s="20">
        <f t="shared" si="311"/>
        <v>75</v>
      </c>
      <c r="DC274" s="20"/>
      <c r="DD274" s="20"/>
      <c r="DE274" s="45">
        <v>2015</v>
      </c>
      <c r="DF274" s="48" t="s">
        <v>42</v>
      </c>
      <c r="DG274" s="35">
        <f t="shared" si="296"/>
        <v>0.88199233716475101</v>
      </c>
      <c r="DH274" s="35">
        <f t="shared" si="297"/>
        <v>0.9411283728536386</v>
      </c>
      <c r="DI274" s="35">
        <f t="shared" si="298"/>
        <v>0.93716475095785445</v>
      </c>
      <c r="DJ274" s="20">
        <v>1305</v>
      </c>
      <c r="DK274" s="20">
        <f t="shared" si="312"/>
        <v>82</v>
      </c>
      <c r="DL274" s="20">
        <v>1223</v>
      </c>
      <c r="DM274" s="20">
        <v>1151</v>
      </c>
      <c r="DN274" s="20">
        <f t="shared" si="313"/>
        <v>72</v>
      </c>
      <c r="DO274" s="20"/>
      <c r="DP274" s="20"/>
      <c r="DQ274" s="45"/>
      <c r="DR274" s="48"/>
      <c r="DS274" s="35"/>
      <c r="DT274" s="35"/>
      <c r="DU274" s="35"/>
      <c r="DV274" s="27"/>
      <c r="DW274" s="27"/>
      <c r="DX274" s="27"/>
      <c r="DY274" s="27"/>
      <c r="DZ274" s="27"/>
      <c r="EA274" s="27"/>
      <c r="EB274" s="27"/>
    </row>
    <row r="275" spans="1:132" s="29" customFormat="1" ht="12.75">
      <c r="A275" s="46">
        <v>2015</v>
      </c>
      <c r="B275" s="47" t="s">
        <v>43</v>
      </c>
      <c r="C275" s="35">
        <f t="shared" si="299"/>
        <v>0.5241810506065302</v>
      </c>
      <c r="D275" s="35">
        <f t="shared" si="300"/>
        <v>0.62991266375545851</v>
      </c>
      <c r="E275" s="35">
        <f t="shared" si="301"/>
        <v>0.83214877357986428</v>
      </c>
      <c r="F27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18713</v>
      </c>
      <c r="G275" s="20">
        <f t="shared" si="302"/>
        <v>3141</v>
      </c>
      <c r="H27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15572</v>
      </c>
      <c r="I27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9809</v>
      </c>
      <c r="J275" s="20">
        <f t="shared" si="303"/>
        <v>5763</v>
      </c>
      <c r="K275" s="27"/>
      <c r="L275" s="27"/>
      <c r="M275" s="46">
        <v>2015</v>
      </c>
      <c r="N275" s="47" t="s">
        <v>43</v>
      </c>
      <c r="O275" s="35">
        <f t="shared" si="276"/>
        <v>0.59507366482504609</v>
      </c>
      <c r="P275" s="35">
        <f t="shared" si="277"/>
        <v>0.67282665278500786</v>
      </c>
      <c r="Q275" s="35">
        <f t="shared" si="278"/>
        <v>0.88443830570902393</v>
      </c>
      <c r="R275" s="20">
        <v>4344</v>
      </c>
      <c r="S275" s="27">
        <f t="shared" si="314"/>
        <v>502</v>
      </c>
      <c r="T275" s="20">
        <v>3842</v>
      </c>
      <c r="U275" s="20">
        <v>2585</v>
      </c>
      <c r="V275" s="20">
        <f t="shared" si="304"/>
        <v>1257</v>
      </c>
      <c r="W275" s="20"/>
      <c r="X275" s="20"/>
      <c r="Y275" s="46"/>
      <c r="Z275" s="47"/>
      <c r="AA275" s="35"/>
      <c r="AB275" s="35"/>
      <c r="AC275" s="35"/>
      <c r="AD275" s="20"/>
      <c r="AE275" s="27"/>
      <c r="AF275" s="20"/>
      <c r="AG275" s="20"/>
      <c r="AH275" s="20"/>
      <c r="AI275" s="20"/>
      <c r="AJ275" s="20"/>
      <c r="AK275" s="46">
        <v>2015</v>
      </c>
      <c r="AL275" s="47" t="s">
        <v>43</v>
      </c>
      <c r="AM275" s="35">
        <f t="shared" si="279"/>
        <v>0.52604976671850701</v>
      </c>
      <c r="AN275" s="35">
        <f t="shared" si="280"/>
        <v>0.65079365079365081</v>
      </c>
      <c r="AO275" s="35">
        <f t="shared" si="281"/>
        <v>0.80832037325038886</v>
      </c>
      <c r="AP275" s="20">
        <v>5144</v>
      </c>
      <c r="AQ275" s="27">
        <f t="shared" si="315"/>
        <v>986</v>
      </c>
      <c r="AR275" s="20">
        <v>4158</v>
      </c>
      <c r="AS275" s="20">
        <v>2706</v>
      </c>
      <c r="AT275" s="20">
        <f t="shared" si="305"/>
        <v>1452</v>
      </c>
      <c r="AU275" s="20"/>
      <c r="AV275" s="20"/>
      <c r="AW275" s="46">
        <v>2015</v>
      </c>
      <c r="AX275" s="47" t="s">
        <v>43</v>
      </c>
      <c r="AY275" s="35"/>
      <c r="AZ275" s="35"/>
      <c r="BA275" s="35"/>
      <c r="BB275" s="20"/>
      <c r="BC275" s="20"/>
      <c r="BD275" s="20"/>
      <c r="BE275" s="20"/>
      <c r="BF275" s="20"/>
      <c r="BG275" s="20"/>
      <c r="BH275" s="20"/>
      <c r="BI275" s="46">
        <v>2015</v>
      </c>
      <c r="BJ275" s="47" t="s">
        <v>43</v>
      </c>
      <c r="BK275" s="35">
        <f t="shared" si="282"/>
        <v>0.40625</v>
      </c>
      <c r="BL275" s="35">
        <f t="shared" si="283"/>
        <v>0.45993756503642041</v>
      </c>
      <c r="BM275" s="35">
        <f t="shared" si="284"/>
        <v>0.88327205882352944</v>
      </c>
      <c r="BN275" s="20">
        <v>2176</v>
      </c>
      <c r="BO275" s="20">
        <f t="shared" si="306"/>
        <v>254</v>
      </c>
      <c r="BP275" s="20">
        <v>1922</v>
      </c>
      <c r="BQ275" s="20">
        <v>884</v>
      </c>
      <c r="BR275" s="20">
        <f t="shared" si="307"/>
        <v>1038</v>
      </c>
      <c r="BS275" s="20"/>
      <c r="BT275" s="20"/>
      <c r="BU275" s="46">
        <v>2015</v>
      </c>
      <c r="BV275" s="47" t="s">
        <v>43</v>
      </c>
      <c r="BW275" s="35">
        <f t="shared" si="285"/>
        <v>0.43364055299539173</v>
      </c>
      <c r="BX275" s="35">
        <f t="shared" si="286"/>
        <v>0.54361640670132871</v>
      </c>
      <c r="BY275" s="35">
        <f t="shared" si="287"/>
        <v>0.79769585253456221</v>
      </c>
      <c r="BZ275" s="20">
        <v>2170</v>
      </c>
      <c r="CA275" s="20">
        <f t="shared" si="308"/>
        <v>439</v>
      </c>
      <c r="CB275" s="20">
        <v>1731</v>
      </c>
      <c r="CC275" s="20">
        <v>941</v>
      </c>
      <c r="CD275" s="20">
        <f t="shared" si="309"/>
        <v>790</v>
      </c>
      <c r="CE275" s="20"/>
      <c r="CF275" s="20"/>
      <c r="CG275" s="46">
        <v>2015</v>
      </c>
      <c r="CH275" s="47" t="s">
        <v>43</v>
      </c>
      <c r="CI275" s="35">
        <f t="shared" si="288"/>
        <v>0.43679003297911323</v>
      </c>
      <c r="CJ275" s="35">
        <f t="shared" si="289"/>
        <v>0.52860310421286028</v>
      </c>
      <c r="CK275" s="35">
        <f t="shared" si="290"/>
        <v>0.82631000366434593</v>
      </c>
      <c r="CL275" s="20">
        <v>2729</v>
      </c>
      <c r="CM275" s="20">
        <f t="shared" si="291"/>
        <v>474</v>
      </c>
      <c r="CN275" s="20">
        <v>2255</v>
      </c>
      <c r="CO275" s="20">
        <v>1192</v>
      </c>
      <c r="CP275" s="20">
        <f t="shared" si="292"/>
        <v>1063</v>
      </c>
      <c r="CQ275" s="20"/>
      <c r="CR275" s="20"/>
      <c r="CS275" s="46">
        <v>2015</v>
      </c>
      <c r="CT275" s="47" t="s">
        <v>43</v>
      </c>
      <c r="CU275" s="35">
        <f t="shared" si="293"/>
        <v>0.56931818181818183</v>
      </c>
      <c r="CV275" s="35">
        <f t="shared" si="294"/>
        <v>0.85059422750424452</v>
      </c>
      <c r="CW275" s="35">
        <f t="shared" si="295"/>
        <v>0.66931818181818181</v>
      </c>
      <c r="CX275" s="20">
        <v>880</v>
      </c>
      <c r="CY275" s="20">
        <f t="shared" si="310"/>
        <v>291</v>
      </c>
      <c r="CZ275" s="20">
        <v>589</v>
      </c>
      <c r="DA275" s="20">
        <v>501</v>
      </c>
      <c r="DB275" s="20">
        <f t="shared" si="311"/>
        <v>88</v>
      </c>
      <c r="DC275" s="20"/>
      <c r="DD275" s="20"/>
      <c r="DE275" s="46">
        <v>2015</v>
      </c>
      <c r="DF275" s="47" t="s">
        <v>43</v>
      </c>
      <c r="DG275" s="35">
        <f t="shared" si="296"/>
        <v>0.78740157480314965</v>
      </c>
      <c r="DH275" s="35">
        <f t="shared" si="297"/>
        <v>0.93023255813953487</v>
      </c>
      <c r="DI275" s="35">
        <f t="shared" si="298"/>
        <v>0.84645669291338588</v>
      </c>
      <c r="DJ275" s="20">
        <v>1270</v>
      </c>
      <c r="DK275" s="20">
        <f t="shared" si="312"/>
        <v>195</v>
      </c>
      <c r="DL275" s="20">
        <v>1075</v>
      </c>
      <c r="DM275" s="20">
        <v>1000</v>
      </c>
      <c r="DN275" s="20">
        <f t="shared" si="313"/>
        <v>75</v>
      </c>
      <c r="DO275" s="20"/>
      <c r="DP275" s="20"/>
      <c r="DQ275" s="46"/>
      <c r="DR275" s="47"/>
      <c r="DS275" s="35"/>
      <c r="DT275" s="35"/>
      <c r="DU275" s="35"/>
      <c r="DV275" s="27"/>
      <c r="DW275" s="27"/>
      <c r="DX275" s="27"/>
      <c r="DY275" s="27"/>
      <c r="DZ275" s="27"/>
      <c r="EA275" s="27"/>
      <c r="EB275" s="27"/>
    </row>
    <row r="276" spans="1:132" s="29" customFormat="1" ht="12.75">
      <c r="A276" s="45">
        <v>2015</v>
      </c>
      <c r="B276" s="48" t="s">
        <v>44</v>
      </c>
      <c r="C276" s="35">
        <f t="shared" si="299"/>
        <v>0.6285446565073729</v>
      </c>
      <c r="D276" s="35">
        <f t="shared" si="300"/>
        <v>0.70601595391092398</v>
      </c>
      <c r="E276" s="35">
        <f t="shared" si="301"/>
        <v>0.89026976377176115</v>
      </c>
      <c r="F27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20277</v>
      </c>
      <c r="G276" s="20">
        <f t="shared" si="302"/>
        <v>2225</v>
      </c>
      <c r="H27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I27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12745</v>
      </c>
      <c r="J276" s="20">
        <f t="shared" si="303"/>
        <v>5307</v>
      </c>
      <c r="K276" s="27"/>
      <c r="L276" s="27"/>
      <c r="M276" s="45">
        <v>2015</v>
      </c>
      <c r="N276" s="48" t="s">
        <v>44</v>
      </c>
      <c r="O276" s="35">
        <f t="shared" si="276"/>
        <v>0.71014492753623193</v>
      </c>
      <c r="P276" s="35">
        <f t="shared" si="277"/>
        <v>0.75366777094178894</v>
      </c>
      <c r="Q276" s="35">
        <f t="shared" si="278"/>
        <v>0.94225195094760317</v>
      </c>
      <c r="R276" s="20">
        <v>4485</v>
      </c>
      <c r="S276" s="27">
        <f t="shared" si="314"/>
        <v>259</v>
      </c>
      <c r="T276" s="20">
        <v>4226</v>
      </c>
      <c r="U276" s="20">
        <v>3185</v>
      </c>
      <c r="V276" s="20">
        <f t="shared" si="304"/>
        <v>1041</v>
      </c>
      <c r="W276" s="20"/>
      <c r="X276" s="20"/>
      <c r="Y276" s="45"/>
      <c r="Z276" s="48"/>
      <c r="AA276" s="35"/>
      <c r="AB276" s="35"/>
      <c r="AC276" s="35"/>
      <c r="AD276" s="20"/>
      <c r="AE276" s="27"/>
      <c r="AF276" s="20"/>
      <c r="AG276" s="20"/>
      <c r="AH276" s="20"/>
      <c r="AI276" s="20"/>
      <c r="AJ276" s="20"/>
      <c r="AK276" s="45">
        <v>2015</v>
      </c>
      <c r="AL276" s="48" t="s">
        <v>44</v>
      </c>
      <c r="AM276" s="35">
        <f t="shared" si="279"/>
        <v>0.72301002079788235</v>
      </c>
      <c r="AN276" s="35">
        <f t="shared" si="280"/>
        <v>0.80454449821165575</v>
      </c>
      <c r="AO276" s="35">
        <f t="shared" si="281"/>
        <v>0.89865759122707511</v>
      </c>
      <c r="AP276" s="20">
        <v>5289</v>
      </c>
      <c r="AQ276" s="27">
        <f t="shared" si="315"/>
        <v>536</v>
      </c>
      <c r="AR276" s="20">
        <v>4753</v>
      </c>
      <c r="AS276" s="20">
        <v>3824</v>
      </c>
      <c r="AT276" s="20">
        <f t="shared" si="305"/>
        <v>929</v>
      </c>
      <c r="AU276" s="20"/>
      <c r="AV276" s="20"/>
      <c r="AW276" s="45">
        <v>2015</v>
      </c>
      <c r="AX276" s="48" t="s">
        <v>44</v>
      </c>
      <c r="AY276" s="35">
        <f t="shared" ref="AY276:AY325" si="316">BE276/BB276</f>
        <v>0.43666323377960864</v>
      </c>
      <c r="AZ276" s="35">
        <f t="shared" ref="AZ276:AZ325" si="317">BE276/BD276</f>
        <v>0.44166666666666665</v>
      </c>
      <c r="BA276" s="35">
        <f t="shared" ref="BA276:BA325" si="318">BD276/BB276</f>
        <v>0.98867147270854794</v>
      </c>
      <c r="BB276" s="20">
        <v>971</v>
      </c>
      <c r="BC276" s="20">
        <f t="shared" ref="BC276:BC281" si="319">BB276-BD276</f>
        <v>11</v>
      </c>
      <c r="BD276" s="20">
        <v>960</v>
      </c>
      <c r="BE276" s="20">
        <v>424</v>
      </c>
      <c r="BF276" s="20">
        <f t="shared" ref="BF276:BF281" si="320">BD276-BE276</f>
        <v>536</v>
      </c>
      <c r="BG276" s="20"/>
      <c r="BH276" s="20"/>
      <c r="BI276" s="45">
        <v>2015</v>
      </c>
      <c r="BJ276" s="48" t="s">
        <v>44</v>
      </c>
      <c r="BK276" s="35">
        <f t="shared" si="282"/>
        <v>0.45603907637655416</v>
      </c>
      <c r="BL276" s="35">
        <f t="shared" si="283"/>
        <v>0.50866765725606733</v>
      </c>
      <c r="BM276" s="35">
        <f t="shared" si="284"/>
        <v>0.89653641207815271</v>
      </c>
      <c r="BN276" s="20">
        <v>2252</v>
      </c>
      <c r="BO276" s="20">
        <f t="shared" si="306"/>
        <v>233</v>
      </c>
      <c r="BP276" s="20">
        <v>2019</v>
      </c>
      <c r="BQ276" s="20">
        <v>1027</v>
      </c>
      <c r="BR276" s="20">
        <f t="shared" si="307"/>
        <v>992</v>
      </c>
      <c r="BS276" s="20"/>
      <c r="BT276" s="20"/>
      <c r="BU276" s="45">
        <v>2015</v>
      </c>
      <c r="BV276" s="48" t="s">
        <v>44</v>
      </c>
      <c r="BW276" s="35">
        <f t="shared" si="285"/>
        <v>0.50401785714285718</v>
      </c>
      <c r="BX276" s="35">
        <f t="shared" si="286"/>
        <v>0.59703860391327335</v>
      </c>
      <c r="BY276" s="35">
        <f t="shared" si="287"/>
        <v>0.84419642857142863</v>
      </c>
      <c r="BZ276" s="20">
        <v>2240</v>
      </c>
      <c r="CA276" s="20">
        <f t="shared" si="308"/>
        <v>349</v>
      </c>
      <c r="CB276" s="20">
        <v>1891</v>
      </c>
      <c r="CC276" s="20">
        <v>1129</v>
      </c>
      <c r="CD276" s="20">
        <f t="shared" si="309"/>
        <v>762</v>
      </c>
      <c r="CE276" s="20"/>
      <c r="CF276" s="20"/>
      <c r="CG276" s="45">
        <v>2015</v>
      </c>
      <c r="CH276" s="48" t="s">
        <v>44</v>
      </c>
      <c r="CI276" s="35">
        <f t="shared" si="288"/>
        <v>0.49769258075967343</v>
      </c>
      <c r="CJ276" s="35">
        <f t="shared" si="289"/>
        <v>0.60824295010845986</v>
      </c>
      <c r="CK276" s="35">
        <f t="shared" si="290"/>
        <v>0.81824636137735174</v>
      </c>
      <c r="CL276" s="20">
        <v>2817</v>
      </c>
      <c r="CM276" s="20">
        <f t="shared" si="291"/>
        <v>512</v>
      </c>
      <c r="CN276" s="20">
        <v>2305</v>
      </c>
      <c r="CO276" s="20">
        <v>1402</v>
      </c>
      <c r="CP276" s="20">
        <f t="shared" si="292"/>
        <v>903</v>
      </c>
      <c r="CQ276" s="20"/>
      <c r="CR276" s="20"/>
      <c r="CS276" s="45">
        <v>2015</v>
      </c>
      <c r="CT276" s="48" t="s">
        <v>44</v>
      </c>
      <c r="CU276" s="35">
        <f t="shared" si="293"/>
        <v>0.80219780219780223</v>
      </c>
      <c r="CV276" s="35">
        <f t="shared" si="294"/>
        <v>0.91593475533249691</v>
      </c>
      <c r="CW276" s="35">
        <f t="shared" si="295"/>
        <v>0.87582417582417582</v>
      </c>
      <c r="CX276" s="20">
        <v>910</v>
      </c>
      <c r="CY276" s="20">
        <f t="shared" si="310"/>
        <v>113</v>
      </c>
      <c r="CZ276" s="20">
        <v>797</v>
      </c>
      <c r="DA276" s="20">
        <v>730</v>
      </c>
      <c r="DB276" s="20">
        <f t="shared" si="311"/>
        <v>67</v>
      </c>
      <c r="DC276" s="20"/>
      <c r="DD276" s="20"/>
      <c r="DE276" s="45">
        <v>2015</v>
      </c>
      <c r="DF276" s="48" t="s">
        <v>44</v>
      </c>
      <c r="DG276" s="35">
        <f t="shared" si="296"/>
        <v>0.77989337395277991</v>
      </c>
      <c r="DH276" s="35">
        <f t="shared" si="297"/>
        <v>0.93006357856494093</v>
      </c>
      <c r="DI276" s="35">
        <f t="shared" si="298"/>
        <v>0.83853769992383853</v>
      </c>
      <c r="DJ276" s="20">
        <v>1313</v>
      </c>
      <c r="DK276" s="20">
        <f t="shared" si="312"/>
        <v>212</v>
      </c>
      <c r="DL276" s="20">
        <v>1101</v>
      </c>
      <c r="DM276" s="20">
        <v>1024</v>
      </c>
      <c r="DN276" s="20">
        <f t="shared" si="313"/>
        <v>77</v>
      </c>
      <c r="DO276" s="20"/>
      <c r="DP276" s="20"/>
      <c r="DQ276" s="45"/>
      <c r="DR276" s="48"/>
      <c r="DS276" s="35"/>
      <c r="DT276" s="35"/>
      <c r="DU276" s="35"/>
      <c r="DV276" s="27"/>
      <c r="DW276" s="27"/>
      <c r="DX276" s="27"/>
      <c r="DY276" s="27"/>
      <c r="DZ276" s="27"/>
      <c r="EA276" s="27"/>
      <c r="EB276" s="27"/>
    </row>
    <row r="277" spans="1:132" s="29" customFormat="1" ht="12.75">
      <c r="A277" s="46">
        <v>2015</v>
      </c>
      <c r="B277" s="47" t="s">
        <v>45</v>
      </c>
      <c r="C277" s="35">
        <f t="shared" si="299"/>
        <v>0.69003323907327474</v>
      </c>
      <c r="D277" s="35">
        <f t="shared" si="300"/>
        <v>0.75893490478528947</v>
      </c>
      <c r="E277" s="35">
        <f t="shared" si="301"/>
        <v>0.90921268045840153</v>
      </c>
      <c r="F27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20157</v>
      </c>
      <c r="G277" s="20">
        <f t="shared" si="302"/>
        <v>1830</v>
      </c>
      <c r="H27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18327</v>
      </c>
      <c r="I27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13909</v>
      </c>
      <c r="J277" s="20">
        <f t="shared" si="303"/>
        <v>4418</v>
      </c>
      <c r="K277" s="27"/>
      <c r="L277" s="27"/>
      <c r="M277" s="46">
        <v>2015</v>
      </c>
      <c r="N277" s="47" t="s">
        <v>45</v>
      </c>
      <c r="O277" s="35">
        <f t="shared" si="276"/>
        <v>0.76125511596180084</v>
      </c>
      <c r="P277" s="35">
        <f t="shared" si="277"/>
        <v>0.80038250059765714</v>
      </c>
      <c r="Q277" s="35">
        <f t="shared" si="278"/>
        <v>0.95111414279217821</v>
      </c>
      <c r="R277" s="20">
        <v>4398</v>
      </c>
      <c r="S277" s="27">
        <f t="shared" si="314"/>
        <v>215</v>
      </c>
      <c r="T277" s="20">
        <v>4183</v>
      </c>
      <c r="U277" s="20">
        <v>3348</v>
      </c>
      <c r="V277" s="20">
        <f t="shared" si="304"/>
        <v>835</v>
      </c>
      <c r="W277" s="20"/>
      <c r="X277" s="20"/>
      <c r="Y277" s="46"/>
      <c r="Z277" s="47"/>
      <c r="AA277" s="35"/>
      <c r="AB277" s="35"/>
      <c r="AC277" s="35"/>
      <c r="AD277" s="20"/>
      <c r="AE277" s="27"/>
      <c r="AF277" s="20"/>
      <c r="AG277" s="20"/>
      <c r="AH277" s="20"/>
      <c r="AI277" s="20"/>
      <c r="AJ277" s="20"/>
      <c r="AK277" s="46">
        <v>2015</v>
      </c>
      <c r="AL277" s="47" t="s">
        <v>45</v>
      </c>
      <c r="AM277" s="35">
        <f t="shared" si="279"/>
        <v>0.76515597410241321</v>
      </c>
      <c r="AN277" s="35">
        <f t="shared" si="280"/>
        <v>0.85227272727272729</v>
      </c>
      <c r="AO277" s="35">
        <f t="shared" si="281"/>
        <v>0.89778300961349811</v>
      </c>
      <c r="AP277" s="20">
        <v>5097</v>
      </c>
      <c r="AQ277" s="27">
        <f t="shared" si="315"/>
        <v>521</v>
      </c>
      <c r="AR277" s="20">
        <v>4576</v>
      </c>
      <c r="AS277" s="20">
        <v>3900</v>
      </c>
      <c r="AT277" s="20">
        <f t="shared" si="305"/>
        <v>676</v>
      </c>
      <c r="AU277" s="20"/>
      <c r="AV277" s="20"/>
      <c r="AW277" s="46">
        <v>2015</v>
      </c>
      <c r="AX277" s="47" t="s">
        <v>45</v>
      </c>
      <c r="AY277" s="35">
        <f t="shared" si="316"/>
        <v>0.54945968412302582</v>
      </c>
      <c r="AZ277" s="35">
        <f t="shared" si="317"/>
        <v>0.55922165820642977</v>
      </c>
      <c r="BA277" s="35">
        <f t="shared" si="318"/>
        <v>0.98254364089775559</v>
      </c>
      <c r="BB277" s="20">
        <v>1203</v>
      </c>
      <c r="BC277" s="20">
        <f t="shared" si="319"/>
        <v>21</v>
      </c>
      <c r="BD277" s="20">
        <v>1182</v>
      </c>
      <c r="BE277" s="20">
        <v>661</v>
      </c>
      <c r="BF277" s="20">
        <f t="shared" si="320"/>
        <v>521</v>
      </c>
      <c r="BG277" s="20"/>
      <c r="BH277" s="20"/>
      <c r="BI277" s="46">
        <v>2015</v>
      </c>
      <c r="BJ277" s="47" t="s">
        <v>45</v>
      </c>
      <c r="BK277" s="35">
        <f t="shared" si="282"/>
        <v>0.59937611408199643</v>
      </c>
      <c r="BL277" s="35">
        <f t="shared" si="283"/>
        <v>0.64261825131390349</v>
      </c>
      <c r="BM277" s="35">
        <f t="shared" si="284"/>
        <v>0.9327094474153298</v>
      </c>
      <c r="BN277" s="20">
        <v>2244</v>
      </c>
      <c r="BO277" s="20">
        <f t="shared" si="306"/>
        <v>151</v>
      </c>
      <c r="BP277" s="20">
        <v>2093</v>
      </c>
      <c r="BQ277" s="20">
        <v>1345</v>
      </c>
      <c r="BR277" s="20">
        <f t="shared" si="307"/>
        <v>748</v>
      </c>
      <c r="BS277" s="20"/>
      <c r="BT277" s="20"/>
      <c r="BU277" s="46">
        <v>2015</v>
      </c>
      <c r="BV277" s="47" t="s">
        <v>45</v>
      </c>
      <c r="BW277" s="35">
        <f t="shared" si="285"/>
        <v>0.58029689608636981</v>
      </c>
      <c r="BX277" s="35">
        <f t="shared" si="286"/>
        <v>0.67257559958289881</v>
      </c>
      <c r="BY277" s="35">
        <f t="shared" si="287"/>
        <v>0.86279802069275757</v>
      </c>
      <c r="BZ277" s="20">
        <v>2223</v>
      </c>
      <c r="CA277" s="20">
        <f t="shared" si="308"/>
        <v>305</v>
      </c>
      <c r="CB277" s="20">
        <v>1918</v>
      </c>
      <c r="CC277" s="20">
        <v>1290</v>
      </c>
      <c r="CD277" s="20">
        <f t="shared" si="309"/>
        <v>628</v>
      </c>
      <c r="CE277" s="20"/>
      <c r="CF277" s="20"/>
      <c r="CG277" s="46">
        <v>2015</v>
      </c>
      <c r="CH277" s="47" t="s">
        <v>45</v>
      </c>
      <c r="CI277" s="35">
        <f t="shared" si="288"/>
        <v>0.55599567879006118</v>
      </c>
      <c r="CJ277" s="35">
        <f t="shared" si="289"/>
        <v>0.63071895424836599</v>
      </c>
      <c r="CK277" s="35">
        <f t="shared" si="290"/>
        <v>0.8815268275117033</v>
      </c>
      <c r="CL277" s="20">
        <v>2777</v>
      </c>
      <c r="CM277" s="20">
        <f t="shared" si="291"/>
        <v>329</v>
      </c>
      <c r="CN277" s="20">
        <v>2448</v>
      </c>
      <c r="CO277" s="20">
        <v>1544</v>
      </c>
      <c r="CP277" s="20">
        <f t="shared" si="292"/>
        <v>904</v>
      </c>
      <c r="CQ277" s="90" t="s">
        <v>98</v>
      </c>
      <c r="CR277" s="20"/>
      <c r="CS277" s="46">
        <v>2015</v>
      </c>
      <c r="CT277" s="47" t="s">
        <v>45</v>
      </c>
      <c r="CU277" s="35">
        <f t="shared" si="293"/>
        <v>0.80022075055187636</v>
      </c>
      <c r="CV277" s="35">
        <f t="shared" si="294"/>
        <v>0.95269382391590018</v>
      </c>
      <c r="CW277" s="35">
        <f t="shared" si="295"/>
        <v>0.83995584988962468</v>
      </c>
      <c r="CX277" s="20">
        <v>906</v>
      </c>
      <c r="CY277" s="20">
        <f t="shared" si="310"/>
        <v>145</v>
      </c>
      <c r="CZ277" s="20">
        <v>761</v>
      </c>
      <c r="DA277" s="20">
        <v>725</v>
      </c>
      <c r="DB277" s="20">
        <f t="shared" si="311"/>
        <v>36</v>
      </c>
      <c r="DC277" s="20"/>
      <c r="DD277" s="20"/>
      <c r="DE277" s="46">
        <v>2015</v>
      </c>
      <c r="DF277" s="47" t="s">
        <v>45</v>
      </c>
      <c r="DG277" s="35">
        <f t="shared" si="296"/>
        <v>0.83728036669213135</v>
      </c>
      <c r="DH277" s="35">
        <f t="shared" si="297"/>
        <v>0.93996569468267577</v>
      </c>
      <c r="DI277" s="35">
        <f t="shared" si="298"/>
        <v>0.89075630252100846</v>
      </c>
      <c r="DJ277" s="20">
        <v>1309</v>
      </c>
      <c r="DK277" s="20">
        <f t="shared" si="312"/>
        <v>143</v>
      </c>
      <c r="DL277" s="20">
        <v>1166</v>
      </c>
      <c r="DM277" s="20">
        <v>1096</v>
      </c>
      <c r="DN277" s="20">
        <f t="shared" si="313"/>
        <v>70</v>
      </c>
      <c r="DO277" s="20"/>
      <c r="DP277" s="20"/>
      <c r="DQ277" s="46"/>
      <c r="DR277" s="47"/>
      <c r="DS277" s="35"/>
      <c r="DT277" s="35"/>
      <c r="DU277" s="35"/>
      <c r="DV277" s="27"/>
      <c r="DW277" s="27"/>
      <c r="DX277" s="27"/>
      <c r="DY277" s="27"/>
      <c r="DZ277" s="27"/>
      <c r="EA277" s="27"/>
      <c r="EB277" s="27"/>
    </row>
    <row r="278" spans="1:132" s="29" customFormat="1" ht="12.75">
      <c r="A278" s="45">
        <v>2015</v>
      </c>
      <c r="B278" s="48" t="s">
        <v>46</v>
      </c>
      <c r="C278" s="35">
        <f t="shared" si="299"/>
        <v>0.72616750289463528</v>
      </c>
      <c r="D278" s="35">
        <f t="shared" si="300"/>
        <v>0.90849830999517145</v>
      </c>
      <c r="E278" s="35">
        <f t="shared" si="301"/>
        <v>0.79930528753377073</v>
      </c>
      <c r="F27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20728</v>
      </c>
      <c r="G278" s="20">
        <f t="shared" si="302"/>
        <v>4160</v>
      </c>
      <c r="H27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16568</v>
      </c>
      <c r="I27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15052</v>
      </c>
      <c r="J278" s="20">
        <f t="shared" si="303"/>
        <v>1516</v>
      </c>
      <c r="K278" s="27"/>
      <c r="L278" s="27"/>
      <c r="M278" s="45">
        <v>2015</v>
      </c>
      <c r="N278" s="48" t="s">
        <v>46</v>
      </c>
      <c r="O278" s="35">
        <f t="shared" si="276"/>
        <v>0.863220494053065</v>
      </c>
      <c r="P278" s="35">
        <f t="shared" si="277"/>
        <v>0.8884180790960452</v>
      </c>
      <c r="Q278" s="35">
        <f t="shared" si="278"/>
        <v>0.97163769441903014</v>
      </c>
      <c r="R278" s="20">
        <v>4372</v>
      </c>
      <c r="S278" s="27">
        <f t="shared" si="314"/>
        <v>124</v>
      </c>
      <c r="T278" s="20">
        <v>4248</v>
      </c>
      <c r="U278" s="20">
        <v>3774</v>
      </c>
      <c r="V278" s="20">
        <f t="shared" si="304"/>
        <v>474</v>
      </c>
      <c r="W278" s="20"/>
      <c r="X278" s="20"/>
      <c r="Y278" s="45"/>
      <c r="Z278" s="48"/>
      <c r="AA278" s="35"/>
      <c r="AB278" s="35"/>
      <c r="AC278" s="35"/>
      <c r="AD278" s="20"/>
      <c r="AE278" s="27"/>
      <c r="AF278" s="20"/>
      <c r="AG278" s="20"/>
      <c r="AH278" s="20"/>
      <c r="AI278" s="20"/>
      <c r="AJ278" s="20"/>
      <c r="AK278" s="45">
        <v>2015</v>
      </c>
      <c r="AL278" s="48" t="s">
        <v>46</v>
      </c>
      <c r="AM278" s="35">
        <f t="shared" si="279"/>
        <v>0.90436397400185697</v>
      </c>
      <c r="AN278" s="35">
        <f t="shared" si="280"/>
        <v>0.94174522600918542</v>
      </c>
      <c r="AO278" s="35">
        <f t="shared" si="281"/>
        <v>0.96030640668523681</v>
      </c>
      <c r="AP278" s="20">
        <v>4308</v>
      </c>
      <c r="AQ278" s="27">
        <f t="shared" si="315"/>
        <v>171</v>
      </c>
      <c r="AR278" s="20">
        <v>4137</v>
      </c>
      <c r="AS278" s="20">
        <v>3896</v>
      </c>
      <c r="AT278" s="20">
        <f t="shared" si="305"/>
        <v>241</v>
      </c>
      <c r="AU278" s="20"/>
      <c r="AV278" s="20"/>
      <c r="AW278" s="45">
        <v>2015</v>
      </c>
      <c r="AX278" s="48" t="s">
        <v>46</v>
      </c>
      <c r="AY278" s="35">
        <f t="shared" si="316"/>
        <v>0.9275167785234899</v>
      </c>
      <c r="AZ278" s="35">
        <f t="shared" si="317"/>
        <v>0.93095318288986195</v>
      </c>
      <c r="BA278" s="35">
        <f t="shared" si="318"/>
        <v>0.99630872483221478</v>
      </c>
      <c r="BB278" s="20">
        <v>2980</v>
      </c>
      <c r="BC278" s="20">
        <f t="shared" si="319"/>
        <v>11</v>
      </c>
      <c r="BD278" s="20">
        <v>2969</v>
      </c>
      <c r="BE278" s="20">
        <v>2764</v>
      </c>
      <c r="BF278" s="20">
        <f t="shared" si="320"/>
        <v>205</v>
      </c>
      <c r="BG278" s="20"/>
      <c r="BH278" s="20"/>
      <c r="BI278" s="45">
        <v>2015</v>
      </c>
      <c r="BJ278" s="48" t="s">
        <v>46</v>
      </c>
      <c r="BK278" s="35">
        <f t="shared" si="282"/>
        <v>0.12842778793418647</v>
      </c>
      <c r="BL278" s="35">
        <f t="shared" si="283"/>
        <v>0.68369829683698302</v>
      </c>
      <c r="BM278" s="35">
        <f t="shared" si="284"/>
        <v>0.18784277879341865</v>
      </c>
      <c r="BN278" s="20">
        <v>2188</v>
      </c>
      <c r="BO278" s="20">
        <f t="shared" si="306"/>
        <v>1777</v>
      </c>
      <c r="BP278" s="20">
        <v>411</v>
      </c>
      <c r="BQ278" s="20">
        <v>281</v>
      </c>
      <c r="BR278" s="20">
        <f t="shared" si="307"/>
        <v>130</v>
      </c>
      <c r="BS278" s="90" t="s">
        <v>61</v>
      </c>
      <c r="BT278" s="20"/>
      <c r="BU278" s="45">
        <v>2015</v>
      </c>
      <c r="BV278" s="48" t="s">
        <v>46</v>
      </c>
      <c r="BW278" s="35">
        <f t="shared" si="285"/>
        <v>0.12545454545454546</v>
      </c>
      <c r="BX278" s="35">
        <f t="shared" si="286"/>
        <v>0.69172932330827064</v>
      </c>
      <c r="BY278" s="35">
        <f t="shared" si="287"/>
        <v>0.18136363636363637</v>
      </c>
      <c r="BZ278" s="20">
        <v>2200</v>
      </c>
      <c r="CA278" s="20">
        <f t="shared" si="308"/>
        <v>1801</v>
      </c>
      <c r="CB278" s="20">
        <v>399</v>
      </c>
      <c r="CC278" s="20">
        <v>276</v>
      </c>
      <c r="CD278" s="20">
        <f t="shared" si="309"/>
        <v>123</v>
      </c>
      <c r="CE278" s="90" t="s">
        <v>66</v>
      </c>
      <c r="CF278" s="20"/>
      <c r="CG278" s="45">
        <v>2015</v>
      </c>
      <c r="CH278" s="48" t="s">
        <v>46</v>
      </c>
      <c r="CI278" s="35">
        <f t="shared" si="288"/>
        <v>0.87073750991276766</v>
      </c>
      <c r="CJ278" s="35">
        <f t="shared" si="289"/>
        <v>0.90482076637824471</v>
      </c>
      <c r="CK278" s="35">
        <f t="shared" si="290"/>
        <v>0.96233148295003967</v>
      </c>
      <c r="CL278" s="20">
        <v>2522</v>
      </c>
      <c r="CM278" s="20">
        <f t="shared" ref="CM278:CM281" si="321">CL278-CN278</f>
        <v>95</v>
      </c>
      <c r="CN278" s="20">
        <v>2427</v>
      </c>
      <c r="CO278" s="20">
        <v>2196</v>
      </c>
      <c r="CP278" s="20">
        <f t="shared" ref="CP278:CP281" si="322">CN278-CO278</f>
        <v>231</v>
      </c>
      <c r="CQ278" s="20"/>
      <c r="CR278" s="20"/>
      <c r="CS278" s="45">
        <v>2015</v>
      </c>
      <c r="CT278" s="48" t="s">
        <v>46</v>
      </c>
      <c r="CU278" s="35">
        <f t="shared" si="293"/>
        <v>0.85972850678733037</v>
      </c>
      <c r="CV278" s="35">
        <f t="shared" si="294"/>
        <v>0.92796092796092799</v>
      </c>
      <c r="CW278" s="35">
        <f t="shared" si="295"/>
        <v>0.92647058823529416</v>
      </c>
      <c r="CX278" s="20">
        <v>884</v>
      </c>
      <c r="CY278" s="20">
        <f t="shared" si="310"/>
        <v>65</v>
      </c>
      <c r="CZ278" s="20">
        <v>819</v>
      </c>
      <c r="DA278" s="20">
        <v>760</v>
      </c>
      <c r="DB278" s="20">
        <f t="shared" si="311"/>
        <v>59</v>
      </c>
      <c r="DC278" s="20"/>
      <c r="DD278" s="20"/>
      <c r="DE278" s="45">
        <v>2015</v>
      </c>
      <c r="DF278" s="48" t="s">
        <v>46</v>
      </c>
      <c r="DG278" s="35">
        <f t="shared" si="296"/>
        <v>0.86734693877551017</v>
      </c>
      <c r="DH278" s="35">
        <f t="shared" si="297"/>
        <v>0.95423143350604489</v>
      </c>
      <c r="DI278" s="35">
        <f t="shared" si="298"/>
        <v>0.90894819466248034</v>
      </c>
      <c r="DJ278" s="20">
        <v>1274</v>
      </c>
      <c r="DK278" s="20">
        <f t="shared" si="312"/>
        <v>116</v>
      </c>
      <c r="DL278" s="20">
        <v>1158</v>
      </c>
      <c r="DM278" s="20">
        <v>1105</v>
      </c>
      <c r="DN278" s="20">
        <f t="shared" si="313"/>
        <v>53</v>
      </c>
      <c r="DO278" s="20"/>
      <c r="DP278" s="20"/>
      <c r="DQ278" s="45"/>
      <c r="DR278" s="48"/>
      <c r="DS278" s="35"/>
      <c r="DT278" s="35"/>
      <c r="DU278" s="35"/>
      <c r="DV278" s="27"/>
      <c r="DW278" s="27"/>
      <c r="DX278" s="27"/>
      <c r="DY278" s="27"/>
      <c r="DZ278" s="27"/>
      <c r="EA278" s="27"/>
      <c r="EB278" s="27"/>
    </row>
    <row r="279" spans="1:132" s="29" customFormat="1" ht="12.75">
      <c r="A279" s="46">
        <v>2015</v>
      </c>
      <c r="B279" s="47" t="s">
        <v>47</v>
      </c>
      <c r="C279" s="35">
        <f t="shared" si="299"/>
        <v>0.83368459083518998</v>
      </c>
      <c r="D279" s="35">
        <f t="shared" si="300"/>
        <v>0.93421052631578949</v>
      </c>
      <c r="E279" s="35">
        <f t="shared" si="301"/>
        <v>0.89239477328837236</v>
      </c>
      <c r="F27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16607</v>
      </c>
      <c r="G279" s="20">
        <f t="shared" si="302"/>
        <v>1787</v>
      </c>
      <c r="H27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14820</v>
      </c>
      <c r="I27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13845</v>
      </c>
      <c r="J279" s="20">
        <f t="shared" si="303"/>
        <v>975</v>
      </c>
      <c r="K279" s="27"/>
      <c r="L279" s="27"/>
      <c r="M279" s="46">
        <v>2015</v>
      </c>
      <c r="N279" s="47" t="s">
        <v>47</v>
      </c>
      <c r="O279" s="35">
        <f t="shared" si="276"/>
        <v>0.78973435389464208</v>
      </c>
      <c r="P279" s="35">
        <f t="shared" si="277"/>
        <v>0.89466972711043102</v>
      </c>
      <c r="Q279" s="35">
        <f t="shared" si="278"/>
        <v>0.88271049076992347</v>
      </c>
      <c r="R279" s="20">
        <v>4442</v>
      </c>
      <c r="S279" s="27">
        <f t="shared" si="314"/>
        <v>521</v>
      </c>
      <c r="T279" s="20">
        <v>3921</v>
      </c>
      <c r="U279" s="20">
        <v>3508</v>
      </c>
      <c r="V279" s="20">
        <f t="shared" si="304"/>
        <v>413</v>
      </c>
      <c r="W279" s="20"/>
      <c r="X279" s="20"/>
      <c r="Y279" s="46"/>
      <c r="Z279" s="47"/>
      <c r="AA279" s="35"/>
      <c r="AB279" s="35"/>
      <c r="AC279" s="35"/>
      <c r="AD279" s="20"/>
      <c r="AE279" s="27"/>
      <c r="AF279" s="20"/>
      <c r="AG279" s="20"/>
      <c r="AH279" s="20"/>
      <c r="AI279" s="20"/>
      <c r="AJ279" s="20"/>
      <c r="AK279" s="46">
        <v>2015</v>
      </c>
      <c r="AL279" s="47" t="s">
        <v>47</v>
      </c>
      <c r="AM279" s="35">
        <f t="shared" si="279"/>
        <v>0.85104927007299269</v>
      </c>
      <c r="AN279" s="35">
        <f t="shared" si="280"/>
        <v>0.95887946543305058</v>
      </c>
      <c r="AO279" s="35">
        <f t="shared" si="281"/>
        <v>0.88754562043795615</v>
      </c>
      <c r="AP279" s="20">
        <v>4384</v>
      </c>
      <c r="AQ279" s="27">
        <f t="shared" si="315"/>
        <v>493</v>
      </c>
      <c r="AR279" s="20">
        <v>3891</v>
      </c>
      <c r="AS279" s="20">
        <v>3731</v>
      </c>
      <c r="AT279" s="20">
        <f t="shared" si="305"/>
        <v>160</v>
      </c>
      <c r="AU279" s="20"/>
      <c r="AV279" s="20"/>
      <c r="AW279" s="46">
        <v>2015</v>
      </c>
      <c r="AX279" s="47" t="s">
        <v>47</v>
      </c>
      <c r="AY279" s="35">
        <f t="shared" si="316"/>
        <v>0.90331304935767409</v>
      </c>
      <c r="AZ279" s="35">
        <f t="shared" si="317"/>
        <v>0.96115107913669062</v>
      </c>
      <c r="BA279" s="35">
        <f t="shared" si="318"/>
        <v>0.93982420554428669</v>
      </c>
      <c r="BB279" s="20">
        <v>2958</v>
      </c>
      <c r="BC279" s="20">
        <f t="shared" si="319"/>
        <v>178</v>
      </c>
      <c r="BD279" s="20">
        <v>2780</v>
      </c>
      <c r="BE279" s="20">
        <v>2672</v>
      </c>
      <c r="BF279" s="20">
        <f t="shared" si="320"/>
        <v>108</v>
      </c>
      <c r="BG279" s="20"/>
      <c r="BH279" s="20"/>
      <c r="BI279" s="46">
        <v>2015</v>
      </c>
      <c r="BJ279" s="47" t="s">
        <v>47</v>
      </c>
      <c r="BK279" s="35"/>
      <c r="BL279" s="35"/>
      <c r="BM279" s="35"/>
      <c r="BN279" s="86"/>
      <c r="BO279" s="86"/>
      <c r="BP279" s="20"/>
      <c r="BQ279" s="20"/>
      <c r="BR279" s="20"/>
      <c r="BS279" s="20"/>
      <c r="BT279" s="20"/>
      <c r="BU279" s="46">
        <v>2015</v>
      </c>
      <c r="BV279" s="47" t="s">
        <v>47</v>
      </c>
      <c r="BW279" s="35"/>
      <c r="BX279" s="35"/>
      <c r="BY279" s="35"/>
      <c r="BZ279" s="86"/>
      <c r="CA279" s="86"/>
      <c r="CB279" s="20"/>
      <c r="CC279" s="20"/>
      <c r="CD279" s="20"/>
      <c r="CE279" s="20"/>
      <c r="CF279" s="20"/>
      <c r="CG279" s="46">
        <v>2015</v>
      </c>
      <c r="CH279" s="47" t="s">
        <v>47</v>
      </c>
      <c r="CI279" s="35">
        <f t="shared" si="288"/>
        <v>0.81153846153846154</v>
      </c>
      <c r="CJ279" s="35">
        <f t="shared" si="289"/>
        <v>0.90402742073693232</v>
      </c>
      <c r="CK279" s="35">
        <f t="shared" si="290"/>
        <v>0.89769230769230768</v>
      </c>
      <c r="CL279" s="20">
        <v>2600</v>
      </c>
      <c r="CM279" s="20">
        <f t="shared" si="321"/>
        <v>266</v>
      </c>
      <c r="CN279" s="20">
        <v>2334</v>
      </c>
      <c r="CO279" s="20">
        <v>2110</v>
      </c>
      <c r="CP279" s="20">
        <f t="shared" si="322"/>
        <v>224</v>
      </c>
      <c r="CQ279" s="20"/>
      <c r="CR279" s="20"/>
      <c r="CS279" s="46">
        <v>2015</v>
      </c>
      <c r="CT279" s="47" t="s">
        <v>47</v>
      </c>
      <c r="CU279" s="35">
        <f t="shared" si="293"/>
        <v>0.81428571428571428</v>
      </c>
      <c r="CV279" s="35">
        <f t="shared" si="294"/>
        <v>0.95489690721649489</v>
      </c>
      <c r="CW279" s="35">
        <f t="shared" si="295"/>
        <v>0.85274725274725272</v>
      </c>
      <c r="CX279" s="20">
        <v>910</v>
      </c>
      <c r="CY279" s="20">
        <f t="shared" ref="CY279:CY281" si="323">CX279-CZ279</f>
        <v>134</v>
      </c>
      <c r="CZ279" s="20">
        <v>776</v>
      </c>
      <c r="DA279" s="20">
        <v>741</v>
      </c>
      <c r="DB279" s="20">
        <f t="shared" si="311"/>
        <v>35</v>
      </c>
      <c r="DC279" s="20"/>
      <c r="DD279" s="20"/>
      <c r="DE279" s="46">
        <v>2015</v>
      </c>
      <c r="DF279" s="47" t="s">
        <v>47</v>
      </c>
      <c r="DG279" s="35">
        <f t="shared" si="296"/>
        <v>0.82482863670982487</v>
      </c>
      <c r="DH279" s="35">
        <f t="shared" si="297"/>
        <v>0.96869409660107331</v>
      </c>
      <c r="DI279" s="35">
        <f t="shared" si="298"/>
        <v>0.85148514851485146</v>
      </c>
      <c r="DJ279" s="20">
        <v>1313</v>
      </c>
      <c r="DK279" s="20">
        <f t="shared" ref="DK279:DK281" si="324">DJ279-DL279</f>
        <v>195</v>
      </c>
      <c r="DL279" s="20">
        <v>1118</v>
      </c>
      <c r="DM279" s="20">
        <v>1083</v>
      </c>
      <c r="DN279" s="20">
        <f t="shared" si="313"/>
        <v>35</v>
      </c>
      <c r="DO279" s="20"/>
      <c r="DP279" s="20"/>
      <c r="DQ279" s="46"/>
      <c r="DR279" s="47"/>
      <c r="DS279" s="35"/>
      <c r="DT279" s="35"/>
      <c r="DU279" s="35"/>
      <c r="DV279" s="27"/>
      <c r="DW279" s="27"/>
      <c r="DX279" s="27"/>
      <c r="DY279" s="27"/>
      <c r="DZ279" s="27"/>
      <c r="EA279" s="27"/>
      <c r="EB279" s="27"/>
    </row>
    <row r="280" spans="1:132" s="29" customFormat="1" ht="12.75">
      <c r="A280" s="45">
        <v>2015</v>
      </c>
      <c r="B280" s="48" t="s">
        <v>48</v>
      </c>
      <c r="C280" s="35">
        <f t="shared" si="299"/>
        <v>0.85388994307400379</v>
      </c>
      <c r="D280" s="35">
        <f t="shared" si="300"/>
        <v>0.92853703831075041</v>
      </c>
      <c r="E280" s="35">
        <f t="shared" si="301"/>
        <v>0.91960784313725485</v>
      </c>
      <c r="F28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15810</v>
      </c>
      <c r="G280" s="20">
        <f t="shared" si="302"/>
        <v>1271</v>
      </c>
      <c r="H28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14539</v>
      </c>
      <c r="I28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13500</v>
      </c>
      <c r="J280" s="20">
        <f t="shared" si="303"/>
        <v>1039</v>
      </c>
      <c r="K280" s="27"/>
      <c r="L280" s="27"/>
      <c r="M280" s="45">
        <v>2015</v>
      </c>
      <c r="N280" s="48" t="s">
        <v>48</v>
      </c>
      <c r="O280" s="35">
        <f t="shared" si="276"/>
        <v>0.79357581483230988</v>
      </c>
      <c r="P280" s="35">
        <f t="shared" si="277"/>
        <v>0.87912087912087911</v>
      </c>
      <c r="Q280" s="35">
        <f t="shared" si="278"/>
        <v>0.9026924893717525</v>
      </c>
      <c r="R280" s="20">
        <v>4234</v>
      </c>
      <c r="S280" s="27">
        <f t="shared" si="314"/>
        <v>412</v>
      </c>
      <c r="T280" s="20">
        <v>3822</v>
      </c>
      <c r="U280" s="20">
        <v>3360</v>
      </c>
      <c r="V280" s="20">
        <f t="shared" si="304"/>
        <v>462</v>
      </c>
      <c r="W280" s="20"/>
      <c r="X280" s="20"/>
      <c r="Y280" s="45"/>
      <c r="Z280" s="48"/>
      <c r="AA280" s="35"/>
      <c r="AB280" s="35"/>
      <c r="AC280" s="35"/>
      <c r="AD280" s="20"/>
      <c r="AE280" s="27"/>
      <c r="AF280" s="20"/>
      <c r="AG280" s="20"/>
      <c r="AH280" s="20"/>
      <c r="AI280" s="20"/>
      <c r="AJ280" s="20"/>
      <c r="AK280" s="45">
        <v>2015</v>
      </c>
      <c r="AL280" s="48" t="s">
        <v>48</v>
      </c>
      <c r="AM280" s="35">
        <f t="shared" si="279"/>
        <v>0.86352772466539196</v>
      </c>
      <c r="AN280" s="35">
        <f t="shared" si="280"/>
        <v>0.95028932140978428</v>
      </c>
      <c r="AO280" s="35">
        <f t="shared" si="281"/>
        <v>0.90869980879541112</v>
      </c>
      <c r="AP280" s="20">
        <v>4184</v>
      </c>
      <c r="AQ280" s="27">
        <f t="shared" si="315"/>
        <v>382</v>
      </c>
      <c r="AR280" s="20">
        <v>3802</v>
      </c>
      <c r="AS280" s="20">
        <v>3613</v>
      </c>
      <c r="AT280" s="20">
        <f t="shared" si="305"/>
        <v>189</v>
      </c>
      <c r="AU280" s="20"/>
      <c r="AV280" s="20"/>
      <c r="AW280" s="45">
        <v>2015</v>
      </c>
      <c r="AX280" s="48" t="s">
        <v>48</v>
      </c>
      <c r="AY280" s="35">
        <f t="shared" si="316"/>
        <v>0.93497109826589597</v>
      </c>
      <c r="AZ280" s="35">
        <f t="shared" si="317"/>
        <v>0.96029684601113174</v>
      </c>
      <c r="BA280" s="35">
        <f t="shared" si="318"/>
        <v>0.97362716763005785</v>
      </c>
      <c r="BB280" s="20">
        <v>2768</v>
      </c>
      <c r="BC280" s="20">
        <f t="shared" si="319"/>
        <v>73</v>
      </c>
      <c r="BD280" s="20">
        <v>2695</v>
      </c>
      <c r="BE280" s="20">
        <v>2588</v>
      </c>
      <c r="BF280" s="20">
        <f t="shared" si="320"/>
        <v>107</v>
      </c>
      <c r="BG280" s="20"/>
      <c r="BH280" s="20"/>
      <c r="BI280" s="45">
        <v>2015</v>
      </c>
      <c r="BJ280" s="48" t="s">
        <v>48</v>
      </c>
      <c r="BK280" s="35"/>
      <c r="BL280" s="35"/>
      <c r="BM280" s="35"/>
      <c r="BN280" s="86"/>
      <c r="BO280" s="86"/>
      <c r="BP280" s="20"/>
      <c r="BQ280" s="20"/>
      <c r="BR280" s="20"/>
      <c r="BS280" s="20"/>
      <c r="BT280" s="20"/>
      <c r="BU280" s="45">
        <v>2015</v>
      </c>
      <c r="BV280" s="48" t="s">
        <v>48</v>
      </c>
      <c r="BW280" s="35"/>
      <c r="BX280" s="35"/>
      <c r="BY280" s="35"/>
      <c r="BZ280" s="86"/>
      <c r="CA280" s="86"/>
      <c r="CB280" s="20"/>
      <c r="CC280" s="20"/>
      <c r="CD280" s="20"/>
      <c r="CE280" s="20"/>
      <c r="CF280" s="20"/>
      <c r="CG280" s="45">
        <v>2015</v>
      </c>
      <c r="CH280" s="48" t="s">
        <v>48</v>
      </c>
      <c r="CI280" s="35">
        <f t="shared" si="288"/>
        <v>0.85455278001611601</v>
      </c>
      <c r="CJ280" s="35">
        <f t="shared" si="289"/>
        <v>0.91619870410367166</v>
      </c>
      <c r="CK280" s="35">
        <f t="shared" si="290"/>
        <v>0.9327155519742143</v>
      </c>
      <c r="CL280" s="20">
        <v>2482</v>
      </c>
      <c r="CM280" s="20">
        <f t="shared" si="321"/>
        <v>167</v>
      </c>
      <c r="CN280" s="20">
        <v>2315</v>
      </c>
      <c r="CO280" s="20">
        <v>2121</v>
      </c>
      <c r="CP280" s="20">
        <f t="shared" si="322"/>
        <v>194</v>
      </c>
      <c r="CQ280" s="20"/>
      <c r="CR280" s="20"/>
      <c r="CS280" s="45">
        <v>2015</v>
      </c>
      <c r="CT280" s="48" t="s">
        <v>48</v>
      </c>
      <c r="CU280" s="35">
        <f t="shared" si="293"/>
        <v>0.82420091324200917</v>
      </c>
      <c r="CV280" s="35">
        <f t="shared" si="294"/>
        <v>0.93766233766233764</v>
      </c>
      <c r="CW280" s="35">
        <f t="shared" si="295"/>
        <v>0.87899543378995437</v>
      </c>
      <c r="CX280" s="20">
        <v>876</v>
      </c>
      <c r="CY280" s="20">
        <f t="shared" si="323"/>
        <v>106</v>
      </c>
      <c r="CZ280" s="20">
        <v>770</v>
      </c>
      <c r="DA280" s="20">
        <v>722</v>
      </c>
      <c r="DB280" s="20">
        <f t="shared" si="311"/>
        <v>48</v>
      </c>
      <c r="DC280" s="20"/>
      <c r="DD280" s="20"/>
      <c r="DE280" s="45">
        <v>2015</v>
      </c>
      <c r="DF280" s="48" t="s">
        <v>48</v>
      </c>
      <c r="DG280" s="35">
        <f t="shared" si="296"/>
        <v>0.86571879936808849</v>
      </c>
      <c r="DH280" s="35">
        <f t="shared" si="297"/>
        <v>0.96563876651982383</v>
      </c>
      <c r="DI280" s="35">
        <f t="shared" si="298"/>
        <v>0.89652448657187989</v>
      </c>
      <c r="DJ280" s="20">
        <v>1266</v>
      </c>
      <c r="DK280" s="20">
        <f t="shared" si="324"/>
        <v>131</v>
      </c>
      <c r="DL280" s="20">
        <v>1135</v>
      </c>
      <c r="DM280" s="20">
        <v>1096</v>
      </c>
      <c r="DN280" s="20">
        <f t="shared" si="313"/>
        <v>39</v>
      </c>
      <c r="DO280" s="20"/>
      <c r="DP280" s="20"/>
      <c r="DQ280" s="45"/>
      <c r="DR280" s="48"/>
      <c r="DS280" s="35"/>
      <c r="DT280" s="35"/>
      <c r="DU280" s="35"/>
      <c r="DV280" s="27"/>
      <c r="DW280" s="27"/>
      <c r="DX280" s="27"/>
      <c r="DY280" s="27"/>
      <c r="DZ280" s="27"/>
      <c r="EA280" s="27"/>
      <c r="EB280" s="27"/>
    </row>
    <row r="281" spans="1:132" s="29" customFormat="1" ht="12.75">
      <c r="A281" s="46">
        <v>2015</v>
      </c>
      <c r="B281" s="47" t="s">
        <v>49</v>
      </c>
      <c r="C281" s="35">
        <f t="shared" si="299"/>
        <v>0.81303889336889767</v>
      </c>
      <c r="D281" s="35">
        <f t="shared" si="300"/>
        <v>0.86452080997295688</v>
      </c>
      <c r="E281" s="35">
        <f t="shared" si="301"/>
        <v>0.94045034427144714</v>
      </c>
      <c r="F28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16121</v>
      </c>
      <c r="G281" s="20">
        <f t="shared" si="302"/>
        <v>960</v>
      </c>
      <c r="H28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15161</v>
      </c>
      <c r="I28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13107</v>
      </c>
      <c r="J281" s="20">
        <f t="shared" si="303"/>
        <v>2054</v>
      </c>
      <c r="K281" s="27"/>
      <c r="L281" s="27"/>
      <c r="M281" s="46">
        <v>2015</v>
      </c>
      <c r="N281" s="47" t="s">
        <v>49</v>
      </c>
      <c r="O281" s="35">
        <f t="shared" si="276"/>
        <v>0.73213046495489242</v>
      </c>
      <c r="P281" s="35">
        <f t="shared" si="277"/>
        <v>0.76283441793203177</v>
      </c>
      <c r="Q281" s="35">
        <f t="shared" si="278"/>
        <v>0.95975017349063152</v>
      </c>
      <c r="R281" s="20">
        <v>4323</v>
      </c>
      <c r="S281" s="27">
        <f t="shared" si="314"/>
        <v>174</v>
      </c>
      <c r="T281" s="20">
        <v>4149</v>
      </c>
      <c r="U281" s="20">
        <v>3165</v>
      </c>
      <c r="V281" s="20">
        <f t="shared" si="304"/>
        <v>984</v>
      </c>
      <c r="W281" s="20"/>
      <c r="X281" s="20"/>
      <c r="Y281" s="46"/>
      <c r="Z281" s="47"/>
      <c r="AA281" s="35"/>
      <c r="AB281" s="35"/>
      <c r="AC281" s="35"/>
      <c r="AD281" s="20"/>
      <c r="AE281" s="27"/>
      <c r="AF281" s="20"/>
      <c r="AG281" s="20"/>
      <c r="AH281" s="20"/>
      <c r="AI281" s="20"/>
      <c r="AJ281" s="20"/>
      <c r="AK281" s="46">
        <v>2015</v>
      </c>
      <c r="AL281" s="47" t="s">
        <v>49</v>
      </c>
      <c r="AM281" s="35">
        <f t="shared" si="279"/>
        <v>0.84120673526660428</v>
      </c>
      <c r="AN281" s="35">
        <f t="shared" si="280"/>
        <v>0.89122893954410309</v>
      </c>
      <c r="AO281" s="35">
        <f t="shared" si="281"/>
        <v>0.94387277829747429</v>
      </c>
      <c r="AP281" s="20">
        <v>4276</v>
      </c>
      <c r="AQ281" s="27">
        <f t="shared" si="315"/>
        <v>240</v>
      </c>
      <c r="AR281" s="20">
        <v>4036</v>
      </c>
      <c r="AS281" s="20">
        <v>3597</v>
      </c>
      <c r="AT281" s="20">
        <f t="shared" si="305"/>
        <v>439</v>
      </c>
      <c r="AU281" s="20"/>
      <c r="AV281" s="20"/>
      <c r="AW281" s="46">
        <v>2015</v>
      </c>
      <c r="AX281" s="47" t="s">
        <v>49</v>
      </c>
      <c r="AY281" s="35">
        <f t="shared" si="316"/>
        <v>0.88981213872832365</v>
      </c>
      <c r="AZ281" s="35">
        <f t="shared" si="317"/>
        <v>0.91493313521545316</v>
      </c>
      <c r="BA281" s="35">
        <f t="shared" si="318"/>
        <v>0.9725433526011561</v>
      </c>
      <c r="BB281" s="20">
        <v>2768</v>
      </c>
      <c r="BC281" s="20">
        <f t="shared" si="319"/>
        <v>76</v>
      </c>
      <c r="BD281" s="20">
        <v>2692</v>
      </c>
      <c r="BE281" s="20">
        <v>2463</v>
      </c>
      <c r="BF281" s="20">
        <f t="shared" si="320"/>
        <v>229</v>
      </c>
      <c r="BG281" s="20"/>
      <c r="BH281" s="20"/>
      <c r="BI281" s="46">
        <v>2015</v>
      </c>
      <c r="BJ281" s="47" t="s">
        <v>49</v>
      </c>
      <c r="BK281" s="35"/>
      <c r="BL281" s="35"/>
      <c r="BM281" s="35"/>
      <c r="BN281" s="86"/>
      <c r="BO281" s="86"/>
      <c r="BP281" s="20"/>
      <c r="BQ281" s="20"/>
      <c r="BR281" s="20"/>
      <c r="BS281" s="20"/>
      <c r="BT281" s="20"/>
      <c r="BU281" s="46">
        <v>2015</v>
      </c>
      <c r="BV281" s="47" t="s">
        <v>49</v>
      </c>
      <c r="BW281" s="35"/>
      <c r="BX281" s="35"/>
      <c r="BY281" s="35"/>
      <c r="BZ281" s="86"/>
      <c r="CA281" s="86"/>
      <c r="CB281" s="20"/>
      <c r="CC281" s="20"/>
      <c r="CD281" s="20"/>
      <c r="CE281" s="20"/>
      <c r="CF281" s="20"/>
      <c r="CG281" s="46">
        <v>2015</v>
      </c>
      <c r="CH281" s="47" t="s">
        <v>49</v>
      </c>
      <c r="CI281" s="35">
        <f t="shared" si="288"/>
        <v>0.83902630545740087</v>
      </c>
      <c r="CJ281" s="35">
        <f t="shared" si="289"/>
        <v>0.89041666666666663</v>
      </c>
      <c r="CK281" s="35">
        <f t="shared" si="290"/>
        <v>0.94228504122497059</v>
      </c>
      <c r="CL281" s="20">
        <v>2547</v>
      </c>
      <c r="CM281" s="20">
        <f t="shared" si="321"/>
        <v>147</v>
      </c>
      <c r="CN281" s="20">
        <v>2400</v>
      </c>
      <c r="CO281" s="20">
        <v>2137</v>
      </c>
      <c r="CP281" s="20">
        <f t="shared" si="322"/>
        <v>263</v>
      </c>
      <c r="CQ281" s="20"/>
      <c r="CR281" s="20"/>
      <c r="CS281" s="46">
        <v>2015</v>
      </c>
      <c r="CT281" s="47" t="s">
        <v>49</v>
      </c>
      <c r="CU281" s="35">
        <f t="shared" si="293"/>
        <v>0.73281596452328157</v>
      </c>
      <c r="CV281" s="35">
        <f t="shared" si="294"/>
        <v>0.88844086021505375</v>
      </c>
      <c r="CW281" s="35">
        <f t="shared" si="295"/>
        <v>0.82483370288248337</v>
      </c>
      <c r="CX281" s="20">
        <v>902</v>
      </c>
      <c r="CY281" s="20">
        <f t="shared" si="323"/>
        <v>158</v>
      </c>
      <c r="CZ281" s="20">
        <v>744</v>
      </c>
      <c r="DA281" s="20">
        <v>661</v>
      </c>
      <c r="DB281" s="20">
        <f t="shared" si="311"/>
        <v>83</v>
      </c>
      <c r="DC281" s="20"/>
      <c r="DD281" s="20"/>
      <c r="DE281" s="46">
        <v>2015</v>
      </c>
      <c r="DF281" s="47" t="s">
        <v>49</v>
      </c>
      <c r="DG281" s="35">
        <f t="shared" si="296"/>
        <v>0.83065134099616855</v>
      </c>
      <c r="DH281" s="35">
        <f t="shared" si="297"/>
        <v>0.9508771929824561</v>
      </c>
      <c r="DI281" s="35">
        <f t="shared" si="298"/>
        <v>0.87356321839080464</v>
      </c>
      <c r="DJ281" s="20">
        <v>1305</v>
      </c>
      <c r="DK281" s="20">
        <f t="shared" si="324"/>
        <v>165</v>
      </c>
      <c r="DL281" s="20">
        <v>1140</v>
      </c>
      <c r="DM281" s="20">
        <v>1084</v>
      </c>
      <c r="DN281" s="20">
        <f t="shared" si="313"/>
        <v>56</v>
      </c>
      <c r="DO281" s="20"/>
      <c r="DP281" s="20"/>
      <c r="DQ281" s="46"/>
      <c r="DR281" s="47"/>
      <c r="DS281" s="35"/>
      <c r="DT281" s="35"/>
      <c r="DU281" s="35"/>
      <c r="DV281" s="27"/>
      <c r="DW281" s="27"/>
      <c r="DX281" s="27"/>
      <c r="DY281" s="27"/>
      <c r="DZ281" s="27"/>
      <c r="EA281" s="27"/>
      <c r="EB281" s="27"/>
    </row>
    <row r="282" spans="1:132" s="29" customFormat="1" ht="12.75">
      <c r="A282" s="45">
        <v>2016</v>
      </c>
      <c r="B282" s="48" t="s">
        <v>38</v>
      </c>
      <c r="C282" s="35">
        <f t="shared" si="299"/>
        <v>0.91397652237710936</v>
      </c>
      <c r="D282" s="35">
        <f t="shared" si="300"/>
        <v>0.94908259793029015</v>
      </c>
      <c r="E282" s="35">
        <f t="shared" si="301"/>
        <v>0.96301051601858645</v>
      </c>
      <c r="F28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16356</v>
      </c>
      <c r="G282" s="20">
        <f t="shared" si="302"/>
        <v>605</v>
      </c>
      <c r="H28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15751</v>
      </c>
      <c r="I28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14949</v>
      </c>
      <c r="J282" s="20">
        <f t="shared" si="303"/>
        <v>802</v>
      </c>
      <c r="K282" s="27"/>
      <c r="L282" s="27"/>
      <c r="M282" s="45">
        <v>2016</v>
      </c>
      <c r="N282" s="48" t="s">
        <v>38</v>
      </c>
      <c r="O282" s="35">
        <f t="shared" si="276"/>
        <v>0.92272519433013256</v>
      </c>
      <c r="P282" s="35">
        <f t="shared" si="277"/>
        <v>0.94079254079254082</v>
      </c>
      <c r="Q282" s="35">
        <f t="shared" si="278"/>
        <v>0.98079561042524011</v>
      </c>
      <c r="R282" s="20">
        <v>4374</v>
      </c>
      <c r="S282" s="27">
        <f t="shared" ref="S282:S293" si="325">R282-T282</f>
        <v>84</v>
      </c>
      <c r="T282" s="20">
        <v>4290</v>
      </c>
      <c r="U282" s="20">
        <v>4036</v>
      </c>
      <c r="V282" s="20">
        <f t="shared" ref="V282:V293" si="326">T282-U282</f>
        <v>254</v>
      </c>
      <c r="W282" s="20"/>
      <c r="X282" s="20"/>
      <c r="Y282" s="45"/>
      <c r="Z282" s="48"/>
      <c r="AA282" s="35"/>
      <c r="AB282" s="35"/>
      <c r="AC282" s="35"/>
      <c r="AD282" s="20"/>
      <c r="AE282" s="27"/>
      <c r="AF282" s="20"/>
      <c r="AG282" s="20"/>
      <c r="AH282" s="20"/>
      <c r="AI282" s="20"/>
      <c r="AJ282" s="20"/>
      <c r="AK282" s="45">
        <v>2016</v>
      </c>
      <c r="AL282" s="48" t="s">
        <v>38</v>
      </c>
      <c r="AM282" s="35">
        <f t="shared" si="279"/>
        <v>0.94747801943544652</v>
      </c>
      <c r="AN282" s="35">
        <f t="shared" si="280"/>
        <v>0.97153024911032027</v>
      </c>
      <c r="AO282" s="35">
        <f t="shared" si="281"/>
        <v>0.97524294308190651</v>
      </c>
      <c r="AP282" s="20">
        <v>4322</v>
      </c>
      <c r="AQ282" s="27">
        <f t="shared" ref="AQ282:AQ293" si="327">AP282-AR282</f>
        <v>107</v>
      </c>
      <c r="AR282" s="20">
        <v>4215</v>
      </c>
      <c r="AS282" s="20">
        <v>4095</v>
      </c>
      <c r="AT282" s="20">
        <f t="shared" ref="AT282:AT293" si="328">AR282-AS282</f>
        <v>120</v>
      </c>
      <c r="AU282" s="20"/>
      <c r="AV282" s="20"/>
      <c r="AW282" s="45">
        <v>2016</v>
      </c>
      <c r="AX282" s="48" t="s">
        <v>38</v>
      </c>
      <c r="AY282" s="35">
        <f t="shared" si="316"/>
        <v>0.95741710296684124</v>
      </c>
      <c r="AZ282" s="35">
        <f t="shared" si="317"/>
        <v>0.96144409393620756</v>
      </c>
      <c r="BA282" s="35">
        <f t="shared" si="318"/>
        <v>0.99581151832460735</v>
      </c>
      <c r="BB282" s="20">
        <v>2865</v>
      </c>
      <c r="BC282" s="27">
        <f t="shared" ref="BC282:BC293" si="329">BB282-BD282</f>
        <v>12</v>
      </c>
      <c r="BD282" s="20">
        <v>2853</v>
      </c>
      <c r="BE282" s="20">
        <v>2743</v>
      </c>
      <c r="BF282" s="20">
        <f t="shared" ref="BF282:BF293" si="330">BD282-BE282</f>
        <v>110</v>
      </c>
      <c r="BG282" s="20"/>
      <c r="BH282" s="20"/>
      <c r="BI282" s="45">
        <v>2016</v>
      </c>
      <c r="BJ282" s="48" t="s">
        <v>38</v>
      </c>
      <c r="BK282" s="35"/>
      <c r="BL282" s="35"/>
      <c r="BM282" s="35"/>
      <c r="BN282" s="86"/>
      <c r="BO282" s="87"/>
      <c r="BP282" s="20"/>
      <c r="BQ282" s="20"/>
      <c r="BR282" s="20"/>
      <c r="BS282" s="20"/>
      <c r="BT282" s="20"/>
      <c r="BU282" s="45">
        <v>2016</v>
      </c>
      <c r="BV282" s="48" t="s">
        <v>38</v>
      </c>
      <c r="BW282" s="35"/>
      <c r="BX282" s="35"/>
      <c r="BY282" s="35"/>
      <c r="BZ282" s="86"/>
      <c r="CA282" s="87"/>
      <c r="CB282" s="20"/>
      <c r="CC282" s="20"/>
      <c r="CD282" s="20"/>
      <c r="CE282" s="20"/>
      <c r="CF282" s="20"/>
      <c r="CG282" s="45">
        <v>2016</v>
      </c>
      <c r="CH282" s="48" t="s">
        <v>38</v>
      </c>
      <c r="CI282" s="35">
        <f t="shared" si="288"/>
        <v>0.87596899224806202</v>
      </c>
      <c r="CJ282" s="35">
        <f t="shared" si="289"/>
        <v>0.921320831634733</v>
      </c>
      <c r="CK282" s="35">
        <f t="shared" si="290"/>
        <v>0.95077519379844966</v>
      </c>
      <c r="CL282" s="20">
        <v>2580</v>
      </c>
      <c r="CM282" s="27">
        <f t="shared" ref="CM282:CM293" si="331">CL282-CN282</f>
        <v>127</v>
      </c>
      <c r="CN282" s="20">
        <v>2453</v>
      </c>
      <c r="CO282" s="20">
        <v>2260</v>
      </c>
      <c r="CP282" s="20">
        <f t="shared" ref="CP282:CP293" si="332">CN282-CO282</f>
        <v>193</v>
      </c>
      <c r="CQ282" s="20"/>
      <c r="CR282" s="20"/>
      <c r="CS282" s="45">
        <v>2016</v>
      </c>
      <c r="CT282" s="48" t="s">
        <v>38</v>
      </c>
      <c r="CU282" s="35">
        <f t="shared" si="293"/>
        <v>0.73951434878587197</v>
      </c>
      <c r="CV282" s="35">
        <f t="shared" si="294"/>
        <v>0.89812332439678288</v>
      </c>
      <c r="CW282" s="35">
        <f t="shared" si="295"/>
        <v>0.82339955849889623</v>
      </c>
      <c r="CX282" s="20">
        <v>906</v>
      </c>
      <c r="CY282" s="27">
        <f t="shared" ref="CY282:CY293" si="333">CX282-CZ282</f>
        <v>160</v>
      </c>
      <c r="CZ282" s="20">
        <v>746</v>
      </c>
      <c r="DA282" s="20">
        <v>670</v>
      </c>
      <c r="DB282" s="20">
        <f t="shared" ref="DB282:DB293" si="334">CZ282-DA282</f>
        <v>76</v>
      </c>
      <c r="DC282" s="20"/>
      <c r="DD282" s="20"/>
      <c r="DE282" s="45">
        <v>2016</v>
      </c>
      <c r="DF282" s="48" t="s">
        <v>38</v>
      </c>
      <c r="DG282" s="35">
        <f t="shared" si="296"/>
        <v>0.87471352177234529</v>
      </c>
      <c r="DH282" s="35">
        <f t="shared" si="297"/>
        <v>0.95896147403685095</v>
      </c>
      <c r="DI282" s="35">
        <f t="shared" si="298"/>
        <v>0.91214667685255924</v>
      </c>
      <c r="DJ282" s="20">
        <v>1309</v>
      </c>
      <c r="DK282" s="27">
        <f t="shared" ref="DK282:DK293" si="335">DJ282-DL282</f>
        <v>115</v>
      </c>
      <c r="DL282" s="20">
        <v>1194</v>
      </c>
      <c r="DM282" s="20">
        <v>1145</v>
      </c>
      <c r="DN282" s="20">
        <f t="shared" ref="DN282:DN293" si="336">DL282-DM282</f>
        <v>49</v>
      </c>
      <c r="DO282" s="20"/>
      <c r="DP282" s="20"/>
      <c r="DQ282" s="45"/>
      <c r="DR282" s="48"/>
      <c r="DS282" s="35"/>
      <c r="DT282" s="35"/>
      <c r="DU282" s="35"/>
      <c r="DV282" s="27"/>
      <c r="DW282" s="27"/>
      <c r="DX282" s="27"/>
      <c r="DY282" s="27"/>
      <c r="DZ282" s="27"/>
      <c r="EA282" s="27"/>
      <c r="EB282" s="27"/>
    </row>
    <row r="283" spans="1:132" s="29" customFormat="1" ht="12.75">
      <c r="A283" s="46">
        <v>2016</v>
      </c>
      <c r="B283" s="47" t="s">
        <v>39</v>
      </c>
      <c r="C283" s="35">
        <f t="shared" si="299"/>
        <v>0.86388122454342398</v>
      </c>
      <c r="D283" s="35">
        <f t="shared" si="300"/>
        <v>0.91714325568419586</v>
      </c>
      <c r="E283" s="35">
        <f t="shared" si="301"/>
        <v>0.94192615950597824</v>
      </c>
      <c r="F28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15222</v>
      </c>
      <c r="G283" s="20">
        <f t="shared" si="302"/>
        <v>884</v>
      </c>
      <c r="H28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14338</v>
      </c>
      <c r="I28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13150</v>
      </c>
      <c r="J283" s="20">
        <f t="shared" si="303"/>
        <v>1188</v>
      </c>
      <c r="K283" s="27"/>
      <c r="L283" s="27"/>
      <c r="M283" s="46">
        <v>2016</v>
      </c>
      <c r="N283" s="47" t="s">
        <v>39</v>
      </c>
      <c r="O283" s="35">
        <f t="shared" si="276"/>
        <v>0.84792739759627178</v>
      </c>
      <c r="P283" s="35">
        <f t="shared" si="277"/>
        <v>0.88823227132579652</v>
      </c>
      <c r="Q283" s="35">
        <f t="shared" si="278"/>
        <v>0.95462349766985533</v>
      </c>
      <c r="R283" s="20">
        <v>4077</v>
      </c>
      <c r="S283" s="27">
        <f t="shared" si="325"/>
        <v>185</v>
      </c>
      <c r="T283" s="20">
        <v>3892</v>
      </c>
      <c r="U283" s="20">
        <v>3457</v>
      </c>
      <c r="V283" s="20">
        <f t="shared" si="326"/>
        <v>435</v>
      </c>
      <c r="W283" s="20"/>
      <c r="X283" s="20"/>
      <c r="Y283" s="46"/>
      <c r="Z283" s="47"/>
      <c r="AA283" s="35"/>
      <c r="AB283" s="35"/>
      <c r="AC283" s="35"/>
      <c r="AD283" s="20"/>
      <c r="AE283" s="27"/>
      <c r="AF283" s="20"/>
      <c r="AG283" s="20"/>
      <c r="AH283" s="20"/>
      <c r="AI283" s="20"/>
      <c r="AJ283" s="20"/>
      <c r="AK283" s="46">
        <v>2016</v>
      </c>
      <c r="AL283" s="47" t="s">
        <v>39</v>
      </c>
      <c r="AM283" s="35">
        <f t="shared" si="279"/>
        <v>0.90124069478908186</v>
      </c>
      <c r="AN283" s="35">
        <f t="shared" si="280"/>
        <v>0.94756065744847373</v>
      </c>
      <c r="AO283" s="35">
        <f t="shared" si="281"/>
        <v>0.95111662531017371</v>
      </c>
      <c r="AP283" s="20">
        <v>4030</v>
      </c>
      <c r="AQ283" s="27">
        <f t="shared" si="327"/>
        <v>197</v>
      </c>
      <c r="AR283" s="20">
        <v>3833</v>
      </c>
      <c r="AS283" s="20">
        <v>3632</v>
      </c>
      <c r="AT283" s="20">
        <f t="shared" si="328"/>
        <v>201</v>
      </c>
      <c r="AU283" s="20"/>
      <c r="AV283" s="20"/>
      <c r="AW283" s="46">
        <v>2016</v>
      </c>
      <c r="AX283" s="47" t="s">
        <v>39</v>
      </c>
      <c r="AY283" s="35">
        <f t="shared" si="316"/>
        <v>0.87164967912419777</v>
      </c>
      <c r="AZ283" s="35">
        <f t="shared" si="317"/>
        <v>0.90762578616352196</v>
      </c>
      <c r="BA283" s="35">
        <f t="shared" si="318"/>
        <v>0.96036240090600222</v>
      </c>
      <c r="BB283" s="20">
        <v>2649</v>
      </c>
      <c r="BC283" s="27">
        <f t="shared" si="329"/>
        <v>105</v>
      </c>
      <c r="BD283" s="20">
        <v>2544</v>
      </c>
      <c r="BE283" s="20">
        <v>2309</v>
      </c>
      <c r="BF283" s="20">
        <f t="shared" si="330"/>
        <v>235</v>
      </c>
      <c r="BG283" s="20"/>
      <c r="BH283" s="20"/>
      <c r="BI283" s="46">
        <v>2016</v>
      </c>
      <c r="BJ283" s="47" t="s">
        <v>39</v>
      </c>
      <c r="BK283" s="35"/>
      <c r="BL283" s="35"/>
      <c r="BM283" s="35"/>
      <c r="BN283" s="86"/>
      <c r="BO283" s="87"/>
      <c r="BP283" s="20"/>
      <c r="BQ283" s="20"/>
      <c r="BR283" s="20"/>
      <c r="BS283" s="20"/>
      <c r="BT283" s="20"/>
      <c r="BU283" s="46">
        <v>2016</v>
      </c>
      <c r="BV283" s="47" t="s">
        <v>39</v>
      </c>
      <c r="BW283" s="35"/>
      <c r="BX283" s="35"/>
      <c r="BY283" s="35"/>
      <c r="BZ283" s="86"/>
      <c r="CA283" s="87"/>
      <c r="CB283" s="20"/>
      <c r="CC283" s="20"/>
      <c r="CD283" s="20"/>
      <c r="CE283" s="20"/>
      <c r="CF283" s="20"/>
      <c r="CG283" s="46">
        <v>2016</v>
      </c>
      <c r="CH283" s="47" t="s">
        <v>39</v>
      </c>
      <c r="CI283" s="35">
        <f t="shared" si="288"/>
        <v>0.85815602836879434</v>
      </c>
      <c r="CJ283" s="35">
        <f t="shared" si="289"/>
        <v>0.91219512195121955</v>
      </c>
      <c r="CK283" s="35">
        <f t="shared" si="290"/>
        <v>0.94075928243637885</v>
      </c>
      <c r="CL283" s="20">
        <v>2397</v>
      </c>
      <c r="CM283" s="27">
        <f t="shared" si="331"/>
        <v>142</v>
      </c>
      <c r="CN283" s="20">
        <v>2255</v>
      </c>
      <c r="CO283" s="20">
        <v>2057</v>
      </c>
      <c r="CP283" s="20">
        <f t="shared" si="332"/>
        <v>198</v>
      </c>
      <c r="CQ283" s="20"/>
      <c r="CR283" s="20"/>
      <c r="CS283" s="46">
        <v>2016</v>
      </c>
      <c r="CT283" s="47" t="s">
        <v>39</v>
      </c>
      <c r="CU283" s="35">
        <f t="shared" si="293"/>
        <v>0.73404255319148937</v>
      </c>
      <c r="CV283" s="35">
        <f t="shared" si="294"/>
        <v>0.89352517985611513</v>
      </c>
      <c r="CW283" s="35">
        <f t="shared" si="295"/>
        <v>0.82151300236406621</v>
      </c>
      <c r="CX283" s="20">
        <v>846</v>
      </c>
      <c r="CY283" s="27">
        <f t="shared" si="333"/>
        <v>151</v>
      </c>
      <c r="CZ283" s="20">
        <v>695</v>
      </c>
      <c r="DA283" s="20">
        <v>621</v>
      </c>
      <c r="DB283" s="20">
        <f t="shared" si="334"/>
        <v>74</v>
      </c>
      <c r="DC283" s="20"/>
      <c r="DD283" s="20"/>
      <c r="DE283" s="46">
        <v>2016</v>
      </c>
      <c r="DF283" s="47" t="s">
        <v>39</v>
      </c>
      <c r="DG283" s="35">
        <f t="shared" si="296"/>
        <v>0.87816843826655766</v>
      </c>
      <c r="DH283" s="35">
        <f t="shared" si="297"/>
        <v>0.95978552278820373</v>
      </c>
      <c r="DI283" s="35">
        <f t="shared" si="298"/>
        <v>0.91496320523303354</v>
      </c>
      <c r="DJ283" s="20">
        <v>1223</v>
      </c>
      <c r="DK283" s="27">
        <f t="shared" si="335"/>
        <v>104</v>
      </c>
      <c r="DL283" s="20">
        <v>1119</v>
      </c>
      <c r="DM283" s="20">
        <v>1074</v>
      </c>
      <c r="DN283" s="20">
        <f t="shared" si="336"/>
        <v>45</v>
      </c>
      <c r="DO283" s="20"/>
      <c r="DP283" s="20"/>
      <c r="DQ283" s="46"/>
      <c r="DR283" s="47"/>
      <c r="DS283" s="35"/>
      <c r="DT283" s="35"/>
      <c r="DU283" s="35"/>
      <c r="DV283" s="27"/>
      <c r="DW283" s="27"/>
      <c r="DX283" s="27"/>
      <c r="DY283" s="27"/>
      <c r="DZ283" s="27"/>
      <c r="EA283" s="27"/>
      <c r="EB283" s="27"/>
    </row>
    <row r="284" spans="1:132" s="29" customFormat="1" ht="12.75">
      <c r="A284" s="45">
        <v>2016</v>
      </c>
      <c r="B284" s="48" t="s">
        <v>40</v>
      </c>
      <c r="C284" s="35">
        <f t="shared" si="299"/>
        <v>0.90155046615322254</v>
      </c>
      <c r="D284" s="35">
        <f t="shared" si="300"/>
        <v>0.93939073966527642</v>
      </c>
      <c r="E284" s="35">
        <f t="shared" si="301"/>
        <v>0.95971828131333603</v>
      </c>
      <c r="F28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19736</v>
      </c>
      <c r="G284" s="20">
        <f t="shared" si="302"/>
        <v>795</v>
      </c>
      <c r="H28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18941</v>
      </c>
      <c r="I28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17793</v>
      </c>
      <c r="J284" s="20">
        <f t="shared" si="303"/>
        <v>1148</v>
      </c>
      <c r="K284" s="88"/>
      <c r="L284" s="88"/>
      <c r="M284" s="45">
        <v>2016</v>
      </c>
      <c r="N284" s="48" t="s">
        <v>40</v>
      </c>
      <c r="O284" s="35">
        <f t="shared" si="276"/>
        <v>0.86859485310863127</v>
      </c>
      <c r="P284" s="35">
        <f t="shared" si="277"/>
        <v>0.89995280792826804</v>
      </c>
      <c r="Q284" s="35">
        <f t="shared" si="278"/>
        <v>0.96515600091095421</v>
      </c>
      <c r="R284" s="20">
        <v>4391</v>
      </c>
      <c r="S284" s="27">
        <f t="shared" si="325"/>
        <v>153</v>
      </c>
      <c r="T284" s="20">
        <v>4238</v>
      </c>
      <c r="U284" s="20">
        <v>3814</v>
      </c>
      <c r="V284" s="20">
        <f t="shared" si="326"/>
        <v>424</v>
      </c>
      <c r="W284" s="20"/>
      <c r="X284" s="20"/>
      <c r="Y284" s="45"/>
      <c r="Z284" s="48"/>
      <c r="AA284" s="35"/>
      <c r="AB284" s="35"/>
      <c r="AC284" s="35"/>
      <c r="AD284" s="20"/>
      <c r="AE284" s="27"/>
      <c r="AF284" s="20"/>
      <c r="AG284" s="20"/>
      <c r="AH284" s="20"/>
      <c r="AI284" s="20"/>
      <c r="AJ284" s="20"/>
      <c r="AK284" s="45">
        <v>2016</v>
      </c>
      <c r="AL284" s="48" t="s">
        <v>40</v>
      </c>
      <c r="AM284" s="35">
        <f t="shared" si="279"/>
        <v>0.9167819271553711</v>
      </c>
      <c r="AN284" s="35">
        <f t="shared" si="280"/>
        <v>0.96039603960396036</v>
      </c>
      <c r="AO284" s="35">
        <f t="shared" si="281"/>
        <v>0.95458736745043804</v>
      </c>
      <c r="AP284" s="20">
        <v>4338</v>
      </c>
      <c r="AQ284" s="27">
        <f t="shared" si="327"/>
        <v>197</v>
      </c>
      <c r="AR284" s="20">
        <v>4141</v>
      </c>
      <c r="AS284" s="20">
        <v>3977</v>
      </c>
      <c r="AT284" s="20">
        <f t="shared" si="328"/>
        <v>164</v>
      </c>
      <c r="AU284" s="20"/>
      <c r="AV284" s="20"/>
      <c r="AW284" s="45">
        <v>2016</v>
      </c>
      <c r="AX284" s="48" t="s">
        <v>40</v>
      </c>
      <c r="AY284" s="35">
        <f t="shared" si="316"/>
        <v>0.92518184967093864</v>
      </c>
      <c r="AZ284" s="35">
        <f t="shared" si="317"/>
        <v>0.94148748678181182</v>
      </c>
      <c r="BA284" s="35">
        <f t="shared" si="318"/>
        <v>0.98268098372012469</v>
      </c>
      <c r="BB284" s="20">
        <v>2887</v>
      </c>
      <c r="BC284" s="27">
        <f t="shared" si="329"/>
        <v>50</v>
      </c>
      <c r="BD284" s="20">
        <v>2837</v>
      </c>
      <c r="BE284" s="20">
        <v>2671</v>
      </c>
      <c r="BF284" s="20">
        <f t="shared" si="330"/>
        <v>166</v>
      </c>
      <c r="BG284" s="20"/>
      <c r="BH284" s="20"/>
      <c r="BI284" s="45">
        <v>2016</v>
      </c>
      <c r="BJ284" s="48" t="s">
        <v>40</v>
      </c>
      <c r="BK284" s="35">
        <f t="shared" si="282"/>
        <v>0.9137291280148423</v>
      </c>
      <c r="BL284" s="35">
        <f t="shared" si="283"/>
        <v>0.95384118786313754</v>
      </c>
      <c r="BM284" s="35">
        <f t="shared" si="284"/>
        <v>0.95794681508967228</v>
      </c>
      <c r="BN284" s="20">
        <v>3234</v>
      </c>
      <c r="BO284" s="27">
        <f>+BN284-BP284</f>
        <v>136</v>
      </c>
      <c r="BP284" s="20">
        <v>3098</v>
      </c>
      <c r="BQ284" s="20">
        <v>2955</v>
      </c>
      <c r="BR284" s="20">
        <f t="shared" ref="BR284:BR293" si="337">BP284-BQ284</f>
        <v>143</v>
      </c>
      <c r="BS284" s="90" t="s">
        <v>62</v>
      </c>
      <c r="BT284" s="20"/>
      <c r="BU284" s="45">
        <v>2016</v>
      </c>
      <c r="BV284" s="48" t="s">
        <v>40</v>
      </c>
      <c r="BW284" s="35"/>
      <c r="BX284" s="35"/>
      <c r="BY284" s="35"/>
      <c r="BZ284" s="86"/>
      <c r="CA284" s="87"/>
      <c r="CB284" s="20"/>
      <c r="CC284" s="20"/>
      <c r="CD284" s="20"/>
      <c r="CE284" s="20"/>
      <c r="CF284" s="20"/>
      <c r="CG284" s="45">
        <v>2016</v>
      </c>
      <c r="CH284" s="48" t="s">
        <v>40</v>
      </c>
      <c r="CI284" s="35">
        <f t="shared" si="288"/>
        <v>0.89704230625233994</v>
      </c>
      <c r="CJ284" s="35">
        <f t="shared" si="289"/>
        <v>0.9330218068535826</v>
      </c>
      <c r="CK284" s="35">
        <f t="shared" si="290"/>
        <v>0.961437663796331</v>
      </c>
      <c r="CL284" s="20">
        <v>2671</v>
      </c>
      <c r="CM284" s="27">
        <f t="shared" si="331"/>
        <v>103</v>
      </c>
      <c r="CN284" s="20">
        <v>2568</v>
      </c>
      <c r="CO284" s="20">
        <v>2396</v>
      </c>
      <c r="CP284" s="20">
        <f t="shared" si="332"/>
        <v>172</v>
      </c>
      <c r="CQ284" s="20"/>
      <c r="CR284" s="20"/>
      <c r="CS284" s="45">
        <v>2016</v>
      </c>
      <c r="CT284" s="48" t="s">
        <v>40</v>
      </c>
      <c r="CU284" s="35">
        <f t="shared" si="293"/>
        <v>0.87748344370860931</v>
      </c>
      <c r="CV284" s="35">
        <f t="shared" si="294"/>
        <v>0.95667870036101088</v>
      </c>
      <c r="CW284" s="35">
        <f t="shared" si="295"/>
        <v>0.91721854304635764</v>
      </c>
      <c r="CX284" s="20">
        <v>906</v>
      </c>
      <c r="CY284" s="27">
        <f t="shared" si="333"/>
        <v>75</v>
      </c>
      <c r="CZ284" s="20">
        <v>831</v>
      </c>
      <c r="DA284" s="20">
        <v>795</v>
      </c>
      <c r="DB284" s="20">
        <f t="shared" si="334"/>
        <v>36</v>
      </c>
      <c r="DC284" s="20"/>
      <c r="DD284" s="20"/>
      <c r="DE284" s="45">
        <v>2016</v>
      </c>
      <c r="DF284" s="48" t="s">
        <v>40</v>
      </c>
      <c r="DG284" s="35">
        <f t="shared" si="296"/>
        <v>0.90527119938884648</v>
      </c>
      <c r="DH284" s="35">
        <f t="shared" si="297"/>
        <v>0.96498371335504884</v>
      </c>
      <c r="DI284" s="35">
        <f t="shared" si="298"/>
        <v>0.93812070282658522</v>
      </c>
      <c r="DJ284" s="20">
        <v>1309</v>
      </c>
      <c r="DK284" s="27">
        <f t="shared" si="335"/>
        <v>81</v>
      </c>
      <c r="DL284" s="20">
        <v>1228</v>
      </c>
      <c r="DM284" s="20">
        <v>1185</v>
      </c>
      <c r="DN284" s="20">
        <f t="shared" si="336"/>
        <v>43</v>
      </c>
      <c r="DO284" s="20"/>
      <c r="DP284" s="20"/>
      <c r="DQ284" s="45"/>
      <c r="DR284" s="48"/>
      <c r="DS284" s="35"/>
      <c r="DT284" s="35"/>
      <c r="DU284" s="35"/>
      <c r="DV284" s="27"/>
      <c r="DW284" s="27"/>
      <c r="DX284" s="27"/>
      <c r="DY284" s="27"/>
      <c r="DZ284" s="27"/>
      <c r="EA284" s="27"/>
      <c r="EB284" s="27"/>
    </row>
    <row r="285" spans="1:132" s="29" customFormat="1" ht="12.75">
      <c r="A285" s="46">
        <v>2016</v>
      </c>
      <c r="B285" s="47" t="s">
        <v>41</v>
      </c>
      <c r="C285" s="35">
        <f t="shared" si="299"/>
        <v>0.84527843811643311</v>
      </c>
      <c r="D285" s="35">
        <f t="shared" si="300"/>
        <v>0.88907804436878224</v>
      </c>
      <c r="E285" s="35">
        <f t="shared" si="301"/>
        <v>0.95073592635678517</v>
      </c>
      <c r="F28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G285" s="20">
        <f t="shared" si="302"/>
        <v>974</v>
      </c>
      <c r="H28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18797</v>
      </c>
      <c r="I28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16712</v>
      </c>
      <c r="J285" s="20">
        <f t="shared" si="303"/>
        <v>2085</v>
      </c>
      <c r="K285" s="88"/>
      <c r="L285" s="88"/>
      <c r="M285" s="46">
        <v>2016</v>
      </c>
      <c r="N285" s="47" t="s">
        <v>41</v>
      </c>
      <c r="O285" s="35">
        <f t="shared" si="276"/>
        <v>0.78126452812645286</v>
      </c>
      <c r="P285" s="35">
        <f t="shared" si="277"/>
        <v>0.82478527607361962</v>
      </c>
      <c r="Q285" s="35">
        <f t="shared" si="278"/>
        <v>0.94723384472338445</v>
      </c>
      <c r="R285" s="20">
        <v>4302</v>
      </c>
      <c r="S285" s="27">
        <f t="shared" si="325"/>
        <v>227</v>
      </c>
      <c r="T285" s="20">
        <v>4075</v>
      </c>
      <c r="U285" s="20">
        <v>3361</v>
      </c>
      <c r="V285" s="20">
        <f t="shared" si="326"/>
        <v>714</v>
      </c>
      <c r="W285" s="20"/>
      <c r="X285" s="20"/>
      <c r="Y285" s="46"/>
      <c r="Z285" s="47"/>
      <c r="AA285" s="35"/>
      <c r="AB285" s="35"/>
      <c r="AC285" s="35"/>
      <c r="AD285" s="20"/>
      <c r="AE285" s="27"/>
      <c r="AF285" s="20"/>
      <c r="AG285" s="20"/>
      <c r="AH285" s="20"/>
      <c r="AI285" s="20"/>
      <c r="AJ285" s="20"/>
      <c r="AK285" s="46">
        <v>2016</v>
      </c>
      <c r="AL285" s="47" t="s">
        <v>41</v>
      </c>
      <c r="AM285" s="35">
        <f t="shared" si="279"/>
        <v>0.8502119642016015</v>
      </c>
      <c r="AN285" s="35">
        <f t="shared" si="280"/>
        <v>0.91299949418310566</v>
      </c>
      <c r="AO285" s="35">
        <f t="shared" si="281"/>
        <v>0.9312293923692887</v>
      </c>
      <c r="AP285" s="20">
        <v>4246</v>
      </c>
      <c r="AQ285" s="27">
        <f t="shared" si="327"/>
        <v>292</v>
      </c>
      <c r="AR285" s="20">
        <v>3954</v>
      </c>
      <c r="AS285" s="20">
        <v>3610</v>
      </c>
      <c r="AT285" s="20">
        <f t="shared" si="328"/>
        <v>344</v>
      </c>
      <c r="AU285" s="20"/>
      <c r="AV285" s="20"/>
      <c r="AW285" s="46">
        <v>2016</v>
      </c>
      <c r="AX285" s="47" t="s">
        <v>41</v>
      </c>
      <c r="AY285" s="35">
        <f t="shared" si="316"/>
        <v>0.88084516799445789</v>
      </c>
      <c r="AZ285" s="35">
        <f t="shared" si="317"/>
        <v>0.89890420643336866</v>
      </c>
      <c r="BA285" s="35">
        <f t="shared" si="318"/>
        <v>0.97990994111534468</v>
      </c>
      <c r="BB285" s="20">
        <v>2887</v>
      </c>
      <c r="BC285" s="27">
        <f t="shared" si="329"/>
        <v>58</v>
      </c>
      <c r="BD285" s="20">
        <v>2829</v>
      </c>
      <c r="BE285" s="20">
        <v>2543</v>
      </c>
      <c r="BF285" s="20">
        <f t="shared" si="330"/>
        <v>286</v>
      </c>
      <c r="BG285" s="20"/>
      <c r="BH285" s="20"/>
      <c r="BI285" s="46">
        <v>2016</v>
      </c>
      <c r="BJ285" s="47" t="s">
        <v>41</v>
      </c>
      <c r="BK285" s="35">
        <f t="shared" si="282"/>
        <v>0.88432122370936905</v>
      </c>
      <c r="BL285" s="35">
        <f t="shared" si="283"/>
        <v>0.93591905564924116</v>
      </c>
      <c r="BM285" s="35">
        <f t="shared" si="284"/>
        <v>0.94486934353091145</v>
      </c>
      <c r="BN285" s="20">
        <v>3138</v>
      </c>
      <c r="BO285" s="27">
        <f>+BN285-BP285</f>
        <v>173</v>
      </c>
      <c r="BP285" s="20">
        <v>2965</v>
      </c>
      <c r="BQ285" s="20">
        <v>2775</v>
      </c>
      <c r="BR285" s="20">
        <f t="shared" si="337"/>
        <v>190</v>
      </c>
      <c r="BS285" s="20"/>
      <c r="BT285" s="20"/>
      <c r="BU285" s="46">
        <v>2016</v>
      </c>
      <c r="BV285" s="47" t="s">
        <v>41</v>
      </c>
      <c r="BW285" s="35"/>
      <c r="BX285" s="35"/>
      <c r="BY285" s="35"/>
      <c r="BZ285" s="86"/>
      <c r="CA285" s="87"/>
      <c r="CB285" s="20"/>
      <c r="CC285" s="20"/>
      <c r="CD285" s="20"/>
      <c r="CE285" s="20"/>
      <c r="CF285" s="20"/>
      <c r="CG285" s="46">
        <v>2016</v>
      </c>
      <c r="CH285" s="47" t="s">
        <v>41</v>
      </c>
      <c r="CI285" s="35">
        <f t="shared" si="288"/>
        <v>0.8110236220472441</v>
      </c>
      <c r="CJ285" s="35">
        <f t="shared" si="289"/>
        <v>0.84948453608247421</v>
      </c>
      <c r="CK285" s="35">
        <f t="shared" si="290"/>
        <v>0.95472440944881887</v>
      </c>
      <c r="CL285" s="20">
        <v>3048</v>
      </c>
      <c r="CM285" s="27">
        <f t="shared" si="331"/>
        <v>138</v>
      </c>
      <c r="CN285" s="20">
        <v>2910</v>
      </c>
      <c r="CO285" s="20">
        <v>2472</v>
      </c>
      <c r="CP285" s="20">
        <f t="shared" si="332"/>
        <v>438</v>
      </c>
      <c r="CQ285" s="20"/>
      <c r="CR285" s="20"/>
      <c r="CS285" s="46">
        <v>2016</v>
      </c>
      <c r="CT285" s="47" t="s">
        <v>41</v>
      </c>
      <c r="CU285" s="35">
        <f t="shared" si="293"/>
        <v>0.86477272727272725</v>
      </c>
      <c r="CV285" s="35">
        <f t="shared" si="294"/>
        <v>0.92804878048780493</v>
      </c>
      <c r="CW285" s="35">
        <f t="shared" si="295"/>
        <v>0.93181818181818177</v>
      </c>
      <c r="CX285" s="20">
        <v>880</v>
      </c>
      <c r="CY285" s="27">
        <f t="shared" si="333"/>
        <v>60</v>
      </c>
      <c r="CZ285" s="20">
        <v>820</v>
      </c>
      <c r="DA285" s="20">
        <v>761</v>
      </c>
      <c r="DB285" s="20">
        <f t="shared" si="334"/>
        <v>59</v>
      </c>
      <c r="DC285" s="20"/>
      <c r="DD285" s="20"/>
      <c r="DE285" s="46">
        <v>2016</v>
      </c>
      <c r="DF285" s="47" t="s">
        <v>41</v>
      </c>
      <c r="DG285" s="35">
        <f t="shared" si="296"/>
        <v>0.93700787401574803</v>
      </c>
      <c r="DH285" s="35">
        <f t="shared" si="297"/>
        <v>0.95659163987138263</v>
      </c>
      <c r="DI285" s="35">
        <f t="shared" si="298"/>
        <v>0.97952755905511812</v>
      </c>
      <c r="DJ285" s="20">
        <v>1270</v>
      </c>
      <c r="DK285" s="27">
        <f t="shared" si="335"/>
        <v>26</v>
      </c>
      <c r="DL285" s="20">
        <v>1244</v>
      </c>
      <c r="DM285" s="20">
        <v>1190</v>
      </c>
      <c r="DN285" s="20">
        <f t="shared" si="336"/>
        <v>54</v>
      </c>
      <c r="DO285" s="20"/>
      <c r="DP285" s="20"/>
      <c r="DQ285" s="46"/>
      <c r="DR285" s="47"/>
      <c r="DS285" s="35"/>
      <c r="DT285" s="35"/>
      <c r="DU285" s="35"/>
      <c r="DV285" s="27"/>
      <c r="DW285" s="27"/>
      <c r="DX285" s="27"/>
      <c r="DY285" s="27"/>
      <c r="DZ285" s="27"/>
      <c r="EA285" s="27"/>
      <c r="EB285" s="27"/>
    </row>
    <row r="286" spans="1:132" s="29" customFormat="1" ht="12.75">
      <c r="A286" s="45">
        <v>2016</v>
      </c>
      <c r="B286" s="48" t="s">
        <v>42</v>
      </c>
      <c r="C286" s="35">
        <f t="shared" si="299"/>
        <v>0.8545382481173206</v>
      </c>
      <c r="D286" s="35">
        <f t="shared" si="300"/>
        <v>0.90697796708208445</v>
      </c>
      <c r="E286" s="35">
        <f t="shared" si="301"/>
        <v>0.94218192627824016</v>
      </c>
      <c r="F28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20184</v>
      </c>
      <c r="G286" s="20">
        <f t="shared" si="302"/>
        <v>1167</v>
      </c>
      <c r="H28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19017</v>
      </c>
      <c r="I28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17248</v>
      </c>
      <c r="J286" s="20">
        <f t="shared" si="303"/>
        <v>1769</v>
      </c>
      <c r="K286" s="88"/>
      <c r="L286" s="88"/>
      <c r="M286" s="45">
        <v>2016</v>
      </c>
      <c r="N286" s="48" t="s">
        <v>42</v>
      </c>
      <c r="O286" s="35">
        <f t="shared" si="276"/>
        <v>0.80687770439535411</v>
      </c>
      <c r="P286" s="35">
        <f t="shared" si="277"/>
        <v>0.85045607297167547</v>
      </c>
      <c r="Q286" s="35">
        <f t="shared" si="278"/>
        <v>0.94875882486905028</v>
      </c>
      <c r="R286" s="20">
        <v>4391</v>
      </c>
      <c r="S286" s="27">
        <f t="shared" si="325"/>
        <v>225</v>
      </c>
      <c r="T286" s="20">
        <v>4166</v>
      </c>
      <c r="U286" s="20">
        <v>3543</v>
      </c>
      <c r="V286" s="20">
        <f t="shared" si="326"/>
        <v>623</v>
      </c>
      <c r="W286" s="20"/>
      <c r="X286" s="20"/>
      <c r="Y286" s="45"/>
      <c r="Z286" s="48"/>
      <c r="AA286" s="35"/>
      <c r="AB286" s="35"/>
      <c r="AC286" s="35"/>
      <c r="AD286" s="20"/>
      <c r="AE286" s="27"/>
      <c r="AF286" s="20"/>
      <c r="AG286" s="20"/>
      <c r="AH286" s="20"/>
      <c r="AI286" s="20"/>
      <c r="AJ286" s="20"/>
      <c r="AK286" s="45">
        <v>2016</v>
      </c>
      <c r="AL286" s="48" t="s">
        <v>42</v>
      </c>
      <c r="AM286" s="35">
        <f t="shared" si="279"/>
        <v>0.88750576302443518</v>
      </c>
      <c r="AN286" s="35">
        <f t="shared" si="280"/>
        <v>0.94432180524895759</v>
      </c>
      <c r="AO286" s="35">
        <f t="shared" si="281"/>
        <v>0.93983402489626555</v>
      </c>
      <c r="AP286" s="20">
        <v>4338</v>
      </c>
      <c r="AQ286" s="27">
        <f t="shared" si="327"/>
        <v>261</v>
      </c>
      <c r="AR286" s="20">
        <v>4077</v>
      </c>
      <c r="AS286" s="20">
        <v>3850</v>
      </c>
      <c r="AT286" s="20">
        <f t="shared" si="328"/>
        <v>227</v>
      </c>
      <c r="AU286" s="20"/>
      <c r="AV286" s="20"/>
      <c r="AW286" s="45">
        <v>2016</v>
      </c>
      <c r="AX286" s="48" t="s">
        <v>42</v>
      </c>
      <c r="AY286" s="35">
        <f t="shared" si="316"/>
        <v>0.89643228264634567</v>
      </c>
      <c r="AZ286" s="35">
        <f t="shared" si="317"/>
        <v>0.91190979563072583</v>
      </c>
      <c r="BA286" s="35">
        <f t="shared" si="318"/>
        <v>0.98302736404572222</v>
      </c>
      <c r="BB286" s="20">
        <v>2887</v>
      </c>
      <c r="BC286" s="27">
        <f t="shared" si="329"/>
        <v>49</v>
      </c>
      <c r="BD286" s="20">
        <v>2838</v>
      </c>
      <c r="BE286" s="20">
        <v>2588</v>
      </c>
      <c r="BF286" s="20">
        <f t="shared" si="330"/>
        <v>250</v>
      </c>
      <c r="BG286" s="20"/>
      <c r="BH286" s="20"/>
      <c r="BI286" s="45">
        <v>2016</v>
      </c>
      <c r="BJ286" s="48" t="s">
        <v>42</v>
      </c>
      <c r="BK286" s="35">
        <f t="shared" si="282"/>
        <v>0.8667285095856524</v>
      </c>
      <c r="BL286" s="35">
        <f t="shared" si="283"/>
        <v>0.94568151147098511</v>
      </c>
      <c r="BM286" s="35">
        <f t="shared" si="284"/>
        <v>0.91651205936920221</v>
      </c>
      <c r="BN286" s="20">
        <v>3234</v>
      </c>
      <c r="BO286" s="27">
        <f>+BN286-BP286</f>
        <v>270</v>
      </c>
      <c r="BP286" s="20">
        <v>2964</v>
      </c>
      <c r="BQ286" s="20">
        <v>2803</v>
      </c>
      <c r="BR286" s="20">
        <f t="shared" si="337"/>
        <v>161</v>
      </c>
      <c r="BS286" s="20"/>
      <c r="BT286" s="20"/>
      <c r="BU286" s="45">
        <v>2016</v>
      </c>
      <c r="BV286" s="48" t="s">
        <v>42</v>
      </c>
      <c r="BW286" s="35"/>
      <c r="BX286" s="35"/>
      <c r="BY286" s="35"/>
      <c r="BZ286" s="86"/>
      <c r="CA286" s="87"/>
      <c r="CB286" s="20"/>
      <c r="CC286" s="20"/>
      <c r="CD286" s="20"/>
      <c r="CE286" s="20"/>
      <c r="CF286" s="20"/>
      <c r="CG286" s="45">
        <v>2016</v>
      </c>
      <c r="CH286" s="48" t="s">
        <v>42</v>
      </c>
      <c r="CI286" s="35">
        <f t="shared" si="288"/>
        <v>0.8137223469060596</v>
      </c>
      <c r="CJ286" s="35">
        <f t="shared" si="289"/>
        <v>0.88033298647242453</v>
      </c>
      <c r="CK286" s="35">
        <f t="shared" si="290"/>
        <v>0.92433472266752159</v>
      </c>
      <c r="CL286" s="20">
        <v>3119</v>
      </c>
      <c r="CM286" s="27">
        <f t="shared" si="331"/>
        <v>236</v>
      </c>
      <c r="CN286" s="20">
        <v>2883</v>
      </c>
      <c r="CO286" s="20">
        <v>2538</v>
      </c>
      <c r="CP286" s="20">
        <f t="shared" si="332"/>
        <v>345</v>
      </c>
      <c r="CQ286" s="20"/>
      <c r="CR286" s="20"/>
      <c r="CS286" s="45">
        <v>2016</v>
      </c>
      <c r="CT286" s="48" t="s">
        <v>42</v>
      </c>
      <c r="CU286" s="35">
        <f t="shared" si="293"/>
        <v>0.80794701986754969</v>
      </c>
      <c r="CV286" s="35">
        <f t="shared" si="294"/>
        <v>0.88192771084337351</v>
      </c>
      <c r="CW286" s="35">
        <f t="shared" si="295"/>
        <v>0.91611479028697573</v>
      </c>
      <c r="CX286" s="20">
        <v>906</v>
      </c>
      <c r="CY286" s="27">
        <f t="shared" si="333"/>
        <v>76</v>
      </c>
      <c r="CZ286" s="20">
        <v>830</v>
      </c>
      <c r="DA286" s="20">
        <v>732</v>
      </c>
      <c r="DB286" s="20">
        <f t="shared" si="334"/>
        <v>98</v>
      </c>
      <c r="DC286" s="20"/>
      <c r="DD286" s="20"/>
      <c r="DE286" s="45">
        <v>2016</v>
      </c>
      <c r="DF286" s="48" t="s">
        <v>42</v>
      </c>
      <c r="DG286" s="35">
        <f t="shared" si="296"/>
        <v>0.91214667685255924</v>
      </c>
      <c r="DH286" s="35">
        <f t="shared" si="297"/>
        <v>0.94837172359015087</v>
      </c>
      <c r="DI286" s="35">
        <f t="shared" si="298"/>
        <v>0.96180290297937354</v>
      </c>
      <c r="DJ286" s="20">
        <v>1309</v>
      </c>
      <c r="DK286" s="27">
        <f t="shared" si="335"/>
        <v>50</v>
      </c>
      <c r="DL286" s="20">
        <v>1259</v>
      </c>
      <c r="DM286" s="20">
        <v>1194</v>
      </c>
      <c r="DN286" s="20">
        <f t="shared" si="336"/>
        <v>65</v>
      </c>
      <c r="DO286" s="20"/>
      <c r="DP286" s="20"/>
      <c r="DQ286" s="45"/>
      <c r="DR286" s="48"/>
      <c r="DS286" s="35"/>
      <c r="DT286" s="35"/>
      <c r="DU286" s="35"/>
      <c r="DV286" s="27"/>
      <c r="DW286" s="27"/>
      <c r="DX286" s="27"/>
      <c r="DY286" s="27"/>
      <c r="DZ286" s="27"/>
      <c r="EA286" s="27"/>
      <c r="EB286" s="27"/>
    </row>
    <row r="287" spans="1:132" s="29" customFormat="1" ht="12.75">
      <c r="A287" s="46">
        <v>2016</v>
      </c>
      <c r="B287" s="47" t="s">
        <v>43</v>
      </c>
      <c r="C287" s="35">
        <f t="shared" si="299"/>
        <v>0.79689587830198372</v>
      </c>
      <c r="D287" s="35">
        <f t="shared" si="300"/>
        <v>0.86394027189659017</v>
      </c>
      <c r="E287" s="35">
        <f t="shared" si="301"/>
        <v>0.92239695754959394</v>
      </c>
      <c r="F28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19458</v>
      </c>
      <c r="G287" s="20">
        <f t="shared" si="302"/>
        <v>1510</v>
      </c>
      <c r="H28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17948</v>
      </c>
      <c r="I28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15506</v>
      </c>
      <c r="J287" s="20">
        <f t="shared" si="303"/>
        <v>2442</v>
      </c>
      <c r="K287" s="27"/>
      <c r="L287" s="27"/>
      <c r="M287" s="46">
        <v>2016</v>
      </c>
      <c r="N287" s="47" t="s">
        <v>43</v>
      </c>
      <c r="O287" s="35">
        <f t="shared" si="276"/>
        <v>0.77042985356636751</v>
      </c>
      <c r="P287" s="35">
        <f t="shared" si="277"/>
        <v>0.81795386158475425</v>
      </c>
      <c r="Q287" s="35">
        <f t="shared" si="278"/>
        <v>0.94189891355692013</v>
      </c>
      <c r="R287" s="20">
        <v>4234</v>
      </c>
      <c r="S287" s="27">
        <f t="shared" si="325"/>
        <v>246</v>
      </c>
      <c r="T287" s="20">
        <v>3988</v>
      </c>
      <c r="U287" s="20">
        <v>3262</v>
      </c>
      <c r="V287" s="20">
        <f t="shared" si="326"/>
        <v>726</v>
      </c>
      <c r="W287" s="20"/>
      <c r="X287" s="20"/>
      <c r="Y287" s="46"/>
      <c r="Z287" s="47"/>
      <c r="AA287" s="35"/>
      <c r="AB287" s="35"/>
      <c r="AC287" s="35"/>
      <c r="AD287" s="20"/>
      <c r="AE287" s="27"/>
      <c r="AF287" s="20"/>
      <c r="AG287" s="20"/>
      <c r="AH287" s="20"/>
      <c r="AI287" s="20"/>
      <c r="AJ287" s="20"/>
      <c r="AK287" s="46">
        <v>2016</v>
      </c>
      <c r="AL287" s="47" t="s">
        <v>43</v>
      </c>
      <c r="AM287" s="35">
        <f t="shared" si="279"/>
        <v>0.82385277246653921</v>
      </c>
      <c r="AN287" s="35">
        <f t="shared" si="280"/>
        <v>0.88886023723568852</v>
      </c>
      <c r="AO287" s="35">
        <f t="shared" si="281"/>
        <v>0.92686424474187379</v>
      </c>
      <c r="AP287" s="20">
        <v>4184</v>
      </c>
      <c r="AQ287" s="27">
        <f t="shared" si="327"/>
        <v>306</v>
      </c>
      <c r="AR287" s="20">
        <v>3878</v>
      </c>
      <c r="AS287" s="20">
        <v>3447</v>
      </c>
      <c r="AT287" s="20">
        <f t="shared" si="328"/>
        <v>431</v>
      </c>
      <c r="AU287" s="20"/>
      <c r="AV287" s="20"/>
      <c r="AW287" s="46">
        <v>2016</v>
      </c>
      <c r="AX287" s="47" t="s">
        <v>43</v>
      </c>
      <c r="AY287" s="35">
        <f t="shared" si="316"/>
        <v>0.8807803468208093</v>
      </c>
      <c r="AZ287" s="35">
        <f t="shared" si="317"/>
        <v>0.89830508474576276</v>
      </c>
      <c r="BA287" s="35">
        <f t="shared" si="318"/>
        <v>0.9804913294797688</v>
      </c>
      <c r="BB287" s="20">
        <v>2768</v>
      </c>
      <c r="BC287" s="27">
        <f t="shared" si="329"/>
        <v>54</v>
      </c>
      <c r="BD287" s="20">
        <v>2714</v>
      </c>
      <c r="BE287" s="20">
        <v>2438</v>
      </c>
      <c r="BF287" s="20">
        <f t="shared" si="330"/>
        <v>276</v>
      </c>
      <c r="BG287" s="20"/>
      <c r="BH287" s="20"/>
      <c r="BI287" s="46">
        <v>2016</v>
      </c>
      <c r="BJ287" s="47" t="s">
        <v>43</v>
      </c>
      <c r="BK287" s="35">
        <f t="shared" si="282"/>
        <v>0.76342710997442453</v>
      </c>
      <c r="BL287" s="35">
        <f t="shared" si="283"/>
        <v>0.84232804232804237</v>
      </c>
      <c r="BM287" s="35">
        <f t="shared" si="284"/>
        <v>0.90632992327365725</v>
      </c>
      <c r="BN287" s="20">
        <v>3128</v>
      </c>
      <c r="BO287" s="27">
        <f>+BN287-BP287</f>
        <v>293</v>
      </c>
      <c r="BP287" s="20">
        <v>2835</v>
      </c>
      <c r="BQ287" s="20">
        <v>2388</v>
      </c>
      <c r="BR287" s="20">
        <f t="shared" si="337"/>
        <v>447</v>
      </c>
      <c r="BS287" s="90" t="s">
        <v>63</v>
      </c>
      <c r="BT287" s="20"/>
      <c r="BU287" s="46">
        <v>2016</v>
      </c>
      <c r="BV287" s="47" t="s">
        <v>43</v>
      </c>
      <c r="BW287" s="35"/>
      <c r="BX287" s="35"/>
      <c r="BY287" s="35"/>
      <c r="BZ287" s="86"/>
      <c r="CA287" s="87"/>
      <c r="CB287" s="20"/>
      <c r="CC287" s="20"/>
      <c r="CD287" s="20"/>
      <c r="CE287" s="20"/>
      <c r="CF287" s="20"/>
      <c r="CG287" s="46">
        <v>2016</v>
      </c>
      <c r="CH287" s="47" t="s">
        <v>43</v>
      </c>
      <c r="CI287" s="35">
        <f t="shared" si="288"/>
        <v>0.75316455696202533</v>
      </c>
      <c r="CJ287" s="35">
        <f t="shared" si="289"/>
        <v>0.84872372372372373</v>
      </c>
      <c r="CK287" s="35">
        <f t="shared" si="290"/>
        <v>0.88740839440373087</v>
      </c>
      <c r="CL287" s="20">
        <v>3002</v>
      </c>
      <c r="CM287" s="27">
        <f t="shared" si="331"/>
        <v>338</v>
      </c>
      <c r="CN287" s="20">
        <v>2664</v>
      </c>
      <c r="CO287" s="20">
        <v>2261</v>
      </c>
      <c r="CP287" s="20">
        <f t="shared" si="332"/>
        <v>403</v>
      </c>
      <c r="CQ287" s="20"/>
      <c r="CR287" s="20"/>
      <c r="CS287" s="46">
        <v>2016</v>
      </c>
      <c r="CT287" s="47" t="s">
        <v>43</v>
      </c>
      <c r="CU287" s="35">
        <f t="shared" si="293"/>
        <v>0.72146118721461183</v>
      </c>
      <c r="CV287" s="35">
        <f t="shared" si="294"/>
        <v>0.89900426742532002</v>
      </c>
      <c r="CW287" s="35">
        <f t="shared" si="295"/>
        <v>0.80251141552511418</v>
      </c>
      <c r="CX287" s="20">
        <v>876</v>
      </c>
      <c r="CY287" s="27">
        <f t="shared" si="333"/>
        <v>173</v>
      </c>
      <c r="CZ287" s="20">
        <v>703</v>
      </c>
      <c r="DA287" s="20">
        <v>632</v>
      </c>
      <c r="DB287" s="20">
        <f t="shared" si="334"/>
        <v>71</v>
      </c>
      <c r="DC287" s="20"/>
      <c r="DD287" s="20"/>
      <c r="DE287" s="46">
        <v>2016</v>
      </c>
      <c r="DF287" s="47" t="s">
        <v>43</v>
      </c>
      <c r="DG287" s="35">
        <f t="shared" si="296"/>
        <v>0.85150078988941547</v>
      </c>
      <c r="DH287" s="35">
        <f t="shared" si="297"/>
        <v>0.92452830188679247</v>
      </c>
      <c r="DI287" s="35">
        <f t="shared" si="298"/>
        <v>0.92101105845181674</v>
      </c>
      <c r="DJ287" s="20">
        <v>1266</v>
      </c>
      <c r="DK287" s="27">
        <f t="shared" si="335"/>
        <v>100</v>
      </c>
      <c r="DL287" s="20">
        <v>1166</v>
      </c>
      <c r="DM287" s="20">
        <v>1078</v>
      </c>
      <c r="DN287" s="20">
        <f t="shared" si="336"/>
        <v>88</v>
      </c>
      <c r="DO287" s="20"/>
      <c r="DP287" s="20"/>
      <c r="DQ287" s="46"/>
      <c r="DR287" s="47"/>
      <c r="DS287" s="35"/>
      <c r="DT287" s="35"/>
      <c r="DU287" s="35"/>
      <c r="DV287" s="27"/>
      <c r="DW287" s="27"/>
      <c r="DX287" s="27"/>
      <c r="DY287" s="27"/>
      <c r="DZ287" s="27"/>
      <c r="EA287" s="27"/>
      <c r="EB287" s="27"/>
    </row>
    <row r="288" spans="1:132" s="29" customFormat="1" ht="12.75">
      <c r="A288" s="45">
        <v>2016</v>
      </c>
      <c r="B288" s="48" t="s">
        <v>44</v>
      </c>
      <c r="C288" s="35">
        <f t="shared" si="299"/>
        <v>0.81500125849484018</v>
      </c>
      <c r="D288" s="35">
        <f t="shared" si="300"/>
        <v>0.88171223178303015</v>
      </c>
      <c r="E288" s="35">
        <f t="shared" si="301"/>
        <v>0.92433929020891015</v>
      </c>
      <c r="F28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19865</v>
      </c>
      <c r="G288" s="20">
        <f t="shared" si="302"/>
        <v>1503</v>
      </c>
      <c r="H28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18362</v>
      </c>
      <c r="I28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16190</v>
      </c>
      <c r="J288" s="20">
        <f t="shared" si="303"/>
        <v>2172</v>
      </c>
      <c r="K288" s="27"/>
      <c r="L288" s="27"/>
      <c r="M288" s="45">
        <v>2016</v>
      </c>
      <c r="N288" s="48" t="s">
        <v>44</v>
      </c>
      <c r="O288" s="35">
        <f t="shared" si="276"/>
        <v>0.75410594494563965</v>
      </c>
      <c r="P288" s="35">
        <f t="shared" si="277"/>
        <v>0.81175298804780871</v>
      </c>
      <c r="Q288" s="35">
        <f t="shared" si="278"/>
        <v>0.92898450150358547</v>
      </c>
      <c r="R288" s="20">
        <v>4323</v>
      </c>
      <c r="S288" s="27">
        <f t="shared" si="325"/>
        <v>307</v>
      </c>
      <c r="T288" s="20">
        <v>4016</v>
      </c>
      <c r="U288" s="20">
        <v>3260</v>
      </c>
      <c r="V288" s="20">
        <f t="shared" si="326"/>
        <v>756</v>
      </c>
      <c r="W288" s="20"/>
      <c r="X288" s="20"/>
      <c r="Y288" s="45"/>
      <c r="Z288" s="48"/>
      <c r="AA288" s="35"/>
      <c r="AB288" s="35"/>
      <c r="AC288" s="35"/>
      <c r="AD288" s="20"/>
      <c r="AE288" s="27"/>
      <c r="AF288" s="20"/>
      <c r="AG288" s="20"/>
      <c r="AH288" s="20"/>
      <c r="AI288" s="20"/>
      <c r="AJ288" s="20"/>
      <c r="AK288" s="45">
        <v>2016</v>
      </c>
      <c r="AL288" s="48" t="s">
        <v>44</v>
      </c>
      <c r="AM288" s="35">
        <f t="shared" si="279"/>
        <v>0.8154817586529467</v>
      </c>
      <c r="AN288" s="35">
        <f t="shared" si="280"/>
        <v>0.89963880288957687</v>
      </c>
      <c r="AO288" s="35">
        <f t="shared" si="281"/>
        <v>0.90645463049579045</v>
      </c>
      <c r="AP288" s="20">
        <v>4276</v>
      </c>
      <c r="AQ288" s="27">
        <f t="shared" si="327"/>
        <v>400</v>
      </c>
      <c r="AR288" s="20">
        <v>3876</v>
      </c>
      <c r="AS288" s="20">
        <v>3487</v>
      </c>
      <c r="AT288" s="20">
        <f t="shared" si="328"/>
        <v>389</v>
      </c>
      <c r="AU288" s="20"/>
      <c r="AV288" s="20"/>
      <c r="AW288" s="45">
        <v>2016</v>
      </c>
      <c r="AX288" s="48" t="s">
        <v>44</v>
      </c>
      <c r="AY288" s="35">
        <f t="shared" si="316"/>
        <v>0.87030346820809246</v>
      </c>
      <c r="AZ288" s="35">
        <f t="shared" si="317"/>
        <v>0.90089753178758414</v>
      </c>
      <c r="BA288" s="35">
        <f t="shared" si="318"/>
        <v>0.96604046242774566</v>
      </c>
      <c r="BB288" s="20">
        <v>2768</v>
      </c>
      <c r="BC288" s="27">
        <f t="shared" si="329"/>
        <v>94</v>
      </c>
      <c r="BD288" s="20">
        <v>2674</v>
      </c>
      <c r="BE288" s="20">
        <v>2409</v>
      </c>
      <c r="BF288" s="20">
        <f t="shared" si="330"/>
        <v>265</v>
      </c>
      <c r="BG288" s="20"/>
      <c r="BH288" s="20"/>
      <c r="BI288" s="45">
        <v>2016</v>
      </c>
      <c r="BJ288" s="48" t="s">
        <v>44</v>
      </c>
      <c r="BK288" s="35">
        <f t="shared" si="282"/>
        <v>0.83188585607940446</v>
      </c>
      <c r="BL288" s="35">
        <f t="shared" si="283"/>
        <v>0.89370209930023325</v>
      </c>
      <c r="BM288" s="35">
        <f t="shared" si="284"/>
        <v>0.93083126550868489</v>
      </c>
      <c r="BN288" s="20">
        <v>3224</v>
      </c>
      <c r="BO288" s="27">
        <f t="shared" ref="BO288:BO293" si="338">BN288-BP288</f>
        <v>223</v>
      </c>
      <c r="BP288" s="20">
        <v>3001</v>
      </c>
      <c r="BQ288" s="20">
        <v>2682</v>
      </c>
      <c r="BR288" s="20">
        <f t="shared" si="337"/>
        <v>319</v>
      </c>
      <c r="BS288" s="20"/>
      <c r="BT288" s="20"/>
      <c r="BU288" s="45">
        <v>2016</v>
      </c>
      <c r="BV288" s="48" t="s">
        <v>44</v>
      </c>
      <c r="BW288" s="35"/>
      <c r="BX288" s="35"/>
      <c r="BY288" s="35"/>
      <c r="BZ288" s="86"/>
      <c r="CA288" s="87"/>
      <c r="CB288" s="20"/>
      <c r="CC288" s="20"/>
      <c r="CD288" s="20"/>
      <c r="CE288" s="20"/>
      <c r="CF288" s="20"/>
      <c r="CG288" s="45">
        <v>2016</v>
      </c>
      <c r="CH288" s="48" t="s">
        <v>44</v>
      </c>
      <c r="CI288" s="35">
        <f t="shared" si="288"/>
        <v>0.80436909031627002</v>
      </c>
      <c r="CJ288" s="35">
        <f t="shared" si="289"/>
        <v>0.88044254104211273</v>
      </c>
      <c r="CK288" s="35">
        <f t="shared" si="290"/>
        <v>0.91359634822301927</v>
      </c>
      <c r="CL288" s="20">
        <v>3067</v>
      </c>
      <c r="CM288" s="27">
        <f t="shared" si="331"/>
        <v>265</v>
      </c>
      <c r="CN288" s="20">
        <v>2802</v>
      </c>
      <c r="CO288" s="20">
        <v>2467</v>
      </c>
      <c r="CP288" s="20">
        <f t="shared" si="332"/>
        <v>335</v>
      </c>
      <c r="CQ288" s="20"/>
      <c r="CR288" s="20"/>
      <c r="CS288" s="45">
        <v>2016</v>
      </c>
      <c r="CT288" s="48" t="s">
        <v>44</v>
      </c>
      <c r="CU288" s="35">
        <f t="shared" si="293"/>
        <v>0.7627494456762749</v>
      </c>
      <c r="CV288" s="35">
        <f t="shared" si="294"/>
        <v>0.92348993288590608</v>
      </c>
      <c r="CW288" s="35">
        <f t="shared" si="295"/>
        <v>0.82594235033259422</v>
      </c>
      <c r="CX288" s="20">
        <v>902</v>
      </c>
      <c r="CY288" s="27">
        <f t="shared" si="333"/>
        <v>157</v>
      </c>
      <c r="CZ288" s="20">
        <v>745</v>
      </c>
      <c r="DA288" s="20">
        <v>688</v>
      </c>
      <c r="DB288" s="20">
        <f t="shared" si="334"/>
        <v>57</v>
      </c>
      <c r="DC288" s="20"/>
      <c r="DD288" s="20"/>
      <c r="DE288" s="45">
        <v>2016</v>
      </c>
      <c r="DF288" s="48" t="s">
        <v>44</v>
      </c>
      <c r="DG288" s="35">
        <f t="shared" si="296"/>
        <v>0.91724137931034477</v>
      </c>
      <c r="DH288" s="35">
        <f t="shared" si="297"/>
        <v>0.95913461538461542</v>
      </c>
      <c r="DI288" s="35">
        <f t="shared" si="298"/>
        <v>0.95632183908045976</v>
      </c>
      <c r="DJ288" s="20">
        <v>1305</v>
      </c>
      <c r="DK288" s="27">
        <f t="shared" si="335"/>
        <v>57</v>
      </c>
      <c r="DL288" s="20">
        <v>1248</v>
      </c>
      <c r="DM288" s="20">
        <v>1197</v>
      </c>
      <c r="DN288" s="20">
        <f t="shared" si="336"/>
        <v>51</v>
      </c>
      <c r="DO288" s="20"/>
      <c r="DP288" s="20"/>
      <c r="DQ288" s="45"/>
      <c r="DR288" s="48"/>
      <c r="DS288" s="35"/>
      <c r="DT288" s="35"/>
      <c r="DU288" s="35"/>
      <c r="DV288" s="27"/>
      <c r="DW288" s="27"/>
      <c r="DX288" s="27"/>
      <c r="DY288" s="27"/>
      <c r="DZ288" s="27"/>
      <c r="EA288" s="27"/>
      <c r="EB288" s="27"/>
    </row>
    <row r="289" spans="1:132" s="29" customFormat="1" ht="12.75">
      <c r="A289" s="46">
        <v>2016</v>
      </c>
      <c r="B289" s="47" t="s">
        <v>45</v>
      </c>
      <c r="C289" s="35">
        <f t="shared" si="299"/>
        <v>0.80425552681665124</v>
      </c>
      <c r="D289" s="35">
        <f t="shared" si="300"/>
        <v>0.86522811991389725</v>
      </c>
      <c r="E289" s="35">
        <f t="shared" si="301"/>
        <v>0.92953003757747299</v>
      </c>
      <c r="F28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G289" s="20">
        <f t="shared" si="302"/>
        <v>1444</v>
      </c>
      <c r="H28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19047</v>
      </c>
      <c r="I28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16480</v>
      </c>
      <c r="J289" s="20">
        <f t="shared" si="303"/>
        <v>2567</v>
      </c>
      <c r="K289" s="27"/>
      <c r="L289" s="27"/>
      <c r="M289" s="46">
        <v>2016</v>
      </c>
      <c r="N289" s="47" t="s">
        <v>45</v>
      </c>
      <c r="O289" s="35">
        <f t="shared" si="276"/>
        <v>0.73402108095985652</v>
      </c>
      <c r="P289" s="35">
        <f t="shared" si="277"/>
        <v>0.78357672971031844</v>
      </c>
      <c r="Q289" s="35">
        <f t="shared" si="278"/>
        <v>0.93675712043058978</v>
      </c>
      <c r="R289" s="20">
        <v>4459</v>
      </c>
      <c r="S289" s="27">
        <f t="shared" si="325"/>
        <v>282</v>
      </c>
      <c r="T289" s="20">
        <v>4177</v>
      </c>
      <c r="U289" s="20">
        <v>3273</v>
      </c>
      <c r="V289" s="20">
        <f t="shared" si="326"/>
        <v>904</v>
      </c>
      <c r="W289" s="20"/>
      <c r="X289" s="20"/>
      <c r="Y289" s="46"/>
      <c r="Z289" s="47"/>
      <c r="AA289" s="35"/>
      <c r="AB289" s="35"/>
      <c r="AC289" s="35"/>
      <c r="AD289" s="20"/>
      <c r="AE289" s="27"/>
      <c r="AF289" s="20"/>
      <c r="AG289" s="20"/>
      <c r="AH289" s="20"/>
      <c r="AI289" s="20"/>
      <c r="AJ289" s="20"/>
      <c r="AK289" s="46">
        <v>2016</v>
      </c>
      <c r="AL289" s="47" t="s">
        <v>45</v>
      </c>
      <c r="AM289" s="35">
        <f t="shared" si="279"/>
        <v>0.78977272727272729</v>
      </c>
      <c r="AN289" s="35">
        <f t="shared" si="280"/>
        <v>0.86788211788211789</v>
      </c>
      <c r="AO289" s="35">
        <f t="shared" si="281"/>
        <v>0.91</v>
      </c>
      <c r="AP289" s="20">
        <v>4400</v>
      </c>
      <c r="AQ289" s="27">
        <f t="shared" si="327"/>
        <v>396</v>
      </c>
      <c r="AR289" s="20">
        <v>4004</v>
      </c>
      <c r="AS289" s="20">
        <v>3475</v>
      </c>
      <c r="AT289" s="20">
        <f t="shared" si="328"/>
        <v>529</v>
      </c>
      <c r="AU289" s="20"/>
      <c r="AV289" s="20"/>
      <c r="AW289" s="46">
        <v>2016</v>
      </c>
      <c r="AX289" s="47" t="s">
        <v>45</v>
      </c>
      <c r="AY289" s="35">
        <f t="shared" si="316"/>
        <v>0.91284098469727215</v>
      </c>
      <c r="AZ289" s="35">
        <f t="shared" si="317"/>
        <v>0.927027027027027</v>
      </c>
      <c r="BA289" s="35">
        <f t="shared" si="318"/>
        <v>0.98469727212242186</v>
      </c>
      <c r="BB289" s="20">
        <v>3006</v>
      </c>
      <c r="BC289" s="27">
        <f t="shared" si="329"/>
        <v>46</v>
      </c>
      <c r="BD289" s="20">
        <v>2960</v>
      </c>
      <c r="BE289" s="20">
        <v>2744</v>
      </c>
      <c r="BF289" s="20">
        <f t="shared" si="330"/>
        <v>216</v>
      </c>
      <c r="BG289" s="20"/>
      <c r="BH289" s="20"/>
      <c r="BI289" s="46">
        <v>2016</v>
      </c>
      <c r="BJ289" s="47" t="s">
        <v>45</v>
      </c>
      <c r="BK289" s="35">
        <f t="shared" si="282"/>
        <v>0.85881627620221945</v>
      </c>
      <c r="BL289" s="35">
        <f t="shared" si="283"/>
        <v>0.93395910157559503</v>
      </c>
      <c r="BM289" s="35">
        <f t="shared" si="284"/>
        <v>0.91954377311960545</v>
      </c>
      <c r="BN289" s="20">
        <v>3244</v>
      </c>
      <c r="BO289" s="27">
        <f t="shared" si="338"/>
        <v>261</v>
      </c>
      <c r="BP289" s="20">
        <v>2983</v>
      </c>
      <c r="BQ289" s="20">
        <v>2786</v>
      </c>
      <c r="BR289" s="20">
        <f t="shared" si="337"/>
        <v>197</v>
      </c>
      <c r="BS289" s="20"/>
      <c r="BT289" s="20"/>
      <c r="BU289" s="46">
        <v>2016</v>
      </c>
      <c r="BV289" s="47" t="s">
        <v>45</v>
      </c>
      <c r="BW289" s="35"/>
      <c r="BX289" s="35"/>
      <c r="BY289" s="35"/>
      <c r="BZ289" s="86"/>
      <c r="CA289" s="87"/>
      <c r="CB289" s="20"/>
      <c r="CC289" s="20"/>
      <c r="CD289" s="20"/>
      <c r="CE289" s="20"/>
      <c r="CF289" s="20"/>
      <c r="CG289" s="46">
        <v>2016</v>
      </c>
      <c r="CH289" s="47" t="s">
        <v>45</v>
      </c>
      <c r="CI289" s="35">
        <f t="shared" si="288"/>
        <v>0.7666983222538778</v>
      </c>
      <c r="CJ289" s="35">
        <f t="shared" si="289"/>
        <v>0.84626135569531791</v>
      </c>
      <c r="CK289" s="35">
        <f t="shared" si="290"/>
        <v>0.90598290598290598</v>
      </c>
      <c r="CL289" s="20">
        <v>3159</v>
      </c>
      <c r="CM289" s="27">
        <f t="shared" si="331"/>
        <v>297</v>
      </c>
      <c r="CN289" s="20">
        <v>2862</v>
      </c>
      <c r="CO289" s="20">
        <v>2422</v>
      </c>
      <c r="CP289" s="20">
        <f t="shared" si="332"/>
        <v>440</v>
      </c>
      <c r="CQ289" s="20"/>
      <c r="CR289" s="20"/>
      <c r="CS289" s="46">
        <v>2016</v>
      </c>
      <c r="CT289" s="47" t="s">
        <v>45</v>
      </c>
      <c r="CU289" s="35">
        <f t="shared" si="293"/>
        <v>0.6428571428571429</v>
      </c>
      <c r="CV289" s="35">
        <f t="shared" si="294"/>
        <v>0.7285180572851806</v>
      </c>
      <c r="CW289" s="35">
        <f t="shared" si="295"/>
        <v>0.88241758241758239</v>
      </c>
      <c r="CX289" s="20">
        <v>910</v>
      </c>
      <c r="CY289" s="27">
        <f t="shared" si="333"/>
        <v>107</v>
      </c>
      <c r="CZ289" s="20">
        <v>803</v>
      </c>
      <c r="DA289" s="20">
        <v>585</v>
      </c>
      <c r="DB289" s="20">
        <f t="shared" si="334"/>
        <v>218</v>
      </c>
      <c r="DC289" s="20"/>
      <c r="DD289" s="20"/>
      <c r="DE289" s="46">
        <v>2016</v>
      </c>
      <c r="DF289" s="47" t="s">
        <v>45</v>
      </c>
      <c r="DG289" s="35">
        <f t="shared" si="296"/>
        <v>0.91012947448591008</v>
      </c>
      <c r="DH289" s="35">
        <f t="shared" si="297"/>
        <v>0.94992050874403811</v>
      </c>
      <c r="DI289" s="35">
        <f t="shared" si="298"/>
        <v>0.95811119573495807</v>
      </c>
      <c r="DJ289" s="20">
        <v>1313</v>
      </c>
      <c r="DK289" s="27">
        <f t="shared" si="335"/>
        <v>55</v>
      </c>
      <c r="DL289" s="20">
        <v>1258</v>
      </c>
      <c r="DM289" s="20">
        <v>1195</v>
      </c>
      <c r="DN289" s="20">
        <f t="shared" si="336"/>
        <v>63</v>
      </c>
      <c r="DO289" s="20"/>
      <c r="DP289" s="20"/>
      <c r="DQ289" s="46"/>
      <c r="DR289" s="47"/>
      <c r="DS289" s="35"/>
      <c r="DT289" s="35"/>
      <c r="DU289" s="35"/>
      <c r="DV289" s="27"/>
      <c r="DW289" s="27"/>
      <c r="DX289" s="27"/>
      <c r="DY289" s="27"/>
      <c r="DZ289" s="27"/>
      <c r="EA289" s="27"/>
      <c r="EB289" s="27"/>
    </row>
    <row r="290" spans="1:132" s="29" customFormat="1" ht="12.75">
      <c r="A290" s="45">
        <v>2016</v>
      </c>
      <c r="B290" s="48" t="s">
        <v>46</v>
      </c>
      <c r="C290" s="35">
        <f t="shared" si="299"/>
        <v>0.72744473212507466</v>
      </c>
      <c r="D290" s="35">
        <f t="shared" si="300"/>
        <v>0.79640228945216684</v>
      </c>
      <c r="E290" s="35">
        <f t="shared" si="301"/>
        <v>0.91341366261700851</v>
      </c>
      <c r="F29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20084</v>
      </c>
      <c r="G290" s="20">
        <f t="shared" si="302"/>
        <v>1739</v>
      </c>
      <c r="H29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18345</v>
      </c>
      <c r="I29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14610</v>
      </c>
      <c r="J290" s="20">
        <f t="shared" si="303"/>
        <v>3735</v>
      </c>
      <c r="K290" s="27"/>
      <c r="L290" s="27"/>
      <c r="M290" s="45">
        <v>2016</v>
      </c>
      <c r="N290" s="48" t="s">
        <v>46</v>
      </c>
      <c r="O290" s="35">
        <f t="shared" si="276"/>
        <v>0.6297482837528604</v>
      </c>
      <c r="P290" s="35">
        <f t="shared" si="277"/>
        <v>0.68253968253968256</v>
      </c>
      <c r="Q290" s="35">
        <f t="shared" si="278"/>
        <v>0.92265446224256298</v>
      </c>
      <c r="R290" s="20">
        <v>4370</v>
      </c>
      <c r="S290" s="27">
        <f t="shared" si="325"/>
        <v>338</v>
      </c>
      <c r="T290" s="20">
        <v>4032</v>
      </c>
      <c r="U290" s="20">
        <v>2752</v>
      </c>
      <c r="V290" s="20">
        <f t="shared" si="326"/>
        <v>1280</v>
      </c>
      <c r="W290" s="20"/>
      <c r="X290" s="20"/>
      <c r="Y290" s="45"/>
      <c r="Z290" s="48"/>
      <c r="AA290" s="35"/>
      <c r="AB290" s="35"/>
      <c r="AC290" s="35"/>
      <c r="AD290" s="20"/>
      <c r="AE290" s="27"/>
      <c r="AF290" s="20"/>
      <c r="AG290" s="20"/>
      <c r="AH290" s="20"/>
      <c r="AI290" s="20"/>
      <c r="AJ290" s="20"/>
      <c r="AK290" s="45">
        <v>2016</v>
      </c>
      <c r="AL290" s="48" t="s">
        <v>46</v>
      </c>
      <c r="AM290" s="35">
        <f t="shared" si="279"/>
        <v>0.73816155988857934</v>
      </c>
      <c r="AN290" s="35">
        <f t="shared" si="280"/>
        <v>0.83596214511041012</v>
      </c>
      <c r="AO290" s="35">
        <f t="shared" si="281"/>
        <v>0.88300835654596099</v>
      </c>
      <c r="AP290" s="20">
        <v>4308</v>
      </c>
      <c r="AQ290" s="27">
        <f t="shared" si="327"/>
        <v>504</v>
      </c>
      <c r="AR290" s="20">
        <v>3804</v>
      </c>
      <c r="AS290" s="20">
        <v>3180</v>
      </c>
      <c r="AT290" s="20">
        <f t="shared" si="328"/>
        <v>624</v>
      </c>
      <c r="AU290" s="20"/>
      <c r="AV290" s="20"/>
      <c r="AW290" s="45">
        <v>2016</v>
      </c>
      <c r="AX290" s="48" t="s">
        <v>46</v>
      </c>
      <c r="AY290" s="35">
        <f t="shared" si="316"/>
        <v>0.81836327345309379</v>
      </c>
      <c r="AZ290" s="35">
        <f t="shared" si="317"/>
        <v>0.8680310515172901</v>
      </c>
      <c r="BA290" s="35">
        <f t="shared" si="318"/>
        <v>0.94278110445775121</v>
      </c>
      <c r="BB290" s="20">
        <v>3006</v>
      </c>
      <c r="BC290" s="27">
        <f t="shared" si="329"/>
        <v>172</v>
      </c>
      <c r="BD290" s="20">
        <v>2834</v>
      </c>
      <c r="BE290" s="20">
        <v>2460</v>
      </c>
      <c r="BF290" s="20">
        <f t="shared" si="330"/>
        <v>374</v>
      </c>
      <c r="BG290" s="20"/>
      <c r="BH290" s="20"/>
      <c r="BI290" s="45">
        <v>2016</v>
      </c>
      <c r="BJ290" s="48" t="s">
        <v>46</v>
      </c>
      <c r="BK290" s="35">
        <f t="shared" si="282"/>
        <v>0.79256670902160098</v>
      </c>
      <c r="BL290" s="35">
        <f t="shared" si="283"/>
        <v>0.87605337078651691</v>
      </c>
      <c r="BM290" s="35">
        <f t="shared" si="284"/>
        <v>0.90470139771283353</v>
      </c>
      <c r="BN290" s="20">
        <v>3148</v>
      </c>
      <c r="BO290" s="27">
        <f t="shared" si="338"/>
        <v>300</v>
      </c>
      <c r="BP290" s="20">
        <v>2848</v>
      </c>
      <c r="BQ290" s="20">
        <v>2495</v>
      </c>
      <c r="BR290" s="20">
        <f t="shared" si="337"/>
        <v>353</v>
      </c>
      <c r="BS290" s="20"/>
      <c r="BT290" s="20"/>
      <c r="BU290" s="45">
        <v>2016</v>
      </c>
      <c r="BV290" s="48" t="s">
        <v>46</v>
      </c>
      <c r="BW290" s="35"/>
      <c r="BX290" s="35"/>
      <c r="BY290" s="35"/>
      <c r="BZ290" s="86"/>
      <c r="CA290" s="87"/>
      <c r="CB290" s="20"/>
      <c r="CC290" s="20"/>
      <c r="CD290" s="20"/>
      <c r="CE290" s="20"/>
      <c r="CF290" s="20"/>
      <c r="CG290" s="45">
        <v>2016</v>
      </c>
      <c r="CH290" s="48" t="s">
        <v>46</v>
      </c>
      <c r="CI290" s="35">
        <f t="shared" si="288"/>
        <v>0.71687136393018747</v>
      </c>
      <c r="CJ290" s="35">
        <f t="shared" si="289"/>
        <v>0.77606717984604623</v>
      </c>
      <c r="CK290" s="35">
        <f t="shared" si="290"/>
        <v>0.92372333548804142</v>
      </c>
      <c r="CL290" s="20">
        <v>3094</v>
      </c>
      <c r="CM290" s="27">
        <f t="shared" si="331"/>
        <v>236</v>
      </c>
      <c r="CN290" s="20">
        <v>2858</v>
      </c>
      <c r="CO290" s="20">
        <v>2218</v>
      </c>
      <c r="CP290" s="20">
        <f t="shared" si="332"/>
        <v>640</v>
      </c>
      <c r="CQ290" s="20"/>
      <c r="CR290" s="20"/>
      <c r="CS290" s="45">
        <v>2016</v>
      </c>
      <c r="CT290" s="48" t="s">
        <v>46</v>
      </c>
      <c r="CU290" s="35">
        <f t="shared" si="293"/>
        <v>0.40045248868778283</v>
      </c>
      <c r="CV290" s="35">
        <f t="shared" si="294"/>
        <v>0.46517739816031539</v>
      </c>
      <c r="CW290" s="35">
        <f t="shared" si="295"/>
        <v>0.86085972850678738</v>
      </c>
      <c r="CX290" s="20">
        <v>884</v>
      </c>
      <c r="CY290" s="27">
        <f t="shared" si="333"/>
        <v>123</v>
      </c>
      <c r="CZ290" s="20">
        <v>761</v>
      </c>
      <c r="DA290" s="20">
        <v>354</v>
      </c>
      <c r="DB290" s="20">
        <f t="shared" si="334"/>
        <v>407</v>
      </c>
      <c r="DC290" s="20"/>
      <c r="DD290" s="20"/>
      <c r="DE290" s="45">
        <v>2016</v>
      </c>
      <c r="DF290" s="48" t="s">
        <v>46</v>
      </c>
      <c r="DG290" s="35">
        <f t="shared" si="296"/>
        <v>0.90345368916797486</v>
      </c>
      <c r="DH290" s="35">
        <f t="shared" si="297"/>
        <v>0.95281456953642385</v>
      </c>
      <c r="DI290" s="35">
        <f t="shared" si="298"/>
        <v>0.94819466248037676</v>
      </c>
      <c r="DJ290" s="20">
        <v>1274</v>
      </c>
      <c r="DK290" s="27">
        <f t="shared" si="335"/>
        <v>66</v>
      </c>
      <c r="DL290" s="20">
        <v>1208</v>
      </c>
      <c r="DM290" s="20">
        <v>1151</v>
      </c>
      <c r="DN290" s="20">
        <f t="shared" si="336"/>
        <v>57</v>
      </c>
      <c r="DO290" s="20"/>
      <c r="DP290" s="20"/>
      <c r="DQ290" s="45"/>
      <c r="DR290" s="48"/>
      <c r="DS290" s="35"/>
      <c r="DT290" s="35"/>
      <c r="DU290" s="35"/>
      <c r="DV290" s="27"/>
      <c r="DW290" s="27"/>
      <c r="DX290" s="27"/>
      <c r="DY290" s="27"/>
      <c r="DZ290" s="27"/>
      <c r="EA290" s="27"/>
      <c r="EB290" s="27"/>
    </row>
    <row r="291" spans="1:132" s="29" customFormat="1" ht="12.75">
      <c r="A291" s="46">
        <v>2016</v>
      </c>
      <c r="B291" s="47" t="s">
        <v>47</v>
      </c>
      <c r="C291" s="35">
        <f t="shared" si="299"/>
        <v>0.79653937947494036</v>
      </c>
      <c r="D291" s="35">
        <f t="shared" si="300"/>
        <v>0.84085660298131426</v>
      </c>
      <c r="E291" s="35">
        <f t="shared" si="301"/>
        <v>0.94729514717581542</v>
      </c>
      <c r="F29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G291" s="20">
        <f t="shared" si="302"/>
        <v>1060</v>
      </c>
      <c r="H29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19052</v>
      </c>
      <c r="I29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16020</v>
      </c>
      <c r="J291" s="20">
        <f t="shared" si="303"/>
        <v>3032</v>
      </c>
      <c r="K291" s="27"/>
      <c r="L291" s="27"/>
      <c r="M291" s="46">
        <v>2016</v>
      </c>
      <c r="N291" s="47" t="s">
        <v>47</v>
      </c>
      <c r="O291" s="35">
        <f t="shared" si="276"/>
        <v>0.70553269318701417</v>
      </c>
      <c r="P291" s="35">
        <f t="shared" si="277"/>
        <v>0.73041420118343192</v>
      </c>
      <c r="Q291" s="35">
        <f t="shared" si="278"/>
        <v>0.96593507087334252</v>
      </c>
      <c r="R291" s="20">
        <v>4374</v>
      </c>
      <c r="S291" s="27">
        <f t="shared" si="325"/>
        <v>149</v>
      </c>
      <c r="T291" s="20">
        <v>4225</v>
      </c>
      <c r="U291" s="20">
        <v>3086</v>
      </c>
      <c r="V291" s="20">
        <f t="shared" si="326"/>
        <v>1139</v>
      </c>
      <c r="W291" s="20"/>
      <c r="X291" s="20"/>
      <c r="Y291" s="46"/>
      <c r="Z291" s="47"/>
      <c r="AA291" s="35"/>
      <c r="AB291" s="35"/>
      <c r="AC291" s="35"/>
      <c r="AD291" s="20"/>
      <c r="AE291" s="27"/>
      <c r="AF291" s="20"/>
      <c r="AG291" s="20"/>
      <c r="AH291" s="20"/>
      <c r="AI291" s="20"/>
      <c r="AJ291" s="20"/>
      <c r="AK291" s="46">
        <v>2016</v>
      </c>
      <c r="AL291" s="47" t="s">
        <v>47</v>
      </c>
      <c r="AM291" s="35">
        <f t="shared" si="279"/>
        <v>0.83364183248496071</v>
      </c>
      <c r="AN291" s="35">
        <f t="shared" si="280"/>
        <v>0.87218591140159762</v>
      </c>
      <c r="AO291" s="35">
        <f t="shared" si="281"/>
        <v>0.95580749652938457</v>
      </c>
      <c r="AP291" s="20">
        <v>4322</v>
      </c>
      <c r="AQ291" s="27">
        <f t="shared" si="327"/>
        <v>191</v>
      </c>
      <c r="AR291" s="20">
        <v>4131</v>
      </c>
      <c r="AS291" s="20">
        <v>3603</v>
      </c>
      <c r="AT291" s="20">
        <f t="shared" si="328"/>
        <v>528</v>
      </c>
      <c r="AU291" s="20"/>
      <c r="AV291" s="20"/>
      <c r="AW291" s="46">
        <v>2016</v>
      </c>
      <c r="AX291" s="47" t="s">
        <v>47</v>
      </c>
      <c r="AY291" s="35">
        <f t="shared" si="316"/>
        <v>0.90017452006980803</v>
      </c>
      <c r="AZ291" s="35">
        <f t="shared" si="317"/>
        <v>0.93374366401158582</v>
      </c>
      <c r="BA291" s="35">
        <f t="shared" si="318"/>
        <v>0.96404886561954628</v>
      </c>
      <c r="BB291" s="20">
        <v>2865</v>
      </c>
      <c r="BC291" s="27">
        <f t="shared" si="329"/>
        <v>103</v>
      </c>
      <c r="BD291" s="20">
        <v>2762</v>
      </c>
      <c r="BE291" s="20">
        <v>2579</v>
      </c>
      <c r="BF291" s="20">
        <f t="shared" si="330"/>
        <v>183</v>
      </c>
      <c r="BG291" s="20"/>
      <c r="BH291" s="20"/>
      <c r="BI291" s="46">
        <v>2016</v>
      </c>
      <c r="BJ291" s="47" t="s">
        <v>47</v>
      </c>
      <c r="BK291" s="35">
        <f t="shared" si="282"/>
        <v>0.84208899876390608</v>
      </c>
      <c r="BL291" s="35">
        <f t="shared" si="283"/>
        <v>0.92279038266169999</v>
      </c>
      <c r="BM291" s="35">
        <f t="shared" si="284"/>
        <v>0.91254635352286773</v>
      </c>
      <c r="BN291" s="20">
        <v>3236</v>
      </c>
      <c r="BO291" s="27">
        <f t="shared" si="338"/>
        <v>283</v>
      </c>
      <c r="BP291" s="20">
        <v>2953</v>
      </c>
      <c r="BQ291" s="20">
        <v>2725</v>
      </c>
      <c r="BR291" s="20">
        <f t="shared" si="337"/>
        <v>228</v>
      </c>
      <c r="BS291" s="20"/>
      <c r="BT291" s="20"/>
      <c r="BU291" s="46">
        <v>2016</v>
      </c>
      <c r="BV291" s="47" t="s">
        <v>47</v>
      </c>
      <c r="BW291" s="35"/>
      <c r="BX291" s="35"/>
      <c r="BY291" s="35"/>
      <c r="BZ291" s="86"/>
      <c r="CA291" s="87"/>
      <c r="CB291" s="20"/>
      <c r="CC291" s="20"/>
      <c r="CD291" s="20"/>
      <c r="CE291" s="20"/>
      <c r="CF291" s="20"/>
      <c r="CG291" s="46">
        <v>2016</v>
      </c>
      <c r="CH291" s="47" t="s">
        <v>47</v>
      </c>
      <c r="CI291" s="35">
        <f t="shared" si="288"/>
        <v>0.79741935483870963</v>
      </c>
      <c r="CJ291" s="35">
        <f t="shared" si="289"/>
        <v>0.84138869979577946</v>
      </c>
      <c r="CK291" s="35">
        <f t="shared" si="290"/>
        <v>0.94774193548387098</v>
      </c>
      <c r="CL291" s="20">
        <v>3100</v>
      </c>
      <c r="CM291" s="27">
        <f t="shared" si="331"/>
        <v>162</v>
      </c>
      <c r="CN291" s="20">
        <v>2938</v>
      </c>
      <c r="CO291" s="20">
        <v>2472</v>
      </c>
      <c r="CP291" s="20">
        <f t="shared" si="332"/>
        <v>466</v>
      </c>
      <c r="CQ291" s="20"/>
      <c r="CR291" s="20"/>
      <c r="CS291" s="46">
        <v>2016</v>
      </c>
      <c r="CT291" s="47" t="s">
        <v>47</v>
      </c>
      <c r="CU291" s="35">
        <f t="shared" si="293"/>
        <v>0.36423841059602646</v>
      </c>
      <c r="CV291" s="35">
        <f t="shared" si="294"/>
        <v>0.42746113989637308</v>
      </c>
      <c r="CW291" s="35">
        <f t="shared" si="295"/>
        <v>0.85209713024282563</v>
      </c>
      <c r="CX291" s="20">
        <v>906</v>
      </c>
      <c r="CY291" s="27">
        <f t="shared" si="333"/>
        <v>134</v>
      </c>
      <c r="CZ291" s="20">
        <v>772</v>
      </c>
      <c r="DA291" s="20">
        <v>330</v>
      </c>
      <c r="DB291" s="20">
        <f t="shared" si="334"/>
        <v>442</v>
      </c>
      <c r="DC291" s="20"/>
      <c r="DD291" s="20"/>
      <c r="DE291" s="46">
        <v>2016</v>
      </c>
      <c r="DF291" s="47" t="s">
        <v>47</v>
      </c>
      <c r="DG291" s="35">
        <f t="shared" si="296"/>
        <v>0.93582887700534756</v>
      </c>
      <c r="DH291" s="35">
        <f t="shared" si="297"/>
        <v>0.96380802517702602</v>
      </c>
      <c r="DI291" s="35">
        <f t="shared" si="298"/>
        <v>0.97097020626432395</v>
      </c>
      <c r="DJ291" s="20">
        <v>1309</v>
      </c>
      <c r="DK291" s="27">
        <f t="shared" si="335"/>
        <v>38</v>
      </c>
      <c r="DL291" s="20">
        <v>1271</v>
      </c>
      <c r="DM291" s="20">
        <v>1225</v>
      </c>
      <c r="DN291" s="20">
        <f t="shared" si="336"/>
        <v>46</v>
      </c>
      <c r="DO291" s="20"/>
      <c r="DP291" s="20"/>
      <c r="DQ291" s="46"/>
      <c r="DR291" s="47"/>
      <c r="DS291" s="35"/>
      <c r="DT291" s="35"/>
      <c r="DU291" s="35"/>
      <c r="DV291" s="27"/>
      <c r="DW291" s="27"/>
      <c r="DX291" s="27"/>
      <c r="DY291" s="27"/>
      <c r="DZ291" s="27"/>
      <c r="EA291" s="27"/>
      <c r="EB291" s="27"/>
    </row>
    <row r="292" spans="1:132" s="29" customFormat="1" ht="12.75">
      <c r="A292" s="45">
        <v>2016</v>
      </c>
      <c r="B292" s="48" t="s">
        <v>48</v>
      </c>
      <c r="C292" s="35">
        <f t="shared" si="299"/>
        <v>0.83637651105154009</v>
      </c>
      <c r="D292" s="35">
        <f t="shared" si="300"/>
        <v>0.87482806052269602</v>
      </c>
      <c r="E292" s="35">
        <f t="shared" si="301"/>
        <v>0.95604673511709071</v>
      </c>
      <c r="F29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G292" s="20">
        <f t="shared" si="302"/>
        <v>869</v>
      </c>
      <c r="H29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18902</v>
      </c>
      <c r="I29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16536</v>
      </c>
      <c r="J292" s="20">
        <f t="shared" si="303"/>
        <v>2366</v>
      </c>
      <c r="K292" s="27"/>
      <c r="L292" s="27"/>
      <c r="M292" s="45">
        <v>2016</v>
      </c>
      <c r="N292" s="48" t="s">
        <v>48</v>
      </c>
      <c r="O292" s="35">
        <f t="shared" si="276"/>
        <v>0.75987912598791263</v>
      </c>
      <c r="P292" s="35">
        <f t="shared" si="277"/>
        <v>0.78412089230031179</v>
      </c>
      <c r="Q292" s="35">
        <f t="shared" si="278"/>
        <v>0.96908414690841471</v>
      </c>
      <c r="R292" s="20">
        <v>4302</v>
      </c>
      <c r="S292" s="27">
        <f t="shared" si="325"/>
        <v>133</v>
      </c>
      <c r="T292" s="20">
        <v>4169</v>
      </c>
      <c r="U292" s="20">
        <v>3269</v>
      </c>
      <c r="V292" s="20">
        <f t="shared" si="326"/>
        <v>900</v>
      </c>
      <c r="W292" s="20"/>
      <c r="X292" s="20"/>
      <c r="Y292" s="45"/>
      <c r="Z292" s="48"/>
      <c r="AA292" s="35"/>
      <c r="AB292" s="35"/>
      <c r="AC292" s="35"/>
      <c r="AD292" s="20"/>
      <c r="AE292" s="27"/>
      <c r="AF292" s="20"/>
      <c r="AG292" s="20"/>
      <c r="AH292" s="20"/>
      <c r="AI292" s="20"/>
      <c r="AJ292" s="20"/>
      <c r="AK292" s="45">
        <v>2016</v>
      </c>
      <c r="AL292" s="48" t="s">
        <v>48</v>
      </c>
      <c r="AM292" s="35">
        <f t="shared" si="279"/>
        <v>0.88813000471031556</v>
      </c>
      <c r="AN292" s="35">
        <f t="shared" si="280"/>
        <v>0.9119709794437727</v>
      </c>
      <c r="AO292" s="35">
        <f t="shared" si="281"/>
        <v>0.97385774846914741</v>
      </c>
      <c r="AP292" s="20">
        <v>4246</v>
      </c>
      <c r="AQ292" s="27">
        <f t="shared" si="327"/>
        <v>111</v>
      </c>
      <c r="AR292" s="20">
        <v>4135</v>
      </c>
      <c r="AS292" s="20">
        <v>3771</v>
      </c>
      <c r="AT292" s="20">
        <f t="shared" si="328"/>
        <v>364</v>
      </c>
      <c r="AU292" s="20"/>
      <c r="AV292" s="20"/>
      <c r="AW292" s="45">
        <v>2016</v>
      </c>
      <c r="AX292" s="48" t="s">
        <v>48</v>
      </c>
      <c r="AY292" s="35">
        <f t="shared" si="316"/>
        <v>0.88015240734326294</v>
      </c>
      <c r="AZ292" s="35">
        <f t="shared" si="317"/>
        <v>0.94496095202677577</v>
      </c>
      <c r="BA292" s="35">
        <f t="shared" si="318"/>
        <v>0.93141669553169382</v>
      </c>
      <c r="BB292" s="20">
        <v>2887</v>
      </c>
      <c r="BC292" s="27">
        <f t="shared" si="329"/>
        <v>198</v>
      </c>
      <c r="BD292" s="20">
        <v>2689</v>
      </c>
      <c r="BE292" s="20">
        <v>2541</v>
      </c>
      <c r="BF292" s="20">
        <f t="shared" si="330"/>
        <v>148</v>
      </c>
      <c r="BG292" s="20"/>
      <c r="BH292" s="20"/>
      <c r="BI292" s="45">
        <v>2016</v>
      </c>
      <c r="BJ292" s="48" t="s">
        <v>48</v>
      </c>
      <c r="BK292" s="35">
        <f t="shared" si="282"/>
        <v>0.91586998087954108</v>
      </c>
      <c r="BL292" s="35">
        <f t="shared" si="283"/>
        <v>0.95386657816130105</v>
      </c>
      <c r="BM292" s="35">
        <f t="shared" si="284"/>
        <v>0.96016571064372214</v>
      </c>
      <c r="BN292" s="20">
        <v>3138</v>
      </c>
      <c r="BO292" s="27">
        <f t="shared" si="338"/>
        <v>125</v>
      </c>
      <c r="BP292" s="20">
        <v>3013</v>
      </c>
      <c r="BQ292" s="20">
        <v>2874</v>
      </c>
      <c r="BR292" s="20">
        <f t="shared" si="337"/>
        <v>139</v>
      </c>
      <c r="BS292" s="20"/>
      <c r="BT292" s="20"/>
      <c r="BU292" s="45">
        <v>2016</v>
      </c>
      <c r="BV292" s="48" t="s">
        <v>48</v>
      </c>
      <c r="BW292" s="35"/>
      <c r="BX292" s="35"/>
      <c r="BY292" s="35"/>
      <c r="BZ292" s="86"/>
      <c r="CA292" s="87"/>
      <c r="CB292" s="20"/>
      <c r="CC292" s="20"/>
      <c r="CD292" s="20"/>
      <c r="CE292" s="20"/>
      <c r="CF292" s="20"/>
      <c r="CG292" s="45">
        <v>2016</v>
      </c>
      <c r="CH292" s="48" t="s">
        <v>48</v>
      </c>
      <c r="CI292" s="35">
        <f t="shared" si="288"/>
        <v>0.83891076115485563</v>
      </c>
      <c r="CJ292" s="35">
        <f t="shared" si="289"/>
        <v>0.87990364762560225</v>
      </c>
      <c r="CK292" s="35">
        <f t="shared" si="290"/>
        <v>0.95341207349081369</v>
      </c>
      <c r="CL292" s="20">
        <v>3048</v>
      </c>
      <c r="CM292" s="27">
        <f t="shared" si="331"/>
        <v>142</v>
      </c>
      <c r="CN292" s="20">
        <v>2906</v>
      </c>
      <c r="CO292" s="20">
        <v>2557</v>
      </c>
      <c r="CP292" s="20">
        <f t="shared" si="332"/>
        <v>349</v>
      </c>
      <c r="CQ292" s="20"/>
      <c r="CR292" s="20"/>
      <c r="CS292" s="45">
        <v>2016</v>
      </c>
      <c r="CT292" s="48" t="s">
        <v>48</v>
      </c>
      <c r="CU292" s="35">
        <f t="shared" si="293"/>
        <v>0.39204545454545453</v>
      </c>
      <c r="CV292" s="35">
        <f t="shared" si="294"/>
        <v>0.44863459037711312</v>
      </c>
      <c r="CW292" s="35">
        <f t="shared" si="295"/>
        <v>0.8738636363636364</v>
      </c>
      <c r="CX292" s="20">
        <v>880</v>
      </c>
      <c r="CY292" s="27">
        <f t="shared" si="333"/>
        <v>111</v>
      </c>
      <c r="CZ292" s="20">
        <v>769</v>
      </c>
      <c r="DA292" s="20">
        <v>345</v>
      </c>
      <c r="DB292" s="20">
        <f t="shared" si="334"/>
        <v>424</v>
      </c>
      <c r="DC292" s="20"/>
      <c r="DD292" s="20"/>
      <c r="DE292" s="45">
        <v>2016</v>
      </c>
      <c r="DF292" s="48" t="s">
        <v>48</v>
      </c>
      <c r="DG292" s="35">
        <f t="shared" si="296"/>
        <v>0.92834645669291338</v>
      </c>
      <c r="DH292" s="35">
        <f t="shared" si="297"/>
        <v>0.96560196560196565</v>
      </c>
      <c r="DI292" s="35">
        <f t="shared" si="298"/>
        <v>0.96141732283464565</v>
      </c>
      <c r="DJ292" s="20">
        <v>1270</v>
      </c>
      <c r="DK292" s="27">
        <f t="shared" si="335"/>
        <v>49</v>
      </c>
      <c r="DL292" s="20">
        <v>1221</v>
      </c>
      <c r="DM292" s="20">
        <v>1179</v>
      </c>
      <c r="DN292" s="20">
        <f t="shared" si="336"/>
        <v>42</v>
      </c>
      <c r="DO292" s="20"/>
      <c r="DP292" s="20"/>
      <c r="DQ292" s="45"/>
      <c r="DR292" s="48"/>
      <c r="DS292" s="35"/>
      <c r="DT292" s="35"/>
      <c r="DU292" s="35"/>
      <c r="DV292" s="27"/>
      <c r="DW292" s="27"/>
      <c r="DX292" s="27"/>
      <c r="DY292" s="27"/>
      <c r="DZ292" s="27"/>
      <c r="EA292" s="27"/>
      <c r="EB292" s="27"/>
    </row>
    <row r="293" spans="1:132" s="29" customFormat="1" ht="12.75">
      <c r="A293" s="46">
        <v>2016</v>
      </c>
      <c r="B293" s="47" t="s">
        <v>49</v>
      </c>
      <c r="C293" s="35">
        <f t="shared" si="299"/>
        <v>0.79261137629276057</v>
      </c>
      <c r="D293" s="35">
        <f t="shared" si="300"/>
        <v>0.85104906305055794</v>
      </c>
      <c r="E293" s="35">
        <f t="shared" si="301"/>
        <v>0.93133452665075578</v>
      </c>
      <c r="F29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G293" s="20">
        <f t="shared" si="302"/>
        <v>1381</v>
      </c>
      <c r="H29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18731</v>
      </c>
      <c r="I29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15941</v>
      </c>
      <c r="J293" s="20">
        <f t="shared" si="303"/>
        <v>2790</v>
      </c>
      <c r="K293" s="27"/>
      <c r="L293" s="27"/>
      <c r="M293" s="46">
        <v>2016</v>
      </c>
      <c r="N293" s="47" t="s">
        <v>49</v>
      </c>
      <c r="O293" s="35">
        <f t="shared" si="276"/>
        <v>0.68655692729766804</v>
      </c>
      <c r="P293" s="35">
        <f t="shared" si="277"/>
        <v>0.71773422562141487</v>
      </c>
      <c r="Q293" s="35">
        <f t="shared" si="278"/>
        <v>0.95656149977137628</v>
      </c>
      <c r="R293" s="20">
        <v>4374</v>
      </c>
      <c r="S293" s="27">
        <f t="shared" si="325"/>
        <v>190</v>
      </c>
      <c r="T293" s="20">
        <v>4184</v>
      </c>
      <c r="U293" s="20">
        <v>3003</v>
      </c>
      <c r="V293" s="20">
        <f t="shared" si="326"/>
        <v>1181</v>
      </c>
      <c r="W293" s="20"/>
      <c r="X293" s="20"/>
      <c r="Y293" s="46"/>
      <c r="Z293" s="47"/>
      <c r="AA293" s="35"/>
      <c r="AB293" s="35"/>
      <c r="AC293" s="35"/>
      <c r="AD293" s="20"/>
      <c r="AE293" s="27"/>
      <c r="AF293" s="20"/>
      <c r="AG293" s="20"/>
      <c r="AH293" s="20"/>
      <c r="AI293" s="20"/>
      <c r="AJ293" s="20"/>
      <c r="AK293" s="46">
        <v>2016</v>
      </c>
      <c r="AL293" s="47" t="s">
        <v>49</v>
      </c>
      <c r="AM293" s="35">
        <f t="shared" si="279"/>
        <v>0.82970846830171219</v>
      </c>
      <c r="AN293" s="35">
        <f t="shared" si="280"/>
        <v>0.87612997801123871</v>
      </c>
      <c r="AO293" s="35">
        <f t="shared" si="281"/>
        <v>0.94701527070800551</v>
      </c>
      <c r="AP293" s="20">
        <v>4322</v>
      </c>
      <c r="AQ293" s="27">
        <f t="shared" si="327"/>
        <v>229</v>
      </c>
      <c r="AR293" s="20">
        <v>4093</v>
      </c>
      <c r="AS293" s="20">
        <v>3586</v>
      </c>
      <c r="AT293" s="20">
        <f t="shared" si="328"/>
        <v>507</v>
      </c>
      <c r="AU293" s="20"/>
      <c r="AV293" s="20"/>
      <c r="AW293" s="46">
        <v>2016</v>
      </c>
      <c r="AX293" s="47" t="s">
        <v>49</v>
      </c>
      <c r="AY293" s="35">
        <f t="shared" si="316"/>
        <v>0.85689354275741714</v>
      </c>
      <c r="AZ293" s="35">
        <f t="shared" si="317"/>
        <v>0.92606563560920407</v>
      </c>
      <c r="BA293" s="35">
        <f t="shared" si="318"/>
        <v>0.92530541012216405</v>
      </c>
      <c r="BB293" s="20">
        <v>2865</v>
      </c>
      <c r="BC293" s="27">
        <f t="shared" si="329"/>
        <v>214</v>
      </c>
      <c r="BD293" s="20">
        <v>2651</v>
      </c>
      <c r="BE293" s="20">
        <v>2455</v>
      </c>
      <c r="BF293" s="20">
        <f t="shared" si="330"/>
        <v>196</v>
      </c>
      <c r="BG293" s="20"/>
      <c r="BH293" s="20"/>
      <c r="BI293" s="46">
        <v>2016</v>
      </c>
      <c r="BJ293" s="47" t="s">
        <v>49</v>
      </c>
      <c r="BK293" s="35">
        <f t="shared" si="282"/>
        <v>0.89307787391841775</v>
      </c>
      <c r="BL293" s="35">
        <f t="shared" si="283"/>
        <v>0.94382756368386678</v>
      </c>
      <c r="BM293" s="35">
        <f t="shared" si="284"/>
        <v>0.946229913473424</v>
      </c>
      <c r="BN293" s="20">
        <v>3236</v>
      </c>
      <c r="BO293" s="27">
        <f t="shared" si="338"/>
        <v>174</v>
      </c>
      <c r="BP293" s="20">
        <v>3062</v>
      </c>
      <c r="BQ293" s="20">
        <v>2890</v>
      </c>
      <c r="BR293" s="20">
        <f t="shared" si="337"/>
        <v>172</v>
      </c>
      <c r="BS293" s="20"/>
      <c r="BT293" s="20"/>
      <c r="BU293" s="46">
        <v>2016</v>
      </c>
      <c r="BV293" s="47" t="s">
        <v>49</v>
      </c>
      <c r="BW293" s="35"/>
      <c r="BX293" s="35"/>
      <c r="BY293" s="35"/>
      <c r="BZ293" s="86"/>
      <c r="CA293" s="87"/>
      <c r="CB293" s="20"/>
      <c r="CC293" s="20"/>
      <c r="CD293" s="20"/>
      <c r="CE293" s="20"/>
      <c r="CF293" s="20"/>
      <c r="CG293" s="46">
        <v>2016</v>
      </c>
      <c r="CH293" s="47" t="s">
        <v>49</v>
      </c>
      <c r="CI293" s="35">
        <f t="shared" si="288"/>
        <v>0.80032258064516126</v>
      </c>
      <c r="CJ293" s="35">
        <f t="shared" si="289"/>
        <v>0.89052404881550606</v>
      </c>
      <c r="CK293" s="35">
        <f t="shared" si="290"/>
        <v>0.89870967741935481</v>
      </c>
      <c r="CL293" s="20">
        <v>3100</v>
      </c>
      <c r="CM293" s="20">
        <f t="shared" si="331"/>
        <v>314</v>
      </c>
      <c r="CN293" s="20">
        <v>2786</v>
      </c>
      <c r="CO293" s="20">
        <v>2481</v>
      </c>
      <c r="CP293" s="20">
        <f t="shared" si="332"/>
        <v>305</v>
      </c>
      <c r="CQ293" s="20"/>
      <c r="CR293" s="20"/>
      <c r="CS293" s="46">
        <v>2016</v>
      </c>
      <c r="CT293" s="47" t="s">
        <v>49</v>
      </c>
      <c r="CU293" s="35">
        <f t="shared" si="293"/>
        <v>0.37748344370860926</v>
      </c>
      <c r="CV293" s="35">
        <f t="shared" si="294"/>
        <v>0.46721311475409838</v>
      </c>
      <c r="CW293" s="35">
        <f t="shared" si="295"/>
        <v>0.80794701986754969</v>
      </c>
      <c r="CX293" s="20">
        <v>906</v>
      </c>
      <c r="CY293" s="20">
        <f t="shared" si="333"/>
        <v>174</v>
      </c>
      <c r="CZ293" s="20">
        <v>732</v>
      </c>
      <c r="DA293" s="20">
        <v>342</v>
      </c>
      <c r="DB293" s="20">
        <f t="shared" si="334"/>
        <v>390</v>
      </c>
      <c r="DC293" s="20"/>
      <c r="DD293" s="20"/>
      <c r="DE293" s="46">
        <v>2016</v>
      </c>
      <c r="DF293" s="47" t="s">
        <v>49</v>
      </c>
      <c r="DG293" s="35">
        <f t="shared" si="296"/>
        <v>0.90450725744843397</v>
      </c>
      <c r="DH293" s="35">
        <f t="shared" si="297"/>
        <v>0.96811120196238754</v>
      </c>
      <c r="DI293" s="35">
        <f t="shared" si="298"/>
        <v>0.93430099312452253</v>
      </c>
      <c r="DJ293" s="20">
        <v>1309</v>
      </c>
      <c r="DK293" s="20">
        <f t="shared" si="335"/>
        <v>86</v>
      </c>
      <c r="DL293" s="20">
        <v>1223</v>
      </c>
      <c r="DM293" s="20">
        <v>1184</v>
      </c>
      <c r="DN293" s="20">
        <f t="shared" si="336"/>
        <v>39</v>
      </c>
      <c r="DO293" s="20"/>
      <c r="DP293" s="20"/>
      <c r="DQ293" s="46"/>
      <c r="DR293" s="47"/>
      <c r="DS293" s="35"/>
      <c r="DT293" s="35"/>
      <c r="DU293" s="35"/>
      <c r="DV293" s="27"/>
      <c r="DW293" s="27"/>
      <c r="DX293" s="27"/>
      <c r="DY293" s="27"/>
      <c r="DZ293" s="27"/>
      <c r="EA293" s="27"/>
      <c r="EB293" s="27"/>
    </row>
    <row r="294" spans="1:132" s="29" customFormat="1" ht="12.75">
      <c r="A294" s="45">
        <v>2017</v>
      </c>
      <c r="B294" s="48" t="s">
        <v>38</v>
      </c>
      <c r="C294" s="35">
        <f t="shared" si="299"/>
        <v>0.86642916402322967</v>
      </c>
      <c r="D294" s="35">
        <f t="shared" si="300"/>
        <v>0.9269082176046779</v>
      </c>
      <c r="E294" s="35">
        <f t="shared" si="301"/>
        <v>0.93475184227221708</v>
      </c>
      <c r="F29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G294" s="20">
        <f t="shared" si="302"/>
        <v>1337</v>
      </c>
      <c r="H29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19154</v>
      </c>
      <c r="I29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17754</v>
      </c>
      <c r="J294" s="20">
        <f t="shared" si="303"/>
        <v>1400</v>
      </c>
      <c r="K294" s="20"/>
      <c r="L294" s="20"/>
      <c r="M294" s="45">
        <v>2017</v>
      </c>
      <c r="N294" s="48" t="s">
        <v>38</v>
      </c>
      <c r="O294" s="35">
        <f t="shared" si="276"/>
        <v>0.83471630410405917</v>
      </c>
      <c r="P294" s="35">
        <f t="shared" si="277"/>
        <v>0.86901704412794767</v>
      </c>
      <c r="Q294" s="35">
        <f t="shared" si="278"/>
        <v>0.96052926665171567</v>
      </c>
      <c r="R294" s="20">
        <v>4459</v>
      </c>
      <c r="S294" s="27">
        <f t="shared" ref="S294:S305" si="339">R294-T294</f>
        <v>176</v>
      </c>
      <c r="T294" s="20">
        <v>4283</v>
      </c>
      <c r="U294" s="20">
        <v>3722</v>
      </c>
      <c r="V294" s="20">
        <f t="shared" ref="V294:V305" si="340">T294-U294</f>
        <v>561</v>
      </c>
      <c r="W294" s="20"/>
      <c r="X294" s="20"/>
      <c r="Y294" s="45"/>
      <c r="Z294" s="48"/>
      <c r="AA294" s="35"/>
      <c r="AB294" s="35"/>
      <c r="AC294" s="35"/>
      <c r="AD294" s="20"/>
      <c r="AE294" s="27"/>
      <c r="AF294" s="20"/>
      <c r="AG294" s="20"/>
      <c r="AH294" s="20"/>
      <c r="AI294" s="20"/>
      <c r="AJ294" s="20"/>
      <c r="AK294" s="45">
        <v>2017</v>
      </c>
      <c r="AL294" s="48" t="s">
        <v>38</v>
      </c>
      <c r="AM294" s="35">
        <f t="shared" si="279"/>
        <v>0.91840909090909095</v>
      </c>
      <c r="AN294" s="35">
        <f t="shared" si="280"/>
        <v>0.94992947813822282</v>
      </c>
      <c r="AO294" s="35">
        <f t="shared" si="281"/>
        <v>0.9668181818181818</v>
      </c>
      <c r="AP294" s="20">
        <v>4400</v>
      </c>
      <c r="AQ294" s="27">
        <f t="shared" ref="AQ294:AQ305" si="341">AP294-AR294</f>
        <v>146</v>
      </c>
      <c r="AR294" s="20">
        <v>4254</v>
      </c>
      <c r="AS294" s="20">
        <v>4041</v>
      </c>
      <c r="AT294" s="20">
        <f t="shared" ref="AT294:AT305" si="342">AR294-AS294</f>
        <v>213</v>
      </c>
      <c r="AU294" s="20"/>
      <c r="AV294" s="20"/>
      <c r="AW294" s="45">
        <v>2017</v>
      </c>
      <c r="AX294" s="48" t="s">
        <v>38</v>
      </c>
      <c r="AY294" s="35">
        <f t="shared" si="316"/>
        <v>0.9141716566866267</v>
      </c>
      <c r="AZ294" s="35">
        <f t="shared" si="317"/>
        <v>0.97343251859723701</v>
      </c>
      <c r="BA294" s="35">
        <f t="shared" si="318"/>
        <v>0.93912175648702589</v>
      </c>
      <c r="BB294" s="20">
        <v>3006</v>
      </c>
      <c r="BC294" s="27">
        <f t="shared" ref="BC294:BC305" si="343">BB294-BD294</f>
        <v>183</v>
      </c>
      <c r="BD294" s="20">
        <v>2823</v>
      </c>
      <c r="BE294" s="20">
        <v>2748</v>
      </c>
      <c r="BF294" s="20">
        <f t="shared" ref="BF294:BF305" si="344">BD294-BE294</f>
        <v>75</v>
      </c>
      <c r="BG294" s="20"/>
      <c r="BH294" s="20"/>
      <c r="BI294" s="45">
        <v>2017</v>
      </c>
      <c r="BJ294" s="48" t="s">
        <v>38</v>
      </c>
      <c r="BK294" s="35">
        <f t="shared" si="282"/>
        <v>0.94821208384710232</v>
      </c>
      <c r="BL294" s="35">
        <f t="shared" si="283"/>
        <v>0.9890675241157556</v>
      </c>
      <c r="BM294" s="35">
        <f t="shared" si="284"/>
        <v>0.95869297163995071</v>
      </c>
      <c r="BN294" s="20">
        <v>3244</v>
      </c>
      <c r="BO294" s="27">
        <f t="shared" ref="BO294:BO305" si="345">BN294-BP294</f>
        <v>134</v>
      </c>
      <c r="BP294" s="20">
        <v>3110</v>
      </c>
      <c r="BQ294" s="20">
        <v>3076</v>
      </c>
      <c r="BR294" s="20">
        <f t="shared" ref="BR294:BR305" si="346">BP294-BQ294</f>
        <v>34</v>
      </c>
      <c r="BS294" s="20"/>
      <c r="BT294" s="20"/>
      <c r="BU294" s="45">
        <v>2017</v>
      </c>
      <c r="BV294" s="48" t="s">
        <v>38</v>
      </c>
      <c r="BW294" s="35"/>
      <c r="BX294" s="35"/>
      <c r="BY294" s="35"/>
      <c r="BZ294" s="86"/>
      <c r="CA294" s="87"/>
      <c r="CB294" s="20"/>
      <c r="CC294" s="20"/>
      <c r="CD294" s="20"/>
      <c r="CE294" s="20"/>
      <c r="CF294" s="20"/>
      <c r="CG294" s="45">
        <v>2017</v>
      </c>
      <c r="CH294" s="48" t="s">
        <v>38</v>
      </c>
      <c r="CI294" s="35">
        <f t="shared" si="288"/>
        <v>0.79835390946502061</v>
      </c>
      <c r="CJ294" s="35">
        <f t="shared" si="289"/>
        <v>0.92347125595020141</v>
      </c>
      <c r="CK294" s="35">
        <f t="shared" si="290"/>
        <v>0.86451408673630892</v>
      </c>
      <c r="CL294" s="20">
        <v>3159</v>
      </c>
      <c r="CM294" s="27">
        <f t="shared" ref="CM294:CM303" si="347">CL294-CN294</f>
        <v>428</v>
      </c>
      <c r="CN294" s="20">
        <v>2731</v>
      </c>
      <c r="CO294" s="20">
        <v>2522</v>
      </c>
      <c r="CP294" s="20">
        <f t="shared" ref="CP294:CP305" si="348">CN294-CO294</f>
        <v>209</v>
      </c>
      <c r="CQ294" s="20"/>
      <c r="CR294" s="20"/>
      <c r="CS294" s="45">
        <v>2017</v>
      </c>
      <c r="CT294" s="48" t="s">
        <v>38</v>
      </c>
      <c r="CU294" s="35">
        <f t="shared" si="293"/>
        <v>0.49450549450549453</v>
      </c>
      <c r="CV294" s="35">
        <f t="shared" si="294"/>
        <v>0.63469675599435826</v>
      </c>
      <c r="CW294" s="35">
        <f t="shared" si="295"/>
        <v>0.77912087912087913</v>
      </c>
      <c r="CX294" s="20">
        <v>910</v>
      </c>
      <c r="CY294" s="27">
        <f t="shared" ref="CY294:CY305" si="349">CX294-CZ294</f>
        <v>201</v>
      </c>
      <c r="CZ294" s="20">
        <v>709</v>
      </c>
      <c r="DA294" s="20">
        <v>450</v>
      </c>
      <c r="DB294" s="20">
        <f t="shared" ref="DB294:DB305" si="350">CZ294-DA294</f>
        <v>259</v>
      </c>
      <c r="DC294" s="20"/>
      <c r="DD294" s="20"/>
      <c r="DE294" s="45">
        <v>2017</v>
      </c>
      <c r="DF294" s="48" t="s">
        <v>38</v>
      </c>
      <c r="DG294" s="35">
        <f t="shared" si="296"/>
        <v>0.91012947448591008</v>
      </c>
      <c r="DH294" s="35">
        <f t="shared" si="297"/>
        <v>0.96061093247588425</v>
      </c>
      <c r="DI294" s="35">
        <f t="shared" si="298"/>
        <v>0.94744859101294743</v>
      </c>
      <c r="DJ294" s="20">
        <v>1313</v>
      </c>
      <c r="DK294" s="27">
        <f t="shared" ref="DK294:DK305" si="351">DJ294-DL294</f>
        <v>69</v>
      </c>
      <c r="DL294" s="20">
        <v>1244</v>
      </c>
      <c r="DM294" s="20">
        <v>1195</v>
      </c>
      <c r="DN294" s="20">
        <f t="shared" ref="DN294:DN305" si="352">DL294-DM294</f>
        <v>49</v>
      </c>
      <c r="DO294" s="20"/>
      <c r="DP294" s="20"/>
      <c r="DQ294" s="45"/>
      <c r="DR294" s="48"/>
      <c r="DS294" s="35"/>
      <c r="DT294" s="35"/>
      <c r="DU294" s="35"/>
      <c r="DV294" s="20"/>
      <c r="DW294" s="27"/>
      <c r="DX294" s="20"/>
      <c r="DY294" s="20"/>
      <c r="DZ294" s="20"/>
      <c r="EA294" s="27"/>
      <c r="EB294" s="27"/>
    </row>
    <row r="295" spans="1:132" s="29" customFormat="1" ht="12.75">
      <c r="A295" s="46">
        <v>2017</v>
      </c>
      <c r="B295" s="47" t="s">
        <v>39</v>
      </c>
      <c r="C295" s="35">
        <f t="shared" si="299"/>
        <v>0.87024087024087027</v>
      </c>
      <c r="D295" s="35">
        <f t="shared" si="300"/>
        <v>0.91867822826341694</v>
      </c>
      <c r="E295" s="35">
        <f t="shared" si="301"/>
        <v>0.94727494727494732</v>
      </c>
      <c r="F29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18018</v>
      </c>
      <c r="G295" s="20">
        <f t="shared" si="302"/>
        <v>950</v>
      </c>
      <c r="H29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17068</v>
      </c>
      <c r="I29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15680</v>
      </c>
      <c r="J295" s="20">
        <f t="shared" si="303"/>
        <v>1388</v>
      </c>
      <c r="K295" s="20"/>
      <c r="L295" s="20"/>
      <c r="M295" s="46">
        <v>2017</v>
      </c>
      <c r="N295" s="47" t="s">
        <v>39</v>
      </c>
      <c r="O295" s="35">
        <f t="shared" si="276"/>
        <v>0.83673469387755106</v>
      </c>
      <c r="P295" s="35">
        <f t="shared" si="277"/>
        <v>0.85572658492042786</v>
      </c>
      <c r="Q295" s="35">
        <f t="shared" si="278"/>
        <v>0.97780612244897958</v>
      </c>
      <c r="R295" s="20">
        <v>3920</v>
      </c>
      <c r="S295" s="27">
        <f t="shared" si="339"/>
        <v>87</v>
      </c>
      <c r="T295" s="20">
        <v>3833</v>
      </c>
      <c r="U295" s="20">
        <v>3280</v>
      </c>
      <c r="V295" s="20">
        <f t="shared" si="340"/>
        <v>553</v>
      </c>
      <c r="W295" s="20"/>
      <c r="X295" s="20"/>
      <c r="Y295" s="46"/>
      <c r="Z295" s="47"/>
      <c r="AA295" s="35"/>
      <c r="AB295" s="35"/>
      <c r="AC295" s="35"/>
      <c r="AD295" s="20"/>
      <c r="AE295" s="27"/>
      <c r="AF295" s="20"/>
      <c r="AG295" s="20"/>
      <c r="AH295" s="20"/>
      <c r="AI295" s="20"/>
      <c r="AJ295" s="20"/>
      <c r="AK295" s="46">
        <v>2017</v>
      </c>
      <c r="AL295" s="47" t="s">
        <v>39</v>
      </c>
      <c r="AM295" s="35">
        <f t="shared" si="279"/>
        <v>0.92285861713106299</v>
      </c>
      <c r="AN295" s="35">
        <f t="shared" si="280"/>
        <v>0.94181147972617163</v>
      </c>
      <c r="AO295" s="35">
        <f t="shared" si="281"/>
        <v>0.97987616099071206</v>
      </c>
      <c r="AP295" s="20">
        <v>3876</v>
      </c>
      <c r="AQ295" s="27">
        <f t="shared" si="341"/>
        <v>78</v>
      </c>
      <c r="AR295" s="20">
        <v>3798</v>
      </c>
      <c r="AS295" s="20">
        <v>3577</v>
      </c>
      <c r="AT295" s="20">
        <f t="shared" si="342"/>
        <v>221</v>
      </c>
      <c r="AU295" s="20"/>
      <c r="AV295" s="20"/>
      <c r="AW295" s="46">
        <v>2017</v>
      </c>
      <c r="AX295" s="47" t="s">
        <v>39</v>
      </c>
      <c r="AY295" s="35">
        <f t="shared" si="316"/>
        <v>0.89090909090909087</v>
      </c>
      <c r="AZ295" s="35">
        <f t="shared" si="317"/>
        <v>0.95792605184870383</v>
      </c>
      <c r="BA295" s="35">
        <f t="shared" si="318"/>
        <v>0.93003952569169956</v>
      </c>
      <c r="BB295" s="20">
        <v>2530</v>
      </c>
      <c r="BC295" s="27">
        <f t="shared" si="343"/>
        <v>177</v>
      </c>
      <c r="BD295" s="20">
        <v>2353</v>
      </c>
      <c r="BE295" s="20">
        <v>2254</v>
      </c>
      <c r="BF295" s="20">
        <f t="shared" si="344"/>
        <v>99</v>
      </c>
      <c r="BG295" s="20"/>
      <c r="BH295" s="20"/>
      <c r="BI295" s="46">
        <v>2017</v>
      </c>
      <c r="BJ295" s="47" t="s">
        <v>39</v>
      </c>
      <c r="BK295" s="35">
        <f t="shared" si="282"/>
        <v>0.92866941015089166</v>
      </c>
      <c r="BL295" s="35">
        <f t="shared" si="283"/>
        <v>0.97165410836024402</v>
      </c>
      <c r="BM295" s="35">
        <f t="shared" si="284"/>
        <v>0.95576131687242794</v>
      </c>
      <c r="BN295" s="20">
        <v>2916</v>
      </c>
      <c r="BO295" s="27">
        <f t="shared" si="345"/>
        <v>129</v>
      </c>
      <c r="BP295" s="20">
        <v>2787</v>
      </c>
      <c r="BQ295" s="20">
        <v>2708</v>
      </c>
      <c r="BR295" s="20">
        <f t="shared" si="346"/>
        <v>79</v>
      </c>
      <c r="BS295" s="20"/>
      <c r="BT295" s="20"/>
      <c r="BU295" s="46">
        <v>2017</v>
      </c>
      <c r="BV295" s="47" t="s">
        <v>39</v>
      </c>
      <c r="BW295" s="35"/>
      <c r="BX295" s="35"/>
      <c r="BY295" s="35"/>
      <c r="BZ295" s="86"/>
      <c r="CA295" s="87"/>
      <c r="CB295" s="20"/>
      <c r="CC295" s="20"/>
      <c r="CD295" s="20"/>
      <c r="CE295" s="20"/>
      <c r="CF295" s="20"/>
      <c r="CG295" s="46">
        <v>2017</v>
      </c>
      <c r="CH295" s="47" t="s">
        <v>39</v>
      </c>
      <c r="CI295" s="35">
        <f t="shared" si="288"/>
        <v>0.84136690647482015</v>
      </c>
      <c r="CJ295" s="35">
        <f t="shared" si="289"/>
        <v>0.9386035313001605</v>
      </c>
      <c r="CK295" s="35">
        <f t="shared" si="290"/>
        <v>0.89640287769784177</v>
      </c>
      <c r="CL295" s="20">
        <v>2780</v>
      </c>
      <c r="CM295" s="27">
        <f t="shared" si="347"/>
        <v>288</v>
      </c>
      <c r="CN295" s="20">
        <v>2492</v>
      </c>
      <c r="CO295" s="20">
        <v>2339</v>
      </c>
      <c r="CP295" s="20">
        <f t="shared" si="348"/>
        <v>153</v>
      </c>
      <c r="CQ295" s="20"/>
      <c r="CR295" s="20"/>
      <c r="CS295" s="46">
        <v>2017</v>
      </c>
      <c r="CT295" s="47" t="s">
        <v>39</v>
      </c>
      <c r="CU295" s="35">
        <f t="shared" si="293"/>
        <v>0.59313725490196079</v>
      </c>
      <c r="CV295" s="35">
        <f t="shared" si="294"/>
        <v>0.66758620689655168</v>
      </c>
      <c r="CW295" s="35">
        <f t="shared" si="295"/>
        <v>0.8884803921568627</v>
      </c>
      <c r="CX295" s="20">
        <v>816</v>
      </c>
      <c r="CY295" s="27">
        <f t="shared" si="349"/>
        <v>91</v>
      </c>
      <c r="CZ295" s="20">
        <v>725</v>
      </c>
      <c r="DA295" s="20">
        <v>484</v>
      </c>
      <c r="DB295" s="20">
        <f t="shared" si="350"/>
        <v>241</v>
      </c>
      <c r="DC295" s="20"/>
      <c r="DD295" s="20"/>
      <c r="DE295" s="46">
        <v>2017</v>
      </c>
      <c r="DF295" s="47" t="s">
        <v>39</v>
      </c>
      <c r="DG295" s="35">
        <f t="shared" si="296"/>
        <v>0.87966101694915255</v>
      </c>
      <c r="DH295" s="35">
        <f t="shared" si="297"/>
        <v>0.96111111111111114</v>
      </c>
      <c r="DI295" s="35">
        <f t="shared" si="298"/>
        <v>0.9152542372881356</v>
      </c>
      <c r="DJ295" s="20">
        <v>1180</v>
      </c>
      <c r="DK295" s="27">
        <f t="shared" si="351"/>
        <v>100</v>
      </c>
      <c r="DL295" s="20">
        <v>1080</v>
      </c>
      <c r="DM295" s="20">
        <v>1038</v>
      </c>
      <c r="DN295" s="20">
        <f t="shared" si="352"/>
        <v>42</v>
      </c>
      <c r="DO295" s="20"/>
      <c r="DP295" s="20"/>
      <c r="DQ295" s="46"/>
      <c r="DR295" s="47"/>
      <c r="DS295" s="35"/>
      <c r="DT295" s="35"/>
      <c r="DU295" s="35"/>
      <c r="DV295" s="20"/>
      <c r="DW295" s="27"/>
      <c r="DX295" s="20"/>
      <c r="DY295" s="20"/>
      <c r="DZ295" s="20"/>
      <c r="EA295" s="27"/>
      <c r="EB295" s="27"/>
    </row>
    <row r="296" spans="1:132" s="29" customFormat="1" ht="12.75">
      <c r="A296" s="45">
        <v>2017</v>
      </c>
      <c r="B296" s="48" t="s">
        <v>40</v>
      </c>
      <c r="C296" s="35">
        <f t="shared" si="299"/>
        <v>0.73892284186401835</v>
      </c>
      <c r="D296" s="35">
        <f t="shared" si="300"/>
        <v>0.8460066692177336</v>
      </c>
      <c r="E296" s="35">
        <f t="shared" si="301"/>
        <v>0.87342436974789917</v>
      </c>
      <c r="F29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20944</v>
      </c>
      <c r="G296" s="20">
        <f t="shared" si="302"/>
        <v>2651</v>
      </c>
      <c r="H29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18293</v>
      </c>
      <c r="I29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15476</v>
      </c>
      <c r="J296" s="20">
        <f t="shared" si="303"/>
        <v>2817</v>
      </c>
      <c r="K296" s="20"/>
      <c r="L296" s="20"/>
      <c r="M296" s="45">
        <v>2017</v>
      </c>
      <c r="N296" s="48" t="s">
        <v>40</v>
      </c>
      <c r="O296" s="35">
        <f t="shared" si="276"/>
        <v>0.79722781131231835</v>
      </c>
      <c r="P296" s="35">
        <f t="shared" si="277"/>
        <v>0.81322690992018243</v>
      </c>
      <c r="Q296" s="35">
        <f t="shared" si="278"/>
        <v>0.9803264028616141</v>
      </c>
      <c r="R296" s="20">
        <v>4473</v>
      </c>
      <c r="S296" s="27">
        <f t="shared" si="339"/>
        <v>88</v>
      </c>
      <c r="T296" s="20">
        <v>4385</v>
      </c>
      <c r="U296" s="20">
        <v>3566</v>
      </c>
      <c r="V296" s="20">
        <f t="shared" si="340"/>
        <v>819</v>
      </c>
      <c r="W296" s="20"/>
      <c r="X296" s="20"/>
      <c r="Y296" s="45"/>
      <c r="Z296" s="48"/>
      <c r="AA296" s="35"/>
      <c r="AB296" s="35"/>
      <c r="AC296" s="35"/>
      <c r="AD296" s="20"/>
      <c r="AE296" s="27"/>
      <c r="AF296" s="20"/>
      <c r="AG296" s="20"/>
      <c r="AH296" s="20"/>
      <c r="AI296" s="20"/>
      <c r="AJ296" s="20"/>
      <c r="AK296" s="45">
        <v>2017</v>
      </c>
      <c r="AL296" s="48" t="s">
        <v>40</v>
      </c>
      <c r="AM296" s="35">
        <f t="shared" si="279"/>
        <v>0.88646967340590976</v>
      </c>
      <c r="AN296" s="35">
        <f t="shared" si="280"/>
        <v>0.91012773722627738</v>
      </c>
      <c r="AO296" s="35">
        <f t="shared" si="281"/>
        <v>0.97400577649411246</v>
      </c>
      <c r="AP296" s="20">
        <v>4501</v>
      </c>
      <c r="AQ296" s="27">
        <f t="shared" si="341"/>
        <v>117</v>
      </c>
      <c r="AR296" s="20">
        <v>4384</v>
      </c>
      <c r="AS296" s="20">
        <v>3990</v>
      </c>
      <c r="AT296" s="20">
        <f t="shared" si="342"/>
        <v>394</v>
      </c>
      <c r="AU296" s="20"/>
      <c r="AV296" s="20"/>
      <c r="AW296" s="45">
        <v>2017</v>
      </c>
      <c r="AX296" s="48" t="s">
        <v>40</v>
      </c>
      <c r="AY296" s="35">
        <f t="shared" si="316"/>
        <v>0.83865401207937873</v>
      </c>
      <c r="AZ296" s="35">
        <f t="shared" si="317"/>
        <v>0.88659166920036481</v>
      </c>
      <c r="BA296" s="35">
        <f t="shared" si="318"/>
        <v>0.94593039976991655</v>
      </c>
      <c r="BB296" s="20">
        <v>3477</v>
      </c>
      <c r="BC296" s="27">
        <f t="shared" si="343"/>
        <v>188</v>
      </c>
      <c r="BD296" s="20">
        <v>3289</v>
      </c>
      <c r="BE296" s="20">
        <v>2916</v>
      </c>
      <c r="BF296" s="20">
        <f t="shared" si="344"/>
        <v>373</v>
      </c>
      <c r="BG296" s="20"/>
      <c r="BH296" s="20"/>
      <c r="BI296" s="45">
        <v>2017</v>
      </c>
      <c r="BJ296" s="48" t="s">
        <v>40</v>
      </c>
      <c r="BK296" s="35">
        <f t="shared" si="282"/>
        <v>0.50734494015233955</v>
      </c>
      <c r="BL296" s="35">
        <f t="shared" si="283"/>
        <v>0.87558685446009388</v>
      </c>
      <c r="BM296" s="35">
        <f t="shared" si="284"/>
        <v>0.57943416757344945</v>
      </c>
      <c r="BN296" s="20">
        <v>3676</v>
      </c>
      <c r="BO296" s="27">
        <f t="shared" si="345"/>
        <v>1546</v>
      </c>
      <c r="BP296" s="20">
        <v>2130</v>
      </c>
      <c r="BQ296" s="20">
        <v>1865</v>
      </c>
      <c r="BR296" s="20">
        <f t="shared" si="346"/>
        <v>265</v>
      </c>
      <c r="BS296" s="90" t="s">
        <v>64</v>
      </c>
      <c r="BT296" s="20"/>
      <c r="BU296" s="45">
        <v>2017</v>
      </c>
      <c r="BV296" s="48" t="s">
        <v>40</v>
      </c>
      <c r="BW296" s="35"/>
      <c r="BX296" s="35"/>
      <c r="BY296" s="35"/>
      <c r="BZ296" s="86"/>
      <c r="CA296" s="87"/>
      <c r="CB296" s="20"/>
      <c r="CC296" s="20"/>
      <c r="CD296" s="20"/>
      <c r="CE296" s="20"/>
      <c r="CF296" s="20"/>
      <c r="CG296" s="45">
        <v>2017</v>
      </c>
      <c r="CH296" s="48" t="s">
        <v>40</v>
      </c>
      <c r="CI296" s="35">
        <f t="shared" si="288"/>
        <v>0.63993831919814959</v>
      </c>
      <c r="CJ296" s="35">
        <f t="shared" si="289"/>
        <v>0.76887447892542848</v>
      </c>
      <c r="CK296" s="35">
        <f t="shared" si="290"/>
        <v>0.83230531996915957</v>
      </c>
      <c r="CL296" s="20">
        <v>2594</v>
      </c>
      <c r="CM296" s="27">
        <f t="shared" si="347"/>
        <v>435</v>
      </c>
      <c r="CN296" s="20">
        <v>2159</v>
      </c>
      <c r="CO296" s="20">
        <v>1660</v>
      </c>
      <c r="CP296" s="20">
        <f t="shared" si="348"/>
        <v>499</v>
      </c>
      <c r="CQ296" s="20"/>
      <c r="CR296" s="20"/>
      <c r="CS296" s="45">
        <v>2017</v>
      </c>
      <c r="CT296" s="48" t="s">
        <v>40</v>
      </c>
      <c r="CU296" s="35">
        <f t="shared" si="293"/>
        <v>0.38571428571428573</v>
      </c>
      <c r="CV296" s="35">
        <f t="shared" si="294"/>
        <v>0.4576271186440678</v>
      </c>
      <c r="CW296" s="35">
        <f t="shared" si="295"/>
        <v>0.84285714285714286</v>
      </c>
      <c r="CX296" s="20">
        <v>910</v>
      </c>
      <c r="CY296" s="27">
        <f t="shared" si="349"/>
        <v>143</v>
      </c>
      <c r="CZ296" s="20">
        <v>767</v>
      </c>
      <c r="DA296" s="20">
        <v>351</v>
      </c>
      <c r="DB296" s="20">
        <f t="shared" si="350"/>
        <v>416</v>
      </c>
      <c r="DC296" s="20"/>
      <c r="DD296" s="20"/>
      <c r="DE296" s="45">
        <v>2017</v>
      </c>
      <c r="DF296" s="48" t="s">
        <v>40</v>
      </c>
      <c r="DG296" s="35">
        <f t="shared" si="296"/>
        <v>0.85910129474485908</v>
      </c>
      <c r="DH296" s="35">
        <f t="shared" si="297"/>
        <v>0.95674300254452926</v>
      </c>
      <c r="DI296" s="35">
        <f t="shared" si="298"/>
        <v>0.89794364051789799</v>
      </c>
      <c r="DJ296" s="20">
        <v>1313</v>
      </c>
      <c r="DK296" s="27">
        <f t="shared" si="351"/>
        <v>134</v>
      </c>
      <c r="DL296" s="20">
        <v>1179</v>
      </c>
      <c r="DM296" s="20">
        <v>1128</v>
      </c>
      <c r="DN296" s="20">
        <f t="shared" si="352"/>
        <v>51</v>
      </c>
      <c r="DO296" s="20"/>
      <c r="DP296" s="20"/>
      <c r="DQ296" s="45"/>
      <c r="DR296" s="48"/>
      <c r="DS296" s="35"/>
      <c r="DT296" s="35"/>
      <c r="DU296" s="35"/>
      <c r="DV296" s="20"/>
      <c r="DW296" s="27"/>
      <c r="DX296" s="20"/>
      <c r="DY296" s="20"/>
      <c r="DZ296" s="20"/>
      <c r="EA296" s="27"/>
      <c r="EB296" s="27"/>
    </row>
    <row r="297" spans="1:132" s="29" customFormat="1" ht="12.75">
      <c r="A297" s="46">
        <v>2017</v>
      </c>
      <c r="B297" s="47" t="s">
        <v>41</v>
      </c>
      <c r="C297" s="35">
        <f t="shared" si="299"/>
        <v>0.69798488664987401</v>
      </c>
      <c r="D297" s="35">
        <f t="shared" si="300"/>
        <v>0.84538409909085366</v>
      </c>
      <c r="E297" s="35">
        <f t="shared" si="301"/>
        <v>0.82564231738035265</v>
      </c>
      <c r="F29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19850</v>
      </c>
      <c r="G297" s="20">
        <f t="shared" si="302"/>
        <v>3461</v>
      </c>
      <c r="H29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16389</v>
      </c>
      <c r="I29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13855</v>
      </c>
      <c r="J297" s="20">
        <f t="shared" si="303"/>
        <v>2534</v>
      </c>
      <c r="K297" s="20"/>
      <c r="L297" s="20"/>
      <c r="M297" s="46">
        <v>2017</v>
      </c>
      <c r="N297" s="47" t="s">
        <v>41</v>
      </c>
      <c r="O297" s="35">
        <f t="shared" si="276"/>
        <v>0.7567567567567568</v>
      </c>
      <c r="P297" s="35">
        <f t="shared" si="277"/>
        <v>0.8002005515166708</v>
      </c>
      <c r="Q297" s="35">
        <f t="shared" si="278"/>
        <v>0.94570886676149835</v>
      </c>
      <c r="R297" s="20">
        <v>4218</v>
      </c>
      <c r="S297" s="27">
        <f t="shared" si="339"/>
        <v>229</v>
      </c>
      <c r="T297" s="20">
        <v>3989</v>
      </c>
      <c r="U297" s="20">
        <v>3192</v>
      </c>
      <c r="V297" s="20">
        <f t="shared" si="340"/>
        <v>797</v>
      </c>
      <c r="W297" s="20"/>
      <c r="X297" s="20"/>
      <c r="Y297" s="46"/>
      <c r="Z297" s="47"/>
      <c r="AA297" s="35"/>
      <c r="AB297" s="35"/>
      <c r="AC297" s="35"/>
      <c r="AD297" s="20"/>
      <c r="AE297" s="27"/>
      <c r="AF297" s="20"/>
      <c r="AG297" s="20"/>
      <c r="AH297" s="20"/>
      <c r="AI297" s="20"/>
      <c r="AJ297" s="20"/>
      <c r="AK297" s="46">
        <v>2017</v>
      </c>
      <c r="AL297" s="47" t="s">
        <v>41</v>
      </c>
      <c r="AM297" s="35">
        <f t="shared" si="279"/>
        <v>0.8559757236227824</v>
      </c>
      <c r="AN297" s="35">
        <f t="shared" si="280"/>
        <v>0.910377358490566</v>
      </c>
      <c r="AO297" s="35">
        <f t="shared" si="281"/>
        <v>0.94024276377217553</v>
      </c>
      <c r="AP297" s="20">
        <v>4284</v>
      </c>
      <c r="AQ297" s="27">
        <f t="shared" si="341"/>
        <v>256</v>
      </c>
      <c r="AR297" s="20">
        <v>4028</v>
      </c>
      <c r="AS297" s="20">
        <v>3667</v>
      </c>
      <c r="AT297" s="20">
        <f t="shared" si="342"/>
        <v>361</v>
      </c>
      <c r="AU297" s="20"/>
      <c r="AV297" s="20"/>
      <c r="AW297" s="46">
        <v>2017</v>
      </c>
      <c r="AX297" s="47" t="s">
        <v>41</v>
      </c>
      <c r="AY297" s="35">
        <f t="shared" si="316"/>
        <v>0.84150612959719795</v>
      </c>
      <c r="AZ297" s="35">
        <f t="shared" si="317"/>
        <v>0.92285531370038409</v>
      </c>
      <c r="BA297" s="35">
        <f t="shared" si="318"/>
        <v>0.91185055458260367</v>
      </c>
      <c r="BB297" s="20">
        <v>3426</v>
      </c>
      <c r="BC297" s="27">
        <f t="shared" si="343"/>
        <v>302</v>
      </c>
      <c r="BD297" s="20">
        <v>3124</v>
      </c>
      <c r="BE297" s="20">
        <v>2883</v>
      </c>
      <c r="BF297" s="20">
        <f t="shared" si="344"/>
        <v>241</v>
      </c>
      <c r="BG297" s="20"/>
      <c r="BH297" s="20"/>
      <c r="BI297" s="46">
        <v>2017</v>
      </c>
      <c r="BJ297" s="47" t="s">
        <v>41</v>
      </c>
      <c r="BK297" s="35">
        <f t="shared" si="282"/>
        <v>0.52059925093632964</v>
      </c>
      <c r="BL297" s="35">
        <f t="shared" si="283"/>
        <v>0.86797502230151646</v>
      </c>
      <c r="BM297" s="35">
        <f t="shared" si="284"/>
        <v>0.59978598180845377</v>
      </c>
      <c r="BN297" s="20">
        <v>3738</v>
      </c>
      <c r="BO297" s="27">
        <f t="shared" si="345"/>
        <v>1496</v>
      </c>
      <c r="BP297" s="20">
        <v>2242</v>
      </c>
      <c r="BQ297" s="20">
        <v>1946</v>
      </c>
      <c r="BR297" s="20">
        <f t="shared" si="346"/>
        <v>296</v>
      </c>
      <c r="BS297" s="20"/>
      <c r="BT297" s="20"/>
      <c r="BU297" s="46">
        <v>2017</v>
      </c>
      <c r="BV297" s="47" t="s">
        <v>41</v>
      </c>
      <c r="BW297" s="35"/>
      <c r="BX297" s="35"/>
      <c r="BY297" s="35"/>
      <c r="BZ297" s="86"/>
      <c r="CA297" s="87"/>
      <c r="CB297" s="20"/>
      <c r="CC297" s="20"/>
      <c r="CD297" s="20"/>
      <c r="CE297" s="20"/>
      <c r="CF297" s="20"/>
      <c r="CG297" s="46">
        <v>2017</v>
      </c>
      <c r="CH297" s="47" t="s">
        <v>41</v>
      </c>
      <c r="CI297" s="35">
        <f t="shared" si="288"/>
        <v>0.47865576748410538</v>
      </c>
      <c r="CJ297" s="35">
        <f t="shared" si="289"/>
        <v>0.65710723192019949</v>
      </c>
      <c r="CK297" s="35">
        <f t="shared" si="290"/>
        <v>0.72842870118074476</v>
      </c>
      <c r="CL297" s="20">
        <v>2202</v>
      </c>
      <c r="CM297" s="27">
        <f t="shared" si="347"/>
        <v>598</v>
      </c>
      <c r="CN297" s="20">
        <v>1604</v>
      </c>
      <c r="CO297" s="20">
        <v>1054</v>
      </c>
      <c r="CP297" s="20">
        <f t="shared" si="348"/>
        <v>550</v>
      </c>
      <c r="CQ297" s="20"/>
      <c r="CR297" s="20"/>
      <c r="CS297" s="46">
        <v>2017</v>
      </c>
      <c r="CT297" s="47" t="s">
        <v>41</v>
      </c>
      <c r="CU297" s="35">
        <f t="shared" si="293"/>
        <v>7.6815642458100561E-2</v>
      </c>
      <c r="CV297" s="35">
        <f t="shared" si="294"/>
        <v>0.18151815181518152</v>
      </c>
      <c r="CW297" s="35">
        <f t="shared" si="295"/>
        <v>0.42318435754189943</v>
      </c>
      <c r="CX297" s="20">
        <v>716</v>
      </c>
      <c r="CY297" s="27">
        <f t="shared" si="349"/>
        <v>413</v>
      </c>
      <c r="CZ297" s="20">
        <v>303</v>
      </c>
      <c r="DA297" s="20">
        <v>55</v>
      </c>
      <c r="DB297" s="20">
        <f t="shared" si="350"/>
        <v>248</v>
      </c>
      <c r="DC297" s="20"/>
      <c r="DD297" s="20"/>
      <c r="DE297" s="46">
        <v>2017</v>
      </c>
      <c r="DF297" s="47" t="s">
        <v>41</v>
      </c>
      <c r="DG297" s="35">
        <f t="shared" si="296"/>
        <v>0.83570300157977884</v>
      </c>
      <c r="DH297" s="35">
        <f t="shared" si="297"/>
        <v>0.96269335759781616</v>
      </c>
      <c r="DI297" s="35">
        <f t="shared" si="298"/>
        <v>0.86808846761453395</v>
      </c>
      <c r="DJ297" s="20">
        <v>1266</v>
      </c>
      <c r="DK297" s="27">
        <f t="shared" si="351"/>
        <v>167</v>
      </c>
      <c r="DL297" s="20">
        <v>1099</v>
      </c>
      <c r="DM297" s="20">
        <v>1058</v>
      </c>
      <c r="DN297" s="20">
        <f t="shared" si="352"/>
        <v>41</v>
      </c>
      <c r="DO297" s="20"/>
      <c r="DP297" s="20"/>
      <c r="DQ297" s="46"/>
      <c r="DR297" s="47"/>
      <c r="DS297" s="35"/>
      <c r="DT297" s="35"/>
      <c r="DU297" s="35"/>
      <c r="DV297" s="20"/>
      <c r="DW297" s="27"/>
      <c r="DX297" s="20"/>
      <c r="DY297" s="20"/>
      <c r="DZ297" s="20"/>
      <c r="EA297" s="27"/>
      <c r="EB297" s="27"/>
    </row>
    <row r="298" spans="1:132" s="29" customFormat="1" ht="12.75">
      <c r="A298" s="45">
        <v>2017</v>
      </c>
      <c r="B298" s="48" t="s">
        <v>42</v>
      </c>
      <c r="C298" s="35">
        <f t="shared" si="299"/>
        <v>0.82539295128380352</v>
      </c>
      <c r="D298" s="35">
        <f t="shared" si="300"/>
        <v>0.87985222187532519</v>
      </c>
      <c r="E298" s="35">
        <f t="shared" si="301"/>
        <v>0.93810407107292781</v>
      </c>
      <c r="F29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20486</v>
      </c>
      <c r="G298" s="20">
        <f t="shared" si="302"/>
        <v>1268</v>
      </c>
      <c r="H29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19218</v>
      </c>
      <c r="I29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16909</v>
      </c>
      <c r="J298" s="20">
        <f t="shared" si="303"/>
        <v>2309</v>
      </c>
      <c r="K298" s="20"/>
      <c r="L298" s="20"/>
      <c r="M298" s="45">
        <v>2017</v>
      </c>
      <c r="N298" s="48" t="s">
        <v>42</v>
      </c>
      <c r="O298" s="35">
        <f t="shared" si="276"/>
        <v>0.86491387126019947</v>
      </c>
      <c r="P298" s="35">
        <f t="shared" si="277"/>
        <v>0.87583199449162263</v>
      </c>
      <c r="Q298" s="35">
        <f t="shared" si="278"/>
        <v>0.98753399818676335</v>
      </c>
      <c r="R298" s="20">
        <v>4412</v>
      </c>
      <c r="S298" s="27">
        <f t="shared" si="339"/>
        <v>55</v>
      </c>
      <c r="T298" s="20">
        <v>4357</v>
      </c>
      <c r="U298" s="20">
        <v>3816</v>
      </c>
      <c r="V298" s="20">
        <f t="shared" si="340"/>
        <v>541</v>
      </c>
      <c r="W298" s="20"/>
      <c r="X298" s="20"/>
      <c r="Y298" s="45"/>
      <c r="Z298" s="48"/>
      <c r="AA298" s="35"/>
      <c r="AB298" s="35"/>
      <c r="AC298" s="35"/>
      <c r="AD298" s="20"/>
      <c r="AE298" s="27"/>
      <c r="AF298" s="20"/>
      <c r="AG298" s="20"/>
      <c r="AH298" s="20"/>
      <c r="AI298" s="20"/>
      <c r="AJ298" s="20"/>
      <c r="AK298" s="45">
        <v>2017</v>
      </c>
      <c r="AL298" s="48" t="s">
        <v>42</v>
      </c>
      <c r="AM298" s="35">
        <f t="shared" si="279"/>
        <v>0.93762530630429941</v>
      </c>
      <c r="AN298" s="35">
        <f t="shared" si="280"/>
        <v>0.95528824330458462</v>
      </c>
      <c r="AO298" s="35">
        <f t="shared" si="281"/>
        <v>0.98151035865448877</v>
      </c>
      <c r="AP298" s="20">
        <v>4489</v>
      </c>
      <c r="AQ298" s="27">
        <f t="shared" si="341"/>
        <v>83</v>
      </c>
      <c r="AR298" s="20">
        <v>4406</v>
      </c>
      <c r="AS298" s="20">
        <v>4209</v>
      </c>
      <c r="AT298" s="20">
        <f t="shared" si="342"/>
        <v>197</v>
      </c>
      <c r="AU298" s="20"/>
      <c r="AV298" s="20"/>
      <c r="AW298" s="45">
        <v>2017</v>
      </c>
      <c r="AX298" s="48" t="s">
        <v>42</v>
      </c>
      <c r="AY298" s="35">
        <f t="shared" si="316"/>
        <v>0.87874544945393451</v>
      </c>
      <c r="AZ298" s="35">
        <f t="shared" si="317"/>
        <v>0.92977777777777781</v>
      </c>
      <c r="BA298" s="35">
        <f t="shared" si="318"/>
        <v>0.94511341360963319</v>
      </c>
      <c r="BB298" s="20">
        <v>3571</v>
      </c>
      <c r="BC298" s="27">
        <f t="shared" si="343"/>
        <v>196</v>
      </c>
      <c r="BD298" s="20">
        <v>3375</v>
      </c>
      <c r="BE298" s="20">
        <v>3138</v>
      </c>
      <c r="BF298" s="20">
        <f t="shared" si="344"/>
        <v>237</v>
      </c>
      <c r="BG298" s="20"/>
      <c r="BH298" s="20"/>
      <c r="BI298" s="45">
        <v>2017</v>
      </c>
      <c r="BJ298" s="48" t="s">
        <v>42</v>
      </c>
      <c r="BK298" s="35">
        <f t="shared" si="282"/>
        <v>0.85529715762273906</v>
      </c>
      <c r="BL298" s="35">
        <f t="shared" si="283"/>
        <v>0.88930682428801722</v>
      </c>
      <c r="BM298" s="35">
        <f t="shared" si="284"/>
        <v>0.96175710594315245</v>
      </c>
      <c r="BN298" s="20">
        <v>3870</v>
      </c>
      <c r="BO298" s="27">
        <f t="shared" si="345"/>
        <v>148</v>
      </c>
      <c r="BP298" s="20">
        <v>3722</v>
      </c>
      <c r="BQ298" s="20">
        <v>3310</v>
      </c>
      <c r="BR298" s="20">
        <f t="shared" si="346"/>
        <v>412</v>
      </c>
      <c r="BS298" s="20"/>
      <c r="BT298" s="20"/>
      <c r="BU298" s="45">
        <v>2017</v>
      </c>
      <c r="BV298" s="48" t="s">
        <v>42</v>
      </c>
      <c r="BW298" s="35"/>
      <c r="BX298" s="35"/>
      <c r="BY298" s="35"/>
      <c r="BZ298" s="86"/>
      <c r="CA298" s="87"/>
      <c r="CB298" s="20"/>
      <c r="CC298" s="20"/>
      <c r="CD298" s="20"/>
      <c r="CE298" s="20"/>
      <c r="CF298" s="20"/>
      <c r="CG298" s="45">
        <v>2017</v>
      </c>
      <c r="CH298" s="48" t="s">
        <v>42</v>
      </c>
      <c r="CI298" s="35">
        <f t="shared" si="288"/>
        <v>0.5243741765480896</v>
      </c>
      <c r="CJ298" s="35">
        <f t="shared" si="289"/>
        <v>0.69988276670574445</v>
      </c>
      <c r="CK298" s="35">
        <f t="shared" si="290"/>
        <v>0.74923144488361881</v>
      </c>
      <c r="CL298" s="20">
        <v>2277</v>
      </c>
      <c r="CM298" s="27">
        <f t="shared" si="347"/>
        <v>571</v>
      </c>
      <c r="CN298" s="20">
        <v>1706</v>
      </c>
      <c r="CO298" s="20">
        <v>1194</v>
      </c>
      <c r="CP298" s="20">
        <f t="shared" si="348"/>
        <v>512</v>
      </c>
      <c r="CQ298" s="20"/>
      <c r="CR298" s="20"/>
      <c r="CS298" s="45">
        <v>2017</v>
      </c>
      <c r="CT298" s="48" t="s">
        <v>42</v>
      </c>
      <c r="CU298" s="35">
        <f t="shared" si="293"/>
        <v>0.16129032258064516</v>
      </c>
      <c r="CV298" s="35">
        <f t="shared" si="294"/>
        <v>0.19189765458422176</v>
      </c>
      <c r="CW298" s="35">
        <f t="shared" si="295"/>
        <v>0.84050179211469533</v>
      </c>
      <c r="CX298" s="20">
        <v>558</v>
      </c>
      <c r="CY298" s="27">
        <f t="shared" si="349"/>
        <v>89</v>
      </c>
      <c r="CZ298" s="20">
        <v>469</v>
      </c>
      <c r="DA298" s="20">
        <v>90</v>
      </c>
      <c r="DB298" s="20">
        <f t="shared" si="350"/>
        <v>379</v>
      </c>
      <c r="DC298" s="20"/>
      <c r="DD298" s="20"/>
      <c r="DE298" s="45">
        <v>2017</v>
      </c>
      <c r="DF298" s="48" t="s">
        <v>42</v>
      </c>
      <c r="DG298" s="35">
        <f t="shared" si="296"/>
        <v>0.88006111535523301</v>
      </c>
      <c r="DH298" s="35">
        <f t="shared" si="297"/>
        <v>0.9737954353338969</v>
      </c>
      <c r="DI298" s="35">
        <f t="shared" si="298"/>
        <v>0.90374331550802134</v>
      </c>
      <c r="DJ298" s="20">
        <v>1309</v>
      </c>
      <c r="DK298" s="27">
        <f t="shared" si="351"/>
        <v>126</v>
      </c>
      <c r="DL298" s="20">
        <v>1183</v>
      </c>
      <c r="DM298" s="20">
        <v>1152</v>
      </c>
      <c r="DN298" s="20">
        <f t="shared" si="352"/>
        <v>31</v>
      </c>
      <c r="DO298" s="20"/>
      <c r="DP298" s="20"/>
      <c r="DQ298" s="45"/>
      <c r="DR298" s="48"/>
      <c r="DS298" s="35"/>
      <c r="DT298" s="35"/>
      <c r="DU298" s="35"/>
      <c r="DV298" s="20"/>
      <c r="DW298" s="27"/>
      <c r="DX298" s="20"/>
      <c r="DY298" s="20"/>
      <c r="DZ298" s="20"/>
      <c r="EA298" s="27"/>
      <c r="EB298" s="27"/>
    </row>
    <row r="299" spans="1:132" s="29" customFormat="1" ht="12.75">
      <c r="A299" s="46">
        <v>2017</v>
      </c>
      <c r="B299" s="47" t="s">
        <v>43</v>
      </c>
      <c r="C299" s="35">
        <f t="shared" si="299"/>
        <v>0.80739505985755422</v>
      </c>
      <c r="D299" s="35">
        <f t="shared" si="300"/>
        <v>0.86582525323655268</v>
      </c>
      <c r="E299" s="35">
        <f t="shared" si="301"/>
        <v>0.93251502752942361</v>
      </c>
      <c r="F29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19797</v>
      </c>
      <c r="G299" s="20">
        <f t="shared" si="302"/>
        <v>1336</v>
      </c>
      <c r="H29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18461</v>
      </c>
      <c r="I29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15984</v>
      </c>
      <c r="J299" s="20">
        <f t="shared" si="303"/>
        <v>2477</v>
      </c>
      <c r="K299" s="20"/>
      <c r="L299" s="20"/>
      <c r="M299" s="46">
        <v>2017</v>
      </c>
      <c r="N299" s="47" t="s">
        <v>43</v>
      </c>
      <c r="O299" s="35">
        <f t="shared" si="276"/>
        <v>0.8497191011235955</v>
      </c>
      <c r="P299" s="35">
        <f t="shared" si="277"/>
        <v>0.86987778576563624</v>
      </c>
      <c r="Q299" s="35">
        <f t="shared" si="278"/>
        <v>0.9768258426966292</v>
      </c>
      <c r="R299" s="20">
        <v>4272</v>
      </c>
      <c r="S299" s="27">
        <f t="shared" si="339"/>
        <v>99</v>
      </c>
      <c r="T299" s="20">
        <v>4173</v>
      </c>
      <c r="U299" s="20">
        <v>3630</v>
      </c>
      <c r="V299" s="20">
        <f t="shared" si="340"/>
        <v>543</v>
      </c>
      <c r="W299" s="20"/>
      <c r="X299" s="20"/>
      <c r="Y299" s="46"/>
      <c r="Z299" s="47"/>
      <c r="AA299" s="35"/>
      <c r="AB299" s="35"/>
      <c r="AC299" s="35"/>
      <c r="AD299" s="20"/>
      <c r="AE299" s="27"/>
      <c r="AF299" s="20"/>
      <c r="AG299" s="20"/>
      <c r="AH299" s="20"/>
      <c r="AI299" s="20"/>
      <c r="AJ299" s="20"/>
      <c r="AK299" s="46">
        <v>2017</v>
      </c>
      <c r="AL299" s="47" t="s">
        <v>43</v>
      </c>
      <c r="AM299" s="35">
        <f t="shared" si="279"/>
        <v>0.91172413793103446</v>
      </c>
      <c r="AN299" s="35">
        <f t="shared" si="280"/>
        <v>0.94047901351671803</v>
      </c>
      <c r="AO299" s="35">
        <f t="shared" si="281"/>
        <v>0.96942528735632183</v>
      </c>
      <c r="AP299" s="20">
        <v>4350</v>
      </c>
      <c r="AQ299" s="27">
        <f t="shared" si="341"/>
        <v>133</v>
      </c>
      <c r="AR299" s="20">
        <v>4217</v>
      </c>
      <c r="AS299" s="20">
        <v>3966</v>
      </c>
      <c r="AT299" s="20">
        <f t="shared" si="342"/>
        <v>251</v>
      </c>
      <c r="AU299" s="20"/>
      <c r="AV299" s="20"/>
      <c r="AW299" s="46">
        <v>2017</v>
      </c>
      <c r="AX299" s="47" t="s">
        <v>43</v>
      </c>
      <c r="AY299" s="35">
        <f t="shared" si="316"/>
        <v>0.86410032079323418</v>
      </c>
      <c r="AZ299" s="35">
        <f t="shared" si="317"/>
        <v>0.91620284477427338</v>
      </c>
      <c r="BA299" s="35">
        <f t="shared" si="318"/>
        <v>0.94313210848643925</v>
      </c>
      <c r="BB299" s="20">
        <v>3429</v>
      </c>
      <c r="BC299" s="27">
        <f t="shared" si="343"/>
        <v>195</v>
      </c>
      <c r="BD299" s="20">
        <v>3234</v>
      </c>
      <c r="BE299" s="20">
        <v>2963</v>
      </c>
      <c r="BF299" s="20">
        <f t="shared" si="344"/>
        <v>271</v>
      </c>
      <c r="BG299" s="20"/>
      <c r="BH299" s="20"/>
      <c r="BI299" s="46">
        <v>2017</v>
      </c>
      <c r="BJ299" s="47" t="s">
        <v>43</v>
      </c>
      <c r="BK299" s="35">
        <f t="shared" si="282"/>
        <v>0.8667736757624398</v>
      </c>
      <c r="BL299" s="35">
        <f t="shared" si="283"/>
        <v>0.88937688718089492</v>
      </c>
      <c r="BM299" s="35">
        <f t="shared" si="284"/>
        <v>0.97458533975387907</v>
      </c>
      <c r="BN299" s="20">
        <v>3738</v>
      </c>
      <c r="BO299" s="27">
        <f t="shared" si="345"/>
        <v>95</v>
      </c>
      <c r="BP299" s="20">
        <v>3643</v>
      </c>
      <c r="BQ299" s="20">
        <v>3240</v>
      </c>
      <c r="BR299" s="20">
        <f t="shared" si="346"/>
        <v>403</v>
      </c>
      <c r="BS299" s="20"/>
      <c r="BT299" s="20"/>
      <c r="BU299" s="46">
        <v>2017</v>
      </c>
      <c r="BV299" s="47" t="s">
        <v>43</v>
      </c>
      <c r="BW299" s="35"/>
      <c r="BX299" s="35"/>
      <c r="BY299" s="35"/>
      <c r="BZ299" s="86"/>
      <c r="CA299" s="87"/>
      <c r="CB299" s="20"/>
      <c r="CC299" s="20"/>
      <c r="CD299" s="20"/>
      <c r="CE299" s="20"/>
      <c r="CF299" s="20"/>
      <c r="CG299" s="46">
        <v>2017</v>
      </c>
      <c r="CH299" s="47" t="s">
        <v>43</v>
      </c>
      <c r="CI299" s="35">
        <f t="shared" si="288"/>
        <v>0.42915531335149865</v>
      </c>
      <c r="CJ299" s="35">
        <f t="shared" si="289"/>
        <v>0.62252964426877466</v>
      </c>
      <c r="CK299" s="35">
        <f t="shared" si="290"/>
        <v>0.68937329700272476</v>
      </c>
      <c r="CL299" s="20">
        <v>2202</v>
      </c>
      <c r="CM299" s="27">
        <f t="shared" si="347"/>
        <v>684</v>
      </c>
      <c r="CN299" s="20">
        <v>1518</v>
      </c>
      <c r="CO299" s="20">
        <v>945</v>
      </c>
      <c r="CP299" s="20">
        <f t="shared" si="348"/>
        <v>573</v>
      </c>
      <c r="CQ299" s="20"/>
      <c r="CR299" s="20"/>
      <c r="CS299" s="46">
        <v>2017</v>
      </c>
      <c r="CT299" s="47" t="s">
        <v>43</v>
      </c>
      <c r="CU299" s="35">
        <f t="shared" si="293"/>
        <v>0.1111111111111111</v>
      </c>
      <c r="CV299" s="35">
        <f t="shared" si="294"/>
        <v>0.13333333333333333</v>
      </c>
      <c r="CW299" s="35">
        <f t="shared" si="295"/>
        <v>0.83333333333333337</v>
      </c>
      <c r="CX299" s="20">
        <v>540</v>
      </c>
      <c r="CY299" s="27">
        <f t="shared" si="349"/>
        <v>90</v>
      </c>
      <c r="CZ299" s="20">
        <v>450</v>
      </c>
      <c r="DA299" s="20">
        <v>60</v>
      </c>
      <c r="DB299" s="20">
        <f t="shared" si="350"/>
        <v>390</v>
      </c>
      <c r="DC299" s="20"/>
      <c r="DD299" s="20"/>
      <c r="DE299" s="46">
        <v>2017</v>
      </c>
      <c r="DF299" s="47" t="s">
        <v>43</v>
      </c>
      <c r="DG299" s="35">
        <f t="shared" si="296"/>
        <v>0.93206951026856244</v>
      </c>
      <c r="DH299" s="35">
        <f t="shared" si="297"/>
        <v>0.96247960848287117</v>
      </c>
      <c r="DI299" s="35">
        <f t="shared" si="298"/>
        <v>0.96840442338072674</v>
      </c>
      <c r="DJ299" s="20">
        <v>1266</v>
      </c>
      <c r="DK299" s="27">
        <f t="shared" si="351"/>
        <v>40</v>
      </c>
      <c r="DL299" s="20">
        <v>1226</v>
      </c>
      <c r="DM299" s="20">
        <v>1180</v>
      </c>
      <c r="DN299" s="20">
        <f t="shared" si="352"/>
        <v>46</v>
      </c>
      <c r="DO299" s="20"/>
      <c r="DP299" s="20"/>
      <c r="DQ299" s="46"/>
      <c r="DR299" s="47"/>
      <c r="DS299" s="35"/>
      <c r="DT299" s="35"/>
      <c r="DU299" s="35"/>
      <c r="DV299" s="20"/>
      <c r="DW299" s="27"/>
      <c r="DX299" s="20"/>
      <c r="DY299" s="20"/>
      <c r="DZ299" s="20"/>
      <c r="EA299" s="27"/>
      <c r="EB299" s="27"/>
    </row>
    <row r="300" spans="1:132" s="29" customFormat="1" ht="12.75">
      <c r="A300" s="45">
        <v>2017</v>
      </c>
      <c r="B300" s="48" t="s">
        <v>44</v>
      </c>
      <c r="C300" s="35">
        <f t="shared" si="299"/>
        <v>0.80293622141997589</v>
      </c>
      <c r="D300" s="35">
        <f t="shared" si="300"/>
        <v>0.86104372064213075</v>
      </c>
      <c r="E300" s="35">
        <f t="shared" si="301"/>
        <v>0.93251504211793024</v>
      </c>
      <c r="F30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20775</v>
      </c>
      <c r="G300" s="20">
        <f t="shared" si="302"/>
        <v>1402</v>
      </c>
      <c r="H30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19373</v>
      </c>
      <c r="I30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16681</v>
      </c>
      <c r="J300" s="20">
        <f t="shared" si="303"/>
        <v>2692</v>
      </c>
      <c r="K300" s="20"/>
      <c r="L300" s="20"/>
      <c r="M300" s="45">
        <v>2017</v>
      </c>
      <c r="N300" s="48" t="s">
        <v>44</v>
      </c>
      <c r="O300" s="35">
        <f t="shared" si="276"/>
        <v>0.79722159982074836</v>
      </c>
      <c r="P300" s="35">
        <f t="shared" si="277"/>
        <v>0.81195801004107715</v>
      </c>
      <c r="Q300" s="35">
        <f t="shared" si="278"/>
        <v>0.98185077302263046</v>
      </c>
      <c r="R300" s="20">
        <v>4463</v>
      </c>
      <c r="S300" s="27">
        <f t="shared" si="339"/>
        <v>81</v>
      </c>
      <c r="T300" s="20">
        <v>4382</v>
      </c>
      <c r="U300" s="20">
        <v>3558</v>
      </c>
      <c r="V300" s="20">
        <f t="shared" si="340"/>
        <v>824</v>
      </c>
      <c r="W300" s="20"/>
      <c r="X300" s="20"/>
      <c r="Y300" s="45"/>
      <c r="Z300" s="48"/>
      <c r="AA300" s="35"/>
      <c r="AB300" s="35"/>
      <c r="AC300" s="35"/>
      <c r="AD300" s="20"/>
      <c r="AE300" s="27"/>
      <c r="AF300" s="20"/>
      <c r="AG300" s="20"/>
      <c r="AH300" s="20"/>
      <c r="AI300" s="20"/>
      <c r="AJ300" s="20"/>
      <c r="AK300" s="45">
        <v>2017</v>
      </c>
      <c r="AL300" s="48" t="s">
        <v>44</v>
      </c>
      <c r="AM300" s="35">
        <f t="shared" si="279"/>
        <v>0.90630511463844798</v>
      </c>
      <c r="AN300" s="35">
        <f t="shared" si="280"/>
        <v>0.92610948411804461</v>
      </c>
      <c r="AO300" s="35">
        <f t="shared" si="281"/>
        <v>0.9786155202821869</v>
      </c>
      <c r="AP300" s="20">
        <v>4536</v>
      </c>
      <c r="AQ300" s="27">
        <f t="shared" si="341"/>
        <v>97</v>
      </c>
      <c r="AR300" s="20">
        <v>4439</v>
      </c>
      <c r="AS300" s="20">
        <v>4111</v>
      </c>
      <c r="AT300" s="20">
        <f t="shared" si="342"/>
        <v>328</v>
      </c>
      <c r="AU300" s="20"/>
      <c r="AV300" s="20"/>
      <c r="AW300" s="45">
        <v>2017</v>
      </c>
      <c r="AX300" s="48" t="s">
        <v>44</v>
      </c>
      <c r="AY300" s="35">
        <f t="shared" si="316"/>
        <v>0.88661459736062487</v>
      </c>
      <c r="AZ300" s="35">
        <f t="shared" si="317"/>
        <v>0.93575895395110853</v>
      </c>
      <c r="BA300" s="35">
        <f t="shared" si="318"/>
        <v>0.94748182063021813</v>
      </c>
      <c r="BB300" s="20">
        <v>3713</v>
      </c>
      <c r="BC300" s="27">
        <f t="shared" si="343"/>
        <v>195</v>
      </c>
      <c r="BD300" s="20">
        <v>3518</v>
      </c>
      <c r="BE300" s="20">
        <v>3292</v>
      </c>
      <c r="BF300" s="20">
        <f t="shared" si="344"/>
        <v>226</v>
      </c>
      <c r="BG300" s="20"/>
      <c r="BH300" s="20"/>
      <c r="BI300" s="45">
        <v>2017</v>
      </c>
      <c r="BJ300" s="48" t="s">
        <v>44</v>
      </c>
      <c r="BK300" s="35">
        <f t="shared" si="282"/>
        <v>0.85973893012541591</v>
      </c>
      <c r="BL300" s="35">
        <f t="shared" si="283"/>
        <v>0.89525586353944564</v>
      </c>
      <c r="BM300" s="35">
        <f t="shared" si="284"/>
        <v>0.96032761709751724</v>
      </c>
      <c r="BN300" s="20">
        <v>3907</v>
      </c>
      <c r="BO300" s="27">
        <f t="shared" si="345"/>
        <v>155</v>
      </c>
      <c r="BP300" s="20">
        <v>3752</v>
      </c>
      <c r="BQ300" s="20">
        <v>3359</v>
      </c>
      <c r="BR300" s="20">
        <f t="shared" si="346"/>
        <v>393</v>
      </c>
      <c r="BS300" s="20"/>
      <c r="BT300" s="20"/>
      <c r="BU300" s="45">
        <v>2017</v>
      </c>
      <c r="BV300" s="48" t="s">
        <v>44</v>
      </c>
      <c r="BW300" s="35"/>
      <c r="BX300" s="35"/>
      <c r="BY300" s="35"/>
      <c r="BZ300" s="86"/>
      <c r="CA300" s="87"/>
      <c r="CB300" s="20"/>
      <c r="CC300" s="20"/>
      <c r="CD300" s="20"/>
      <c r="CE300" s="20"/>
      <c r="CF300" s="20"/>
      <c r="CG300" s="45">
        <v>2017</v>
      </c>
      <c r="CH300" s="48" t="s">
        <v>44</v>
      </c>
      <c r="CI300" s="35">
        <f t="shared" si="288"/>
        <v>0.45776805251641139</v>
      </c>
      <c r="CJ300" s="35">
        <f t="shared" si="289"/>
        <v>0.65252651278852147</v>
      </c>
      <c r="CK300" s="35">
        <f t="shared" si="290"/>
        <v>0.70153172866520785</v>
      </c>
      <c r="CL300" s="20">
        <v>2285</v>
      </c>
      <c r="CM300" s="27">
        <f t="shared" si="347"/>
        <v>682</v>
      </c>
      <c r="CN300" s="20">
        <v>1603</v>
      </c>
      <c r="CO300" s="20">
        <v>1046</v>
      </c>
      <c r="CP300" s="20">
        <f t="shared" si="348"/>
        <v>557</v>
      </c>
      <c r="CQ300" s="20"/>
      <c r="CR300" s="20"/>
      <c r="CS300" s="45">
        <v>2017</v>
      </c>
      <c r="CT300" s="48" t="s">
        <v>44</v>
      </c>
      <c r="CU300" s="35">
        <f t="shared" si="293"/>
        <v>0.16666666666666666</v>
      </c>
      <c r="CV300" s="35">
        <f t="shared" si="294"/>
        <v>0.21933962264150944</v>
      </c>
      <c r="CW300" s="35">
        <f t="shared" si="295"/>
        <v>0.75985663082437271</v>
      </c>
      <c r="CX300" s="20">
        <v>558</v>
      </c>
      <c r="CY300" s="27">
        <f t="shared" si="349"/>
        <v>134</v>
      </c>
      <c r="CZ300" s="20">
        <v>424</v>
      </c>
      <c r="DA300" s="20">
        <v>93</v>
      </c>
      <c r="DB300" s="20">
        <f t="shared" si="350"/>
        <v>331</v>
      </c>
      <c r="DC300" s="20"/>
      <c r="DD300" s="20"/>
      <c r="DE300" s="45">
        <v>2017</v>
      </c>
      <c r="DF300" s="48" t="s">
        <v>44</v>
      </c>
      <c r="DG300" s="35">
        <f t="shared" si="296"/>
        <v>0.93069306930693074</v>
      </c>
      <c r="DH300" s="35">
        <f t="shared" si="297"/>
        <v>0.97370517928286848</v>
      </c>
      <c r="DI300" s="35">
        <f t="shared" si="298"/>
        <v>0.95582635186595588</v>
      </c>
      <c r="DJ300" s="20">
        <v>1313</v>
      </c>
      <c r="DK300" s="27">
        <f t="shared" si="351"/>
        <v>58</v>
      </c>
      <c r="DL300" s="20">
        <v>1255</v>
      </c>
      <c r="DM300" s="20">
        <v>1222</v>
      </c>
      <c r="DN300" s="20">
        <f t="shared" si="352"/>
        <v>33</v>
      </c>
      <c r="DO300" s="20"/>
      <c r="DP300" s="20"/>
      <c r="DQ300" s="45"/>
      <c r="DR300" s="48"/>
      <c r="DS300" s="35"/>
      <c r="DT300" s="35"/>
      <c r="DU300" s="35"/>
      <c r="DV300" s="20"/>
      <c r="DW300" s="27"/>
      <c r="DX300" s="20"/>
      <c r="DY300" s="20"/>
      <c r="DZ300" s="20"/>
      <c r="EA300" s="27"/>
      <c r="EB300" s="27"/>
    </row>
    <row r="301" spans="1:132" s="29" customFormat="1" ht="12.75">
      <c r="A301" s="46">
        <v>2017</v>
      </c>
      <c r="B301" s="47" t="s">
        <v>45</v>
      </c>
      <c r="C301" s="35">
        <f t="shared" si="299"/>
        <v>0.84656033820138354</v>
      </c>
      <c r="D301" s="35">
        <f t="shared" si="300"/>
        <v>0.90327541134860834</v>
      </c>
      <c r="E301" s="35">
        <f t="shared" si="301"/>
        <v>0.9372117601844735</v>
      </c>
      <c r="F30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20816</v>
      </c>
      <c r="G301" s="20">
        <f t="shared" si="302"/>
        <v>1307</v>
      </c>
      <c r="H30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19509</v>
      </c>
      <c r="I30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17622</v>
      </c>
      <c r="J301" s="20">
        <f t="shared" si="303"/>
        <v>1887</v>
      </c>
      <c r="K301" s="20"/>
      <c r="L301" s="20"/>
      <c r="M301" s="46">
        <v>2017</v>
      </c>
      <c r="N301" s="47" t="s">
        <v>45</v>
      </c>
      <c r="O301" s="35">
        <f t="shared" si="276"/>
        <v>0.90069180986386965</v>
      </c>
      <c r="P301" s="35">
        <f t="shared" si="277"/>
        <v>0.90757814256802338</v>
      </c>
      <c r="Q301" s="35">
        <f t="shared" si="278"/>
        <v>0.99241240794465524</v>
      </c>
      <c r="R301" s="20">
        <v>4481</v>
      </c>
      <c r="S301" s="27">
        <f t="shared" si="339"/>
        <v>34</v>
      </c>
      <c r="T301" s="20">
        <v>4447</v>
      </c>
      <c r="U301" s="20">
        <v>4036</v>
      </c>
      <c r="V301" s="20">
        <f t="shared" si="340"/>
        <v>411</v>
      </c>
      <c r="W301" s="20"/>
      <c r="X301" s="20"/>
      <c r="Y301" s="46"/>
      <c r="Z301" s="47"/>
      <c r="AA301" s="35"/>
      <c r="AB301" s="35"/>
      <c r="AC301" s="35"/>
      <c r="AD301" s="20"/>
      <c r="AE301" s="27"/>
      <c r="AF301" s="20"/>
      <c r="AG301" s="20"/>
      <c r="AH301" s="20"/>
      <c r="AI301" s="20"/>
      <c r="AJ301" s="20"/>
      <c r="AK301" s="46">
        <v>2017</v>
      </c>
      <c r="AL301" s="47" t="s">
        <v>45</v>
      </c>
      <c r="AM301" s="35">
        <f t="shared" si="279"/>
        <v>0.95129442738043002</v>
      </c>
      <c r="AN301" s="35">
        <f t="shared" si="280"/>
        <v>0.96677814938684503</v>
      </c>
      <c r="AO301" s="35">
        <f t="shared" si="281"/>
        <v>0.98398420359806937</v>
      </c>
      <c r="AP301" s="20">
        <v>4558</v>
      </c>
      <c r="AQ301" s="27">
        <f t="shared" si="341"/>
        <v>73</v>
      </c>
      <c r="AR301" s="20">
        <v>4485</v>
      </c>
      <c r="AS301" s="20">
        <v>4336</v>
      </c>
      <c r="AT301" s="20">
        <f t="shared" si="342"/>
        <v>149</v>
      </c>
      <c r="AU301" s="20"/>
      <c r="AV301" s="20"/>
      <c r="AW301" s="46">
        <v>2017</v>
      </c>
      <c r="AX301" s="47" t="s">
        <v>45</v>
      </c>
      <c r="AY301" s="35">
        <f t="shared" si="316"/>
        <v>0.89903069466882068</v>
      </c>
      <c r="AZ301" s="35">
        <f t="shared" si="317"/>
        <v>0.95372750642673521</v>
      </c>
      <c r="BA301" s="35">
        <f t="shared" si="318"/>
        <v>0.9426494345718901</v>
      </c>
      <c r="BB301" s="20">
        <v>3714</v>
      </c>
      <c r="BC301" s="27">
        <f t="shared" si="343"/>
        <v>213</v>
      </c>
      <c r="BD301" s="20">
        <v>3501</v>
      </c>
      <c r="BE301" s="20">
        <v>3339</v>
      </c>
      <c r="BF301" s="20">
        <f t="shared" si="344"/>
        <v>162</v>
      </c>
      <c r="BG301" s="20"/>
      <c r="BH301" s="20"/>
      <c r="BI301" s="46">
        <v>2017</v>
      </c>
      <c r="BJ301" s="47" t="s">
        <v>45</v>
      </c>
      <c r="BK301" s="35">
        <f t="shared" si="282"/>
        <v>0.89403634502175577</v>
      </c>
      <c r="BL301" s="35">
        <f t="shared" si="283"/>
        <v>0.9287423557564477</v>
      </c>
      <c r="BM301" s="35">
        <f t="shared" si="284"/>
        <v>0.96263117481443561</v>
      </c>
      <c r="BN301" s="20">
        <v>3907</v>
      </c>
      <c r="BO301" s="27">
        <f t="shared" si="345"/>
        <v>146</v>
      </c>
      <c r="BP301" s="20">
        <v>3761</v>
      </c>
      <c r="BQ301" s="20">
        <v>3493</v>
      </c>
      <c r="BR301" s="20">
        <f t="shared" si="346"/>
        <v>268</v>
      </c>
      <c r="BS301" s="20"/>
      <c r="BT301" s="20"/>
      <c r="BU301" s="46">
        <v>2017</v>
      </c>
      <c r="BV301" s="47" t="s">
        <v>45</v>
      </c>
      <c r="BW301" s="35"/>
      <c r="BX301" s="35"/>
      <c r="BY301" s="35"/>
      <c r="BZ301" s="86"/>
      <c r="CA301" s="87"/>
      <c r="CB301" s="20"/>
      <c r="CC301" s="20"/>
      <c r="CD301" s="20"/>
      <c r="CE301" s="20"/>
      <c r="CF301" s="20"/>
      <c r="CG301" s="46">
        <v>2017</v>
      </c>
      <c r="CH301" s="47" t="s">
        <v>45</v>
      </c>
      <c r="CI301" s="35">
        <f t="shared" si="288"/>
        <v>0.48227571115973744</v>
      </c>
      <c r="CJ301" s="35">
        <f t="shared" si="289"/>
        <v>0.66990881458966567</v>
      </c>
      <c r="CK301" s="35">
        <f t="shared" si="290"/>
        <v>0.71991247264770242</v>
      </c>
      <c r="CL301" s="20">
        <v>2285</v>
      </c>
      <c r="CM301" s="27">
        <f t="shared" si="347"/>
        <v>640</v>
      </c>
      <c r="CN301" s="20">
        <v>1645</v>
      </c>
      <c r="CO301" s="20">
        <v>1102</v>
      </c>
      <c r="CP301" s="20">
        <f t="shared" si="348"/>
        <v>543</v>
      </c>
      <c r="CQ301" s="20"/>
      <c r="CR301" s="20"/>
      <c r="CS301" s="46">
        <v>2017</v>
      </c>
      <c r="CT301" s="47" t="s">
        <v>45</v>
      </c>
      <c r="CU301" s="35">
        <f t="shared" si="293"/>
        <v>0.17204301075268819</v>
      </c>
      <c r="CV301" s="35">
        <f t="shared" si="294"/>
        <v>0.22911694510739858</v>
      </c>
      <c r="CW301" s="35">
        <f t="shared" si="295"/>
        <v>0.75089605734767029</v>
      </c>
      <c r="CX301" s="20">
        <v>558</v>
      </c>
      <c r="CY301" s="27">
        <f t="shared" si="349"/>
        <v>139</v>
      </c>
      <c r="CZ301" s="20">
        <v>419</v>
      </c>
      <c r="DA301" s="20">
        <v>96</v>
      </c>
      <c r="DB301" s="20">
        <f t="shared" si="350"/>
        <v>323</v>
      </c>
      <c r="DC301" s="20"/>
      <c r="DD301" s="20"/>
      <c r="DE301" s="46">
        <v>2017</v>
      </c>
      <c r="DF301" s="47" t="s">
        <v>45</v>
      </c>
      <c r="DG301" s="35">
        <f t="shared" si="296"/>
        <v>0.92916984006092918</v>
      </c>
      <c r="DH301" s="35">
        <f t="shared" si="297"/>
        <v>0.97521982414068742</v>
      </c>
      <c r="DI301" s="35">
        <f t="shared" si="298"/>
        <v>0.95277989337395275</v>
      </c>
      <c r="DJ301" s="20">
        <v>1313</v>
      </c>
      <c r="DK301" s="27">
        <f t="shared" si="351"/>
        <v>62</v>
      </c>
      <c r="DL301" s="20">
        <v>1251</v>
      </c>
      <c r="DM301" s="20">
        <v>1220</v>
      </c>
      <c r="DN301" s="20">
        <f t="shared" si="352"/>
        <v>31</v>
      </c>
      <c r="DO301" s="20"/>
      <c r="DP301" s="20"/>
      <c r="DQ301" s="46"/>
      <c r="DR301" s="47"/>
      <c r="DS301" s="35"/>
      <c r="DT301" s="35"/>
      <c r="DU301" s="35"/>
      <c r="DV301" s="20"/>
      <c r="DW301" s="27"/>
      <c r="DX301" s="20"/>
      <c r="DY301" s="20"/>
      <c r="DZ301" s="20"/>
      <c r="EA301" s="27"/>
      <c r="EB301" s="27"/>
    </row>
    <row r="302" spans="1:132" s="29" customFormat="1" ht="12.75">
      <c r="A302" s="45">
        <v>2017</v>
      </c>
      <c r="B302" s="48" t="s">
        <v>46</v>
      </c>
      <c r="C302" s="35">
        <f t="shared" si="299"/>
        <v>0.83901840490797541</v>
      </c>
      <c r="D302" s="35">
        <f t="shared" si="300"/>
        <v>0.91008304940374785</v>
      </c>
      <c r="E302" s="35">
        <f t="shared" si="301"/>
        <v>0.92191411042944782</v>
      </c>
      <c r="F30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G302" s="20">
        <f t="shared" si="302"/>
        <v>1591</v>
      </c>
      <c r="H30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18784</v>
      </c>
      <c r="I30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17095</v>
      </c>
      <c r="J302" s="20">
        <f t="shared" si="303"/>
        <v>1689</v>
      </c>
      <c r="K302" s="20"/>
      <c r="L302" s="20"/>
      <c r="M302" s="45">
        <v>2017</v>
      </c>
      <c r="N302" s="48" t="s">
        <v>46</v>
      </c>
      <c r="O302" s="35">
        <f t="shared" si="276"/>
        <v>0.89346136259716502</v>
      </c>
      <c r="P302" s="35">
        <f t="shared" si="277"/>
        <v>0.90989522700814907</v>
      </c>
      <c r="Q302" s="35">
        <f t="shared" si="278"/>
        <v>0.98193872885230915</v>
      </c>
      <c r="R302" s="20">
        <v>4374</v>
      </c>
      <c r="S302" s="27">
        <f t="shared" si="339"/>
        <v>79</v>
      </c>
      <c r="T302" s="20">
        <v>4295</v>
      </c>
      <c r="U302" s="20">
        <v>3908</v>
      </c>
      <c r="V302" s="20">
        <f t="shared" si="340"/>
        <v>387</v>
      </c>
      <c r="W302" s="20"/>
      <c r="X302" s="20"/>
      <c r="Y302" s="45"/>
      <c r="Z302" s="48"/>
      <c r="AA302" s="35"/>
      <c r="AB302" s="35"/>
      <c r="AC302" s="35"/>
      <c r="AD302" s="20"/>
      <c r="AE302" s="27"/>
      <c r="AF302" s="20"/>
      <c r="AG302" s="20"/>
      <c r="AH302" s="20"/>
      <c r="AI302" s="20"/>
      <c r="AJ302" s="20"/>
      <c r="AK302" s="45">
        <v>2017</v>
      </c>
      <c r="AL302" s="48" t="s">
        <v>46</v>
      </c>
      <c r="AM302" s="35">
        <f t="shared" si="279"/>
        <v>0.95229522952295231</v>
      </c>
      <c r="AN302" s="35">
        <f t="shared" si="280"/>
        <v>0.97041962852556751</v>
      </c>
      <c r="AO302" s="35">
        <f t="shared" si="281"/>
        <v>0.98132313231323132</v>
      </c>
      <c r="AP302" s="20">
        <v>4444</v>
      </c>
      <c r="AQ302" s="27">
        <f t="shared" si="341"/>
        <v>83</v>
      </c>
      <c r="AR302" s="20">
        <v>4361</v>
      </c>
      <c r="AS302" s="20">
        <v>4232</v>
      </c>
      <c r="AT302" s="20">
        <f t="shared" si="342"/>
        <v>129</v>
      </c>
      <c r="AU302" s="20"/>
      <c r="AV302" s="20"/>
      <c r="AW302" s="45">
        <v>2017</v>
      </c>
      <c r="AX302" s="48" t="s">
        <v>46</v>
      </c>
      <c r="AY302" s="35">
        <f t="shared" si="316"/>
        <v>0.82897926205224881</v>
      </c>
      <c r="AZ302" s="35">
        <f t="shared" si="317"/>
        <v>0.94330370824394727</v>
      </c>
      <c r="BA302" s="35">
        <f t="shared" si="318"/>
        <v>0.87880420145434957</v>
      </c>
      <c r="BB302" s="20">
        <v>3713</v>
      </c>
      <c r="BC302" s="27">
        <f t="shared" si="343"/>
        <v>450</v>
      </c>
      <c r="BD302" s="20">
        <v>3263</v>
      </c>
      <c r="BE302" s="20">
        <v>3078</v>
      </c>
      <c r="BF302" s="20">
        <f t="shared" si="344"/>
        <v>185</v>
      </c>
      <c r="BG302" s="20"/>
      <c r="BH302" s="20"/>
      <c r="BI302" s="45">
        <v>2017</v>
      </c>
      <c r="BJ302" s="48" t="s">
        <v>46</v>
      </c>
      <c r="BK302" s="35">
        <f t="shared" si="282"/>
        <v>0.90608604407135362</v>
      </c>
      <c r="BL302" s="35">
        <f t="shared" si="283"/>
        <v>0.94217130387343151</v>
      </c>
      <c r="BM302" s="35">
        <f t="shared" si="284"/>
        <v>0.96169989506820563</v>
      </c>
      <c r="BN302" s="20">
        <v>3812</v>
      </c>
      <c r="BO302" s="27">
        <f t="shared" si="345"/>
        <v>146</v>
      </c>
      <c r="BP302" s="20">
        <v>3666</v>
      </c>
      <c r="BQ302" s="20">
        <v>3454</v>
      </c>
      <c r="BR302" s="20">
        <f t="shared" si="346"/>
        <v>212</v>
      </c>
      <c r="BS302" s="20"/>
      <c r="BT302" s="20"/>
      <c r="BU302" s="45">
        <v>2017</v>
      </c>
      <c r="BV302" s="48" t="s">
        <v>46</v>
      </c>
      <c r="BW302" s="35"/>
      <c r="BX302" s="35"/>
      <c r="BY302" s="35"/>
      <c r="BZ302" s="86"/>
      <c r="CA302" s="87"/>
      <c r="CB302" s="20"/>
      <c r="CC302" s="20"/>
      <c r="CD302" s="20"/>
      <c r="CE302" s="20"/>
      <c r="CF302" s="20"/>
      <c r="CG302" s="45">
        <v>2017</v>
      </c>
      <c r="CH302" s="48" t="s">
        <v>46</v>
      </c>
      <c r="CI302" s="35">
        <f t="shared" si="288"/>
        <v>0.52840396753832286</v>
      </c>
      <c r="CJ302" s="35">
        <f t="shared" si="289"/>
        <v>0.7297633872976339</v>
      </c>
      <c r="CK302" s="35">
        <f t="shared" si="290"/>
        <v>0.72407574391343554</v>
      </c>
      <c r="CL302" s="20">
        <v>2218</v>
      </c>
      <c r="CM302" s="27">
        <f t="shared" si="347"/>
        <v>612</v>
      </c>
      <c r="CN302" s="20">
        <v>1606</v>
      </c>
      <c r="CO302" s="20">
        <v>1172</v>
      </c>
      <c r="CP302" s="20">
        <f t="shared" si="348"/>
        <v>434</v>
      </c>
      <c r="CQ302" s="20"/>
      <c r="CR302" s="20"/>
      <c r="CS302" s="45">
        <v>2017</v>
      </c>
      <c r="CT302" s="48" t="s">
        <v>46</v>
      </c>
      <c r="CU302" s="35">
        <f t="shared" si="293"/>
        <v>0.15185185185185185</v>
      </c>
      <c r="CV302" s="35">
        <f t="shared" si="294"/>
        <v>0.21188630490956073</v>
      </c>
      <c r="CW302" s="35">
        <f t="shared" si="295"/>
        <v>0.71666666666666667</v>
      </c>
      <c r="CX302" s="20">
        <v>540</v>
      </c>
      <c r="CY302" s="27">
        <f t="shared" si="349"/>
        <v>153</v>
      </c>
      <c r="CZ302" s="20">
        <v>387</v>
      </c>
      <c r="DA302" s="20">
        <v>82</v>
      </c>
      <c r="DB302" s="20">
        <f t="shared" si="350"/>
        <v>305</v>
      </c>
      <c r="DC302" s="20"/>
      <c r="DD302" s="20"/>
      <c r="DE302" s="45">
        <v>2017</v>
      </c>
      <c r="DF302" s="48" t="s">
        <v>46</v>
      </c>
      <c r="DG302" s="35">
        <f t="shared" si="296"/>
        <v>0.91758241758241754</v>
      </c>
      <c r="DH302" s="35">
        <f t="shared" si="297"/>
        <v>0.96932006633499168</v>
      </c>
      <c r="DI302" s="35">
        <f t="shared" si="298"/>
        <v>0.94662480376766089</v>
      </c>
      <c r="DJ302" s="20">
        <v>1274</v>
      </c>
      <c r="DK302" s="27">
        <f t="shared" si="351"/>
        <v>68</v>
      </c>
      <c r="DL302" s="20">
        <v>1206</v>
      </c>
      <c r="DM302" s="20">
        <v>1169</v>
      </c>
      <c r="DN302" s="20">
        <f t="shared" si="352"/>
        <v>37</v>
      </c>
      <c r="DO302" s="20"/>
      <c r="DP302" s="20"/>
      <c r="DQ302" s="45"/>
      <c r="DR302" s="48"/>
      <c r="DS302" s="35"/>
      <c r="DT302" s="35"/>
      <c r="DU302" s="35"/>
      <c r="DV302" s="20"/>
      <c r="DW302" s="27"/>
      <c r="DX302" s="20"/>
      <c r="DY302" s="20"/>
      <c r="DZ302" s="20"/>
      <c r="EA302" s="27"/>
      <c r="EB302" s="27"/>
    </row>
    <row r="303" spans="1:132" s="29" customFormat="1" ht="12.75">
      <c r="A303" s="46">
        <v>2017</v>
      </c>
      <c r="B303" s="47" t="s">
        <v>47</v>
      </c>
      <c r="C303" s="35">
        <f t="shared" si="299"/>
        <v>0.85884662576687121</v>
      </c>
      <c r="D303" s="35">
        <f t="shared" si="300"/>
        <v>0.91998317648914363</v>
      </c>
      <c r="E303" s="35">
        <f t="shared" si="301"/>
        <v>0.93354601226993861</v>
      </c>
      <c r="F30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G303" s="20">
        <f t="shared" si="302"/>
        <v>1354</v>
      </c>
      <c r="H30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19021</v>
      </c>
      <c r="I30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17499</v>
      </c>
      <c r="J303" s="20">
        <f t="shared" si="303"/>
        <v>1522</v>
      </c>
      <c r="K303" s="20"/>
      <c r="L303" s="20"/>
      <c r="M303" s="46">
        <v>2017</v>
      </c>
      <c r="N303" s="47" t="s">
        <v>47</v>
      </c>
      <c r="O303" s="35">
        <f t="shared" si="276"/>
        <v>0.86193252811328613</v>
      </c>
      <c r="P303" s="35">
        <f t="shared" si="277"/>
        <v>0.91047074351077872</v>
      </c>
      <c r="Q303" s="35">
        <f t="shared" si="278"/>
        <v>0.94668887963348602</v>
      </c>
      <c r="R303" s="20">
        <v>4802</v>
      </c>
      <c r="S303" s="27">
        <f t="shared" si="339"/>
        <v>256</v>
      </c>
      <c r="T303" s="20">
        <v>4546</v>
      </c>
      <c r="U303" s="20">
        <v>4139</v>
      </c>
      <c r="V303" s="20">
        <f t="shared" si="340"/>
        <v>407</v>
      </c>
      <c r="W303" s="20"/>
      <c r="X303" s="20"/>
      <c r="Y303" s="46"/>
      <c r="Z303" s="47"/>
      <c r="AA303" s="35"/>
      <c r="AB303" s="35"/>
      <c r="AC303" s="35"/>
      <c r="AD303" s="20"/>
      <c r="AE303" s="27"/>
      <c r="AF303" s="20"/>
      <c r="AG303" s="20"/>
      <c r="AH303" s="20"/>
      <c r="AI303" s="20"/>
      <c r="AJ303" s="20"/>
      <c r="AK303" s="46">
        <v>2017</v>
      </c>
      <c r="AL303" s="47" t="s">
        <v>47</v>
      </c>
      <c r="AM303" s="35">
        <f t="shared" si="279"/>
        <v>0.93398101126076394</v>
      </c>
      <c r="AN303" s="35">
        <f t="shared" si="280"/>
        <v>0.96487226277372262</v>
      </c>
      <c r="AO303" s="35">
        <f t="shared" si="281"/>
        <v>0.96798410245087219</v>
      </c>
      <c r="AP303" s="20">
        <v>4529</v>
      </c>
      <c r="AQ303" s="27">
        <f t="shared" si="341"/>
        <v>145</v>
      </c>
      <c r="AR303" s="20">
        <v>4384</v>
      </c>
      <c r="AS303" s="20">
        <v>4230</v>
      </c>
      <c r="AT303" s="20">
        <f t="shared" si="342"/>
        <v>154</v>
      </c>
      <c r="AU303" s="20"/>
      <c r="AV303" s="20"/>
      <c r="AW303" s="46">
        <v>2017</v>
      </c>
      <c r="AX303" s="47" t="s">
        <v>47</v>
      </c>
      <c r="AY303" s="35">
        <f t="shared" si="316"/>
        <v>0.81220423412204235</v>
      </c>
      <c r="AZ303" s="35">
        <f t="shared" si="317"/>
        <v>0.86659580122242896</v>
      </c>
      <c r="BA303" s="35">
        <f t="shared" si="318"/>
        <v>0.93723536737235369</v>
      </c>
      <c r="BB303" s="20">
        <v>4015</v>
      </c>
      <c r="BC303" s="27">
        <f t="shared" si="343"/>
        <v>252</v>
      </c>
      <c r="BD303" s="20">
        <v>3763</v>
      </c>
      <c r="BE303" s="20">
        <v>3261</v>
      </c>
      <c r="BF303" s="20">
        <f t="shared" si="344"/>
        <v>502</v>
      </c>
      <c r="BG303" s="90" t="s">
        <v>60</v>
      </c>
      <c r="BH303" s="20"/>
      <c r="BI303" s="46">
        <v>2017</v>
      </c>
      <c r="BJ303" s="47" t="s">
        <v>47</v>
      </c>
      <c r="BK303" s="35">
        <f t="shared" si="282"/>
        <v>0.80741316744427161</v>
      </c>
      <c r="BL303" s="35">
        <f t="shared" si="283"/>
        <v>0.91322192905306365</v>
      </c>
      <c r="BM303" s="35">
        <f t="shared" si="284"/>
        <v>0.88413685847589429</v>
      </c>
      <c r="BN303" s="20">
        <v>3858</v>
      </c>
      <c r="BO303" s="27">
        <f t="shared" si="345"/>
        <v>447</v>
      </c>
      <c r="BP303" s="20">
        <v>3411</v>
      </c>
      <c r="BQ303" s="20">
        <v>3115</v>
      </c>
      <c r="BR303" s="20">
        <f t="shared" si="346"/>
        <v>296</v>
      </c>
      <c r="BS303" s="90" t="s">
        <v>65</v>
      </c>
      <c r="BT303" s="20"/>
      <c r="BU303" s="46">
        <v>2017</v>
      </c>
      <c r="BV303" s="47" t="s">
        <v>47</v>
      </c>
      <c r="BW303" s="35"/>
      <c r="BX303" s="35"/>
      <c r="BY303" s="35"/>
      <c r="BZ303" s="86"/>
      <c r="CA303" s="87"/>
      <c r="CB303" s="20"/>
      <c r="CC303" s="20"/>
      <c r="CD303" s="20"/>
      <c r="CE303" s="20"/>
      <c r="CF303" s="20"/>
      <c r="CG303" s="46">
        <v>2017</v>
      </c>
      <c r="CH303" s="47" t="s">
        <v>47</v>
      </c>
      <c r="CI303" s="35">
        <f t="shared" si="288"/>
        <v>0.88782051282051277</v>
      </c>
      <c r="CJ303" s="35">
        <f t="shared" si="289"/>
        <v>0.92719665271966523</v>
      </c>
      <c r="CK303" s="35">
        <f t="shared" si="290"/>
        <v>0.95753205128205132</v>
      </c>
      <c r="CL303" s="20">
        <v>1248</v>
      </c>
      <c r="CM303" s="27">
        <f t="shared" si="347"/>
        <v>53</v>
      </c>
      <c r="CN303" s="20">
        <v>1195</v>
      </c>
      <c r="CO303" s="20">
        <v>1108</v>
      </c>
      <c r="CP303" s="20">
        <f t="shared" si="348"/>
        <v>87</v>
      </c>
      <c r="CQ303" s="90" t="s">
        <v>99</v>
      </c>
      <c r="CR303" s="20"/>
      <c r="CS303" s="46">
        <v>2017</v>
      </c>
      <c r="CT303" s="47" t="s">
        <v>47</v>
      </c>
      <c r="CU303" s="35">
        <f t="shared" si="293"/>
        <v>0.76384364820846906</v>
      </c>
      <c r="CV303" s="35">
        <f t="shared" si="294"/>
        <v>0.91423001949317739</v>
      </c>
      <c r="CW303" s="35">
        <f t="shared" si="295"/>
        <v>0.83550488599348538</v>
      </c>
      <c r="CX303" s="20">
        <v>614</v>
      </c>
      <c r="CY303" s="27">
        <f t="shared" si="349"/>
        <v>101</v>
      </c>
      <c r="CZ303" s="20">
        <v>513</v>
      </c>
      <c r="DA303" s="20">
        <v>469</v>
      </c>
      <c r="DB303" s="20">
        <f t="shared" si="350"/>
        <v>44</v>
      </c>
      <c r="DC303" s="20"/>
      <c r="DD303" s="20"/>
      <c r="DE303" s="46">
        <v>2017</v>
      </c>
      <c r="DF303" s="47" t="s">
        <v>47</v>
      </c>
      <c r="DG303" s="35">
        <f t="shared" si="296"/>
        <v>0.89915966386554624</v>
      </c>
      <c r="DH303" s="35">
        <f t="shared" si="297"/>
        <v>0.97353184449958641</v>
      </c>
      <c r="DI303" s="35">
        <f t="shared" si="298"/>
        <v>0.92360580595874708</v>
      </c>
      <c r="DJ303" s="20">
        <v>1309</v>
      </c>
      <c r="DK303" s="27">
        <f t="shared" si="351"/>
        <v>100</v>
      </c>
      <c r="DL303" s="20">
        <v>1209</v>
      </c>
      <c r="DM303" s="20">
        <v>1177</v>
      </c>
      <c r="DN303" s="20">
        <f t="shared" si="352"/>
        <v>32</v>
      </c>
      <c r="DO303" s="20"/>
      <c r="DP303" s="20"/>
      <c r="DQ303" s="46"/>
      <c r="DR303" s="47"/>
      <c r="DS303" s="35"/>
      <c r="DT303" s="35"/>
      <c r="DU303" s="35"/>
      <c r="DV303" s="20"/>
      <c r="DW303" s="27"/>
      <c r="DX303" s="20"/>
      <c r="DY303" s="20"/>
      <c r="DZ303" s="20"/>
      <c r="EA303" s="27"/>
      <c r="EB303" s="27"/>
    </row>
    <row r="304" spans="1:132" s="29" customFormat="1" ht="12.75">
      <c r="A304" s="45">
        <v>2017</v>
      </c>
      <c r="B304" s="48" t="s">
        <v>48</v>
      </c>
      <c r="C304" s="35">
        <f t="shared" si="299"/>
        <v>0.894425550791069</v>
      </c>
      <c r="D304" s="35">
        <f t="shared" si="300"/>
        <v>0.92980478557155299</v>
      </c>
      <c r="E304" s="35">
        <f t="shared" si="301"/>
        <v>0.96194982502834048</v>
      </c>
      <c r="F30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20289</v>
      </c>
      <c r="G304" s="20">
        <f t="shared" si="302"/>
        <v>772</v>
      </c>
      <c r="H30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19517</v>
      </c>
      <c r="I30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18147</v>
      </c>
      <c r="J304" s="20">
        <f t="shared" si="303"/>
        <v>1370</v>
      </c>
      <c r="K304" s="20"/>
      <c r="L304" s="20"/>
      <c r="M304" s="45">
        <v>2017</v>
      </c>
      <c r="N304" s="48" t="s">
        <v>48</v>
      </c>
      <c r="O304" s="35">
        <f t="shared" si="276"/>
        <v>0.89187086736678334</v>
      </c>
      <c r="P304" s="35">
        <f t="shared" si="277"/>
        <v>0.90829867300455536</v>
      </c>
      <c r="Q304" s="35">
        <f t="shared" si="278"/>
        <v>0.98191365227537919</v>
      </c>
      <c r="R304" s="20">
        <v>5142</v>
      </c>
      <c r="S304" s="27">
        <f t="shared" si="339"/>
        <v>93</v>
      </c>
      <c r="T304" s="20">
        <v>5049</v>
      </c>
      <c r="U304" s="20">
        <v>4586</v>
      </c>
      <c r="V304" s="20">
        <f t="shared" si="340"/>
        <v>463</v>
      </c>
      <c r="W304" s="20"/>
      <c r="X304" s="20"/>
      <c r="Y304" s="45"/>
      <c r="Z304" s="48"/>
      <c r="AA304" s="35"/>
      <c r="AB304" s="35"/>
      <c r="AC304" s="35"/>
      <c r="AD304" s="20"/>
      <c r="AE304" s="27"/>
      <c r="AF304" s="20"/>
      <c r="AG304" s="20"/>
      <c r="AH304" s="20"/>
      <c r="AI304" s="20"/>
      <c r="AJ304" s="20"/>
      <c r="AK304" s="45">
        <v>2017</v>
      </c>
      <c r="AL304" s="48" t="s">
        <v>48</v>
      </c>
      <c r="AM304" s="35">
        <f t="shared" si="279"/>
        <v>0.94175407275161793</v>
      </c>
      <c r="AN304" s="35">
        <f t="shared" si="280"/>
        <v>0.95367231638418082</v>
      </c>
      <c r="AO304" s="35">
        <f t="shared" si="281"/>
        <v>0.98750278955590265</v>
      </c>
      <c r="AP304" s="20">
        <v>4481</v>
      </c>
      <c r="AQ304" s="27">
        <f t="shared" si="341"/>
        <v>56</v>
      </c>
      <c r="AR304" s="20">
        <v>4425</v>
      </c>
      <c r="AS304" s="20">
        <v>4220</v>
      </c>
      <c r="AT304" s="20">
        <f t="shared" si="342"/>
        <v>205</v>
      </c>
      <c r="AU304" s="20"/>
      <c r="AV304" s="20"/>
      <c r="AW304" s="45">
        <v>2017</v>
      </c>
      <c r="AX304" s="48" t="s">
        <v>48</v>
      </c>
      <c r="AY304" s="35">
        <f t="shared" si="316"/>
        <v>0.87033747779751336</v>
      </c>
      <c r="AZ304" s="35">
        <f t="shared" si="317"/>
        <v>0.91102257636122175</v>
      </c>
      <c r="BA304" s="35">
        <f t="shared" si="318"/>
        <v>0.95534128393808682</v>
      </c>
      <c r="BB304" s="20">
        <v>3941</v>
      </c>
      <c r="BC304" s="27">
        <f t="shared" si="343"/>
        <v>176</v>
      </c>
      <c r="BD304" s="20">
        <v>3765</v>
      </c>
      <c r="BE304" s="20">
        <v>3430</v>
      </c>
      <c r="BF304" s="20">
        <f t="shared" si="344"/>
        <v>335</v>
      </c>
      <c r="BG304" s="20"/>
      <c r="BH304" s="20"/>
      <c r="BI304" s="45">
        <v>2017</v>
      </c>
      <c r="BJ304" s="48" t="s">
        <v>48</v>
      </c>
      <c r="BK304" s="35">
        <f t="shared" si="282"/>
        <v>0.86986666666666668</v>
      </c>
      <c r="BL304" s="35">
        <f t="shared" si="283"/>
        <v>0.92198982475975122</v>
      </c>
      <c r="BM304" s="35">
        <f t="shared" si="284"/>
        <v>0.94346666666666668</v>
      </c>
      <c r="BN304" s="20">
        <v>3750</v>
      </c>
      <c r="BO304" s="27">
        <f t="shared" si="345"/>
        <v>212</v>
      </c>
      <c r="BP304" s="20">
        <v>3538</v>
      </c>
      <c r="BQ304" s="20">
        <v>3262</v>
      </c>
      <c r="BR304" s="20">
        <f t="shared" si="346"/>
        <v>276</v>
      </c>
      <c r="BS304" s="20"/>
      <c r="BT304" s="20"/>
      <c r="BU304" s="45">
        <v>2017</v>
      </c>
      <c r="BV304" s="48" t="s">
        <v>48</v>
      </c>
      <c r="BW304" s="35"/>
      <c r="BX304" s="35"/>
      <c r="BY304" s="35"/>
      <c r="BZ304" s="86"/>
      <c r="CA304" s="87"/>
      <c r="CB304" s="20"/>
      <c r="CC304" s="20"/>
      <c r="CD304" s="20"/>
      <c r="CE304" s="20"/>
      <c r="CF304" s="20"/>
      <c r="CG304" s="45">
        <v>2017</v>
      </c>
      <c r="CH304" s="48" t="s">
        <v>48</v>
      </c>
      <c r="CI304" s="35">
        <f t="shared" si="288"/>
        <v>0.92760180995475117</v>
      </c>
      <c r="CJ304" s="35">
        <f t="shared" si="289"/>
        <v>0.97248576850094881</v>
      </c>
      <c r="CK304" s="35">
        <f t="shared" si="290"/>
        <v>0.9538461538461539</v>
      </c>
      <c r="CL304" s="20">
        <v>1105</v>
      </c>
      <c r="CM304" s="27">
        <f t="shared" ref="CM304:CM305" si="353">CL304-CN304</f>
        <v>51</v>
      </c>
      <c r="CN304" s="20">
        <v>1054</v>
      </c>
      <c r="CO304" s="20">
        <v>1025</v>
      </c>
      <c r="CP304" s="20">
        <f t="shared" si="348"/>
        <v>29</v>
      </c>
      <c r="CQ304" s="20"/>
      <c r="CR304" s="20"/>
      <c r="CS304" s="45">
        <v>2017</v>
      </c>
      <c r="CT304" s="48" t="s">
        <v>48</v>
      </c>
      <c r="CU304" s="35">
        <f t="shared" si="293"/>
        <v>0.68833333333333335</v>
      </c>
      <c r="CV304" s="35">
        <f t="shared" si="294"/>
        <v>0.94724770642201839</v>
      </c>
      <c r="CW304" s="35">
        <f t="shared" si="295"/>
        <v>0.72666666666666668</v>
      </c>
      <c r="CX304" s="20">
        <v>600</v>
      </c>
      <c r="CY304" s="27">
        <f t="shared" si="349"/>
        <v>164</v>
      </c>
      <c r="CZ304" s="20">
        <v>436</v>
      </c>
      <c r="DA304" s="20">
        <v>413</v>
      </c>
      <c r="DB304" s="20">
        <f t="shared" si="350"/>
        <v>23</v>
      </c>
      <c r="DC304" s="20"/>
      <c r="DD304" s="20"/>
      <c r="DE304" s="45">
        <v>2017</v>
      </c>
      <c r="DF304" s="48" t="s">
        <v>48</v>
      </c>
      <c r="DG304" s="35">
        <f t="shared" si="296"/>
        <v>0.95354330708661417</v>
      </c>
      <c r="DH304" s="35">
        <f t="shared" si="297"/>
        <v>0.96879999999999999</v>
      </c>
      <c r="DI304" s="35">
        <f t="shared" si="298"/>
        <v>0.98425196850393704</v>
      </c>
      <c r="DJ304" s="20">
        <v>1270</v>
      </c>
      <c r="DK304" s="27">
        <f t="shared" si="351"/>
        <v>20</v>
      </c>
      <c r="DL304" s="20">
        <v>1250</v>
      </c>
      <c r="DM304" s="20">
        <v>1211</v>
      </c>
      <c r="DN304" s="20">
        <f t="shared" si="352"/>
        <v>39</v>
      </c>
      <c r="DO304" s="20"/>
      <c r="DP304" s="20"/>
      <c r="DQ304" s="45"/>
      <c r="DR304" s="48"/>
      <c r="DS304" s="35"/>
      <c r="DT304" s="35"/>
      <c r="DU304" s="35"/>
      <c r="DV304" s="20"/>
      <c r="DW304" s="27"/>
      <c r="DX304" s="20"/>
      <c r="DY304" s="20"/>
      <c r="DZ304" s="20"/>
      <c r="EA304" s="27"/>
      <c r="EB304" s="27"/>
    </row>
    <row r="305" spans="1:132" s="29" customFormat="1" ht="12.75">
      <c r="A305" s="46">
        <v>2017</v>
      </c>
      <c r="B305" s="47" t="s">
        <v>49</v>
      </c>
      <c r="C305" s="35">
        <f t="shared" si="299"/>
        <v>0.8651990496048102</v>
      </c>
      <c r="D305" s="35">
        <f t="shared" si="300"/>
        <v>0.93531477695654452</v>
      </c>
      <c r="E305" s="35">
        <f t="shared" si="301"/>
        <v>0.92503515492411381</v>
      </c>
      <c r="F30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20623</v>
      </c>
      <c r="G305" s="20">
        <f t="shared" si="302"/>
        <v>1546</v>
      </c>
      <c r="H30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19077</v>
      </c>
      <c r="I30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17843</v>
      </c>
      <c r="J305" s="20">
        <f t="shared" si="303"/>
        <v>1234</v>
      </c>
      <c r="K305" s="20"/>
      <c r="L305" s="20"/>
      <c r="M305" s="46">
        <v>2017</v>
      </c>
      <c r="N305" s="47" t="s">
        <v>49</v>
      </c>
      <c r="O305" s="35">
        <f t="shared" si="276"/>
        <v>0.82453721937770774</v>
      </c>
      <c r="P305" s="35">
        <f t="shared" si="277"/>
        <v>0.89695801199657244</v>
      </c>
      <c r="Q305" s="35">
        <f t="shared" si="278"/>
        <v>0.91925955100433243</v>
      </c>
      <c r="R305" s="20">
        <v>5078</v>
      </c>
      <c r="S305" s="27">
        <f t="shared" si="339"/>
        <v>410</v>
      </c>
      <c r="T305" s="20">
        <v>4668</v>
      </c>
      <c r="U305" s="20">
        <v>4187</v>
      </c>
      <c r="V305" s="20">
        <f t="shared" si="340"/>
        <v>481</v>
      </c>
      <c r="W305" s="20"/>
      <c r="X305" s="20"/>
      <c r="Y305" s="46"/>
      <c r="Z305" s="47"/>
      <c r="AA305" s="35"/>
      <c r="AB305" s="35"/>
      <c r="AC305" s="35"/>
      <c r="AD305" s="20"/>
      <c r="AE305" s="27"/>
      <c r="AF305" s="20"/>
      <c r="AG305" s="20"/>
      <c r="AH305" s="20"/>
      <c r="AI305" s="20"/>
      <c r="AJ305" s="20"/>
      <c r="AK305" s="46">
        <v>2017</v>
      </c>
      <c r="AL305" s="47" t="s">
        <v>49</v>
      </c>
      <c r="AM305" s="35">
        <f t="shared" si="279"/>
        <v>0.90455967814036653</v>
      </c>
      <c r="AN305" s="35">
        <f t="shared" si="280"/>
        <v>0.95448113207547169</v>
      </c>
      <c r="AO305" s="35">
        <f t="shared" si="281"/>
        <v>0.9476978095663835</v>
      </c>
      <c r="AP305" s="20">
        <v>4474</v>
      </c>
      <c r="AQ305" s="27">
        <f t="shared" si="341"/>
        <v>234</v>
      </c>
      <c r="AR305" s="20">
        <v>4240</v>
      </c>
      <c r="AS305" s="20">
        <v>4047</v>
      </c>
      <c r="AT305" s="20">
        <f t="shared" si="342"/>
        <v>193</v>
      </c>
      <c r="AU305" s="20"/>
      <c r="AV305" s="20"/>
      <c r="AW305" s="46">
        <v>2017</v>
      </c>
      <c r="AX305" s="47" t="s">
        <v>49</v>
      </c>
      <c r="AY305" s="35">
        <f t="shared" si="316"/>
        <v>0.82889733840304181</v>
      </c>
      <c r="AZ305" s="35">
        <f t="shared" si="317"/>
        <v>0.90808108858650372</v>
      </c>
      <c r="BA305" s="35">
        <f t="shared" si="318"/>
        <v>0.91280101394169832</v>
      </c>
      <c r="BB305" s="20">
        <v>3945</v>
      </c>
      <c r="BC305" s="27">
        <f t="shared" si="343"/>
        <v>344</v>
      </c>
      <c r="BD305" s="20">
        <v>3601</v>
      </c>
      <c r="BE305" s="20">
        <v>3270</v>
      </c>
      <c r="BF305" s="20">
        <f t="shared" si="344"/>
        <v>331</v>
      </c>
      <c r="BG305" s="20"/>
      <c r="BH305" s="20"/>
      <c r="BI305" s="46">
        <v>2017</v>
      </c>
      <c r="BJ305" s="47" t="s">
        <v>49</v>
      </c>
      <c r="BK305" s="35">
        <f t="shared" si="282"/>
        <v>0.87897085849304279</v>
      </c>
      <c r="BL305" s="35">
        <f t="shared" si="283"/>
        <v>0.95986238532110091</v>
      </c>
      <c r="BM305" s="35">
        <f t="shared" si="284"/>
        <v>0.91572591231294298</v>
      </c>
      <c r="BN305" s="20">
        <v>3809</v>
      </c>
      <c r="BO305" s="27">
        <f t="shared" si="345"/>
        <v>321</v>
      </c>
      <c r="BP305" s="20">
        <v>3488</v>
      </c>
      <c r="BQ305" s="20">
        <v>3348</v>
      </c>
      <c r="BR305" s="20">
        <f t="shared" si="346"/>
        <v>140</v>
      </c>
      <c r="BS305" s="20"/>
      <c r="BT305" s="20"/>
      <c r="BU305" s="46">
        <v>2017</v>
      </c>
      <c r="BV305" s="47" t="s">
        <v>49</v>
      </c>
      <c r="BW305" s="35"/>
      <c r="BX305" s="35"/>
      <c r="BY305" s="35"/>
      <c r="BZ305" s="86"/>
      <c r="CA305" s="87"/>
      <c r="CB305" s="20"/>
      <c r="CC305" s="20"/>
      <c r="CD305" s="20"/>
      <c r="CE305" s="20"/>
      <c r="CF305" s="20"/>
      <c r="CG305" s="46">
        <v>2017</v>
      </c>
      <c r="CH305" s="47" t="s">
        <v>49</v>
      </c>
      <c r="CI305" s="35">
        <f t="shared" si="288"/>
        <v>0.92982456140350878</v>
      </c>
      <c r="CJ305" s="35">
        <f t="shared" si="289"/>
        <v>0.97876269621421974</v>
      </c>
      <c r="CK305" s="35">
        <f t="shared" si="290"/>
        <v>0.95</v>
      </c>
      <c r="CL305" s="20">
        <v>1140</v>
      </c>
      <c r="CM305" s="20">
        <f t="shared" si="353"/>
        <v>57</v>
      </c>
      <c r="CN305" s="20">
        <v>1083</v>
      </c>
      <c r="CO305" s="20">
        <v>1060</v>
      </c>
      <c r="CP305" s="20">
        <f t="shared" si="348"/>
        <v>23</v>
      </c>
      <c r="CQ305" s="20"/>
      <c r="CR305" s="20"/>
      <c r="CS305" s="46">
        <v>2017</v>
      </c>
      <c r="CT305" s="47" t="s">
        <v>49</v>
      </c>
      <c r="CU305" s="35">
        <f t="shared" si="293"/>
        <v>0.86774193548387102</v>
      </c>
      <c r="CV305" s="35">
        <f t="shared" si="294"/>
        <v>0.94885361552028213</v>
      </c>
      <c r="CW305" s="35">
        <f t="shared" si="295"/>
        <v>0.9145161290322581</v>
      </c>
      <c r="CX305" s="20">
        <v>620</v>
      </c>
      <c r="CY305" s="20">
        <f t="shared" si="349"/>
        <v>53</v>
      </c>
      <c r="CZ305" s="20">
        <v>567</v>
      </c>
      <c r="DA305" s="20">
        <v>538</v>
      </c>
      <c r="DB305" s="20">
        <f t="shared" si="350"/>
        <v>29</v>
      </c>
      <c r="DC305" s="20"/>
      <c r="DD305" s="20"/>
      <c r="DE305" s="46">
        <v>2017</v>
      </c>
      <c r="DF305" s="47" t="s">
        <v>49</v>
      </c>
      <c r="DG305" s="35">
        <f t="shared" si="296"/>
        <v>0.88812260536398469</v>
      </c>
      <c r="DH305" s="35">
        <f t="shared" si="297"/>
        <v>0.97394957983193275</v>
      </c>
      <c r="DI305" s="35">
        <f t="shared" si="298"/>
        <v>0.91187739463601536</v>
      </c>
      <c r="DJ305" s="20">
        <v>1305</v>
      </c>
      <c r="DK305" s="20">
        <f t="shared" si="351"/>
        <v>115</v>
      </c>
      <c r="DL305" s="20">
        <v>1190</v>
      </c>
      <c r="DM305" s="20">
        <v>1159</v>
      </c>
      <c r="DN305" s="20">
        <f t="shared" si="352"/>
        <v>31</v>
      </c>
      <c r="DO305" s="20"/>
      <c r="DP305" s="20"/>
      <c r="DQ305" s="46">
        <v>2017</v>
      </c>
      <c r="DR305" s="47" t="s">
        <v>49</v>
      </c>
      <c r="DS305" s="35">
        <f t="shared" ref="DS305:DS325" si="354">DY305/DV305</f>
        <v>0.9285714285714286</v>
      </c>
      <c r="DT305" s="35">
        <f t="shared" ref="DT305:DT325" si="355">DY305/DX305</f>
        <v>0.97499999999999998</v>
      </c>
      <c r="DU305" s="35">
        <f t="shared" ref="DU305:DU325" si="356">DX305/DV305</f>
        <v>0.95238095238095233</v>
      </c>
      <c r="DV305" s="20">
        <v>252</v>
      </c>
      <c r="DW305" s="20">
        <f t="shared" ref="DW305" si="357">DV305-DX305</f>
        <v>12</v>
      </c>
      <c r="DX305" s="20">
        <v>240</v>
      </c>
      <c r="DY305" s="20">
        <v>234</v>
      </c>
      <c r="DZ305" s="20">
        <f t="shared" ref="DZ305" si="358">DX305-DY305</f>
        <v>6</v>
      </c>
      <c r="EA305" s="90" t="s">
        <v>73</v>
      </c>
      <c r="EB305" s="27"/>
    </row>
    <row r="306" spans="1:132" s="29" customFormat="1" ht="12.75">
      <c r="A306" s="45">
        <v>2018</v>
      </c>
      <c r="B306" s="48" t="s">
        <v>38</v>
      </c>
      <c r="C306" s="35">
        <f t="shared" si="299"/>
        <v>0.88676856714178542</v>
      </c>
      <c r="D306" s="35">
        <f t="shared" si="300"/>
        <v>0.91659397111563434</v>
      </c>
      <c r="E306" s="35">
        <f t="shared" si="301"/>
        <v>0.96746061515378845</v>
      </c>
      <c r="F30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21328</v>
      </c>
      <c r="G306" s="20">
        <f t="shared" si="302"/>
        <v>694</v>
      </c>
      <c r="H30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I30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18913</v>
      </c>
      <c r="J306" s="20">
        <f t="shared" si="303"/>
        <v>1721</v>
      </c>
      <c r="K306" s="20"/>
      <c r="L306" s="20"/>
      <c r="M306" s="45">
        <v>2018</v>
      </c>
      <c r="N306" s="48" t="s">
        <v>38</v>
      </c>
      <c r="O306" s="35">
        <f t="shared" si="276"/>
        <v>0.85436893203883491</v>
      </c>
      <c r="P306" s="35">
        <f t="shared" si="277"/>
        <v>0.89270386266094426</v>
      </c>
      <c r="Q306" s="35">
        <f t="shared" si="278"/>
        <v>0.95705750560119496</v>
      </c>
      <c r="R306" s="20">
        <v>5356</v>
      </c>
      <c r="S306" s="27">
        <f t="shared" ref="S306:S317" si="359">R306-T306</f>
        <v>230</v>
      </c>
      <c r="T306" s="20">
        <v>5126</v>
      </c>
      <c r="U306" s="20">
        <v>4576</v>
      </c>
      <c r="V306" s="20">
        <f t="shared" ref="V306:V317" si="360">T306-U306</f>
        <v>550</v>
      </c>
      <c r="W306" s="20"/>
      <c r="X306" s="20"/>
      <c r="Y306" s="45"/>
      <c r="Z306" s="48"/>
      <c r="AA306" s="35"/>
      <c r="AB306" s="35"/>
      <c r="AC306" s="35"/>
      <c r="AD306" s="20"/>
      <c r="AE306" s="27"/>
      <c r="AF306" s="20"/>
      <c r="AG306" s="20"/>
      <c r="AH306" s="20"/>
      <c r="AI306" s="20"/>
      <c r="AJ306" s="20"/>
      <c r="AK306" s="45">
        <v>2018</v>
      </c>
      <c r="AL306" s="48" t="s">
        <v>38</v>
      </c>
      <c r="AM306" s="35">
        <f t="shared" si="279"/>
        <v>0.94317692638829098</v>
      </c>
      <c r="AN306" s="35">
        <f t="shared" si="280"/>
        <v>0.95739567402228531</v>
      </c>
      <c r="AO306" s="35">
        <f t="shared" si="281"/>
        <v>0.98514851485148514</v>
      </c>
      <c r="AP306" s="20">
        <v>4646</v>
      </c>
      <c r="AQ306" s="27">
        <f t="shared" ref="AQ306:AQ317" si="361">AP306-AR306</f>
        <v>69</v>
      </c>
      <c r="AR306" s="20">
        <v>4577</v>
      </c>
      <c r="AS306" s="20">
        <v>4382</v>
      </c>
      <c r="AT306" s="20">
        <f t="shared" ref="AT306:AT317" si="362">AR306-AS306</f>
        <v>195</v>
      </c>
      <c r="AU306" s="20"/>
      <c r="AV306" s="20"/>
      <c r="AW306" s="45">
        <v>2018</v>
      </c>
      <c r="AX306" s="48" t="s">
        <v>38</v>
      </c>
      <c r="AY306" s="35">
        <f t="shared" si="316"/>
        <v>0.87095984329089127</v>
      </c>
      <c r="AZ306" s="35">
        <f t="shared" si="317"/>
        <v>0.90005060728744934</v>
      </c>
      <c r="BA306" s="35">
        <f t="shared" si="318"/>
        <v>0.96767874632713025</v>
      </c>
      <c r="BB306" s="20">
        <v>4084</v>
      </c>
      <c r="BC306" s="27">
        <f t="shared" ref="BC306:BC317" si="363">BB306-BD306</f>
        <v>132</v>
      </c>
      <c r="BD306" s="20">
        <v>3952</v>
      </c>
      <c r="BE306" s="20">
        <v>3557</v>
      </c>
      <c r="BF306" s="20">
        <f t="shared" ref="BF306:BF317" si="364">BD306-BE306</f>
        <v>395</v>
      </c>
      <c r="BG306" s="20"/>
      <c r="BH306" s="20"/>
      <c r="BI306" s="45">
        <v>2018</v>
      </c>
      <c r="BJ306" s="48" t="s">
        <v>38</v>
      </c>
      <c r="BK306" s="35">
        <f t="shared" si="282"/>
        <v>0.81860345271837154</v>
      </c>
      <c r="BL306" s="35">
        <f t="shared" si="283"/>
        <v>0.86214382632293085</v>
      </c>
      <c r="BM306" s="35">
        <f t="shared" si="284"/>
        <v>0.94949755217727394</v>
      </c>
      <c r="BN306" s="20">
        <v>3881</v>
      </c>
      <c r="BO306" s="27">
        <f t="shared" ref="BO306:BO317" si="365">BN306-BP306</f>
        <v>196</v>
      </c>
      <c r="BP306" s="20">
        <v>3685</v>
      </c>
      <c r="BQ306" s="20">
        <v>3177</v>
      </c>
      <c r="BR306" s="20">
        <f t="shared" ref="BR306:BR317" si="366">BP306-BQ306</f>
        <v>508</v>
      </c>
      <c r="BS306" s="20"/>
      <c r="BT306" s="20"/>
      <c r="BU306" s="45">
        <v>2018</v>
      </c>
      <c r="BV306" s="48" t="s">
        <v>38</v>
      </c>
      <c r="BW306" s="35"/>
      <c r="BX306" s="35"/>
      <c r="BY306" s="35"/>
      <c r="BZ306" s="86"/>
      <c r="CA306" s="87"/>
      <c r="CB306" s="20"/>
      <c r="CC306" s="20"/>
      <c r="CD306" s="20"/>
      <c r="CE306" s="20"/>
      <c r="CF306" s="20"/>
      <c r="CG306" s="45">
        <v>2018</v>
      </c>
      <c r="CH306" s="48" t="s">
        <v>38</v>
      </c>
      <c r="CI306" s="35">
        <f t="shared" si="288"/>
        <v>0.98686514886164622</v>
      </c>
      <c r="CJ306" s="35">
        <f t="shared" si="289"/>
        <v>0.99207746478873238</v>
      </c>
      <c r="CK306" s="35">
        <f t="shared" si="290"/>
        <v>0.99474605954465845</v>
      </c>
      <c r="CL306" s="20">
        <v>1142</v>
      </c>
      <c r="CM306" s="27">
        <f t="shared" ref="CM306:CM317" si="367">CL306-CN306</f>
        <v>6</v>
      </c>
      <c r="CN306" s="20">
        <v>1136</v>
      </c>
      <c r="CO306" s="20">
        <v>1127</v>
      </c>
      <c r="CP306" s="20">
        <f t="shared" ref="CP306:CP317" si="368">CN306-CO306</f>
        <v>9</v>
      </c>
      <c r="CQ306" s="20"/>
      <c r="CR306" s="20"/>
      <c r="CS306" s="45">
        <v>2018</v>
      </c>
      <c r="CT306" s="48" t="s">
        <v>38</v>
      </c>
      <c r="CU306" s="35">
        <f t="shared" si="293"/>
        <v>0.89838709677419359</v>
      </c>
      <c r="CV306" s="35">
        <f t="shared" si="294"/>
        <v>0.94889267461669502</v>
      </c>
      <c r="CW306" s="35">
        <f t="shared" si="295"/>
        <v>0.9467741935483871</v>
      </c>
      <c r="CX306" s="20">
        <v>620</v>
      </c>
      <c r="CY306" s="27">
        <f t="shared" ref="CY306:CY317" si="369">CX306-CZ306</f>
        <v>33</v>
      </c>
      <c r="CZ306" s="20">
        <v>587</v>
      </c>
      <c r="DA306" s="20">
        <v>557</v>
      </c>
      <c r="DB306" s="20">
        <f t="shared" ref="DB306:DB317" si="370">CZ306-DA306</f>
        <v>30</v>
      </c>
      <c r="DC306" s="20"/>
      <c r="DD306" s="20"/>
      <c r="DE306" s="45">
        <v>2018</v>
      </c>
      <c r="DF306" s="48" t="s">
        <v>38</v>
      </c>
      <c r="DG306" s="35">
        <f t="shared" si="296"/>
        <v>0.96610169491525422</v>
      </c>
      <c r="DH306" s="35">
        <f t="shared" si="297"/>
        <v>0.98423423423423428</v>
      </c>
      <c r="DI306" s="35">
        <f t="shared" si="298"/>
        <v>0.98157700810611648</v>
      </c>
      <c r="DJ306" s="20">
        <v>1357</v>
      </c>
      <c r="DK306" s="27">
        <f t="shared" ref="DK306:DK317" si="371">DJ306-DL306</f>
        <v>25</v>
      </c>
      <c r="DL306" s="20">
        <v>1332</v>
      </c>
      <c r="DM306" s="20">
        <v>1311</v>
      </c>
      <c r="DN306" s="20">
        <f t="shared" ref="DN306:DN317" si="372">DL306-DM306</f>
        <v>21</v>
      </c>
      <c r="DO306" s="20"/>
      <c r="DP306" s="20"/>
      <c r="DQ306" s="45">
        <v>2018</v>
      </c>
      <c r="DR306" s="48" t="s">
        <v>38</v>
      </c>
      <c r="DS306" s="35">
        <f t="shared" si="354"/>
        <v>0.93388429752066116</v>
      </c>
      <c r="DT306" s="35">
        <f t="shared" si="355"/>
        <v>0.94560669456066948</v>
      </c>
      <c r="DU306" s="35">
        <f t="shared" si="356"/>
        <v>0.98760330578512401</v>
      </c>
      <c r="DV306" s="20">
        <v>242</v>
      </c>
      <c r="DW306" s="27">
        <f t="shared" ref="DW306:DW317" si="373">DV306-DX306</f>
        <v>3</v>
      </c>
      <c r="DX306" s="20">
        <v>239</v>
      </c>
      <c r="DY306" s="20">
        <v>226</v>
      </c>
      <c r="DZ306" s="20">
        <f t="shared" ref="DZ306:DZ317" si="374">DX306-DY306</f>
        <v>13</v>
      </c>
      <c r="EA306" s="27"/>
      <c r="EB306" s="27"/>
    </row>
    <row r="307" spans="1:132" s="29" customFormat="1" ht="12.75">
      <c r="A307" s="46">
        <v>2018</v>
      </c>
      <c r="B307" s="47" t="s">
        <v>39</v>
      </c>
      <c r="C307" s="35">
        <f t="shared" si="299"/>
        <v>0.88400553368096202</v>
      </c>
      <c r="D307" s="35">
        <f t="shared" si="300"/>
        <v>0.91376086239137611</v>
      </c>
      <c r="E307" s="35">
        <f t="shared" si="301"/>
        <v>0.9674364158774077</v>
      </c>
      <c r="F30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18794</v>
      </c>
      <c r="G307" s="20">
        <f t="shared" si="302"/>
        <v>612</v>
      </c>
      <c r="H30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18182</v>
      </c>
      <c r="I30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16614</v>
      </c>
      <c r="J307" s="20">
        <f t="shared" si="303"/>
        <v>1568</v>
      </c>
      <c r="K307" s="20"/>
      <c r="L307" s="20"/>
      <c r="M307" s="46">
        <v>2018</v>
      </c>
      <c r="N307" s="47" t="s">
        <v>39</v>
      </c>
      <c r="O307" s="35">
        <f t="shared" si="276"/>
        <v>0.85941530524505594</v>
      </c>
      <c r="P307" s="35">
        <f t="shared" si="277"/>
        <v>0.87829525483304038</v>
      </c>
      <c r="Q307" s="35">
        <f t="shared" si="278"/>
        <v>0.9785038693035254</v>
      </c>
      <c r="R307" s="20">
        <v>4652</v>
      </c>
      <c r="S307" s="27">
        <f t="shared" si="359"/>
        <v>100</v>
      </c>
      <c r="T307" s="20">
        <v>4552</v>
      </c>
      <c r="U307" s="20">
        <v>3998</v>
      </c>
      <c r="V307" s="20">
        <f t="shared" si="360"/>
        <v>554</v>
      </c>
      <c r="W307" s="20"/>
      <c r="X307" s="20"/>
      <c r="Y307" s="46"/>
      <c r="Z307" s="47"/>
      <c r="AA307" s="35"/>
      <c r="AB307" s="35"/>
      <c r="AC307" s="35"/>
      <c r="AD307" s="20"/>
      <c r="AE307" s="27"/>
      <c r="AF307" s="20"/>
      <c r="AG307" s="20"/>
      <c r="AH307" s="20"/>
      <c r="AI307" s="20"/>
      <c r="AJ307" s="20"/>
      <c r="AK307" s="46">
        <v>2018</v>
      </c>
      <c r="AL307" s="47" t="s">
        <v>39</v>
      </c>
      <c r="AM307" s="35">
        <f t="shared" si="279"/>
        <v>0.91703485517918504</v>
      </c>
      <c r="AN307" s="35">
        <f t="shared" si="280"/>
        <v>0.93751568381430361</v>
      </c>
      <c r="AO307" s="35">
        <f t="shared" si="281"/>
        <v>0.97815414825724101</v>
      </c>
      <c r="AP307" s="20">
        <v>4074</v>
      </c>
      <c r="AQ307" s="27">
        <f t="shared" si="361"/>
        <v>89</v>
      </c>
      <c r="AR307" s="20">
        <v>3985</v>
      </c>
      <c r="AS307" s="20">
        <v>3736</v>
      </c>
      <c r="AT307" s="20">
        <f t="shared" si="362"/>
        <v>249</v>
      </c>
      <c r="AU307" s="20"/>
      <c r="AV307" s="20"/>
      <c r="AW307" s="46">
        <v>2018</v>
      </c>
      <c r="AX307" s="47" t="s">
        <v>39</v>
      </c>
      <c r="AY307" s="35">
        <f t="shared" si="316"/>
        <v>0.86475181260457334</v>
      </c>
      <c r="AZ307" s="35">
        <f t="shared" si="317"/>
        <v>0.8954663586485706</v>
      </c>
      <c r="BA307" s="35">
        <f t="shared" si="318"/>
        <v>0.96569994422755157</v>
      </c>
      <c r="BB307" s="20">
        <v>3586</v>
      </c>
      <c r="BC307" s="27">
        <f t="shared" si="363"/>
        <v>123</v>
      </c>
      <c r="BD307" s="20">
        <v>3463</v>
      </c>
      <c r="BE307" s="20">
        <v>3101</v>
      </c>
      <c r="BF307" s="20">
        <f t="shared" si="364"/>
        <v>362</v>
      </c>
      <c r="BG307" s="20"/>
      <c r="BH307" s="20"/>
      <c r="BI307" s="46">
        <v>2018</v>
      </c>
      <c r="BJ307" s="47" t="s">
        <v>39</v>
      </c>
      <c r="BK307" s="35">
        <f t="shared" si="282"/>
        <v>0.83835457705677863</v>
      </c>
      <c r="BL307" s="35">
        <f t="shared" si="283"/>
        <v>0.89959589679825924</v>
      </c>
      <c r="BM307" s="35">
        <f t="shared" si="284"/>
        <v>0.93192352259559674</v>
      </c>
      <c r="BN307" s="20">
        <v>3452</v>
      </c>
      <c r="BO307" s="27">
        <f t="shared" si="365"/>
        <v>235</v>
      </c>
      <c r="BP307" s="20">
        <v>3217</v>
      </c>
      <c r="BQ307" s="20">
        <v>2894</v>
      </c>
      <c r="BR307" s="20">
        <f t="shared" si="366"/>
        <v>323</v>
      </c>
      <c r="BS307" s="20"/>
      <c r="BT307" s="20"/>
      <c r="BU307" s="46">
        <v>2018</v>
      </c>
      <c r="BV307" s="47" t="s">
        <v>39</v>
      </c>
      <c r="BW307" s="35"/>
      <c r="BX307" s="35"/>
      <c r="BY307" s="35"/>
      <c r="BZ307" s="86"/>
      <c r="CA307" s="87"/>
      <c r="CB307" s="20"/>
      <c r="CC307" s="20"/>
      <c r="CD307" s="20"/>
      <c r="CE307" s="20"/>
      <c r="CF307" s="20"/>
      <c r="CG307" s="46">
        <v>2018</v>
      </c>
      <c r="CH307" s="47" t="s">
        <v>39</v>
      </c>
      <c r="CI307" s="35">
        <f t="shared" si="288"/>
        <v>0.96310679611650485</v>
      </c>
      <c r="CJ307" s="35">
        <f t="shared" si="289"/>
        <v>0.98608349900596426</v>
      </c>
      <c r="CK307" s="35">
        <f t="shared" si="290"/>
        <v>0.97669902912621365</v>
      </c>
      <c r="CL307" s="20">
        <v>1030</v>
      </c>
      <c r="CM307" s="27">
        <f t="shared" si="367"/>
        <v>24</v>
      </c>
      <c r="CN307" s="20">
        <v>1006</v>
      </c>
      <c r="CO307" s="20">
        <v>992</v>
      </c>
      <c r="CP307" s="20">
        <f t="shared" si="368"/>
        <v>14</v>
      </c>
      <c r="CQ307" s="20"/>
      <c r="CR307" s="20"/>
      <c r="CS307" s="46">
        <v>2018</v>
      </c>
      <c r="CT307" s="47" t="s">
        <v>39</v>
      </c>
      <c r="CU307" s="35">
        <f t="shared" si="293"/>
        <v>0.9285714285714286</v>
      </c>
      <c r="CV307" s="35">
        <f t="shared" si="294"/>
        <v>0.95588235294117652</v>
      </c>
      <c r="CW307" s="35">
        <f t="shared" si="295"/>
        <v>0.97142857142857142</v>
      </c>
      <c r="CX307" s="20">
        <v>560</v>
      </c>
      <c r="CY307" s="27">
        <f t="shared" si="369"/>
        <v>16</v>
      </c>
      <c r="CZ307" s="20">
        <v>544</v>
      </c>
      <c r="DA307" s="20">
        <v>520</v>
      </c>
      <c r="DB307" s="20">
        <f t="shared" si="370"/>
        <v>24</v>
      </c>
      <c r="DC307" s="20"/>
      <c r="DD307" s="20"/>
      <c r="DE307" s="46">
        <v>2018</v>
      </c>
      <c r="DF307" s="47" t="s">
        <v>39</v>
      </c>
      <c r="DG307" s="35">
        <f t="shared" si="296"/>
        <v>0.94901315789473684</v>
      </c>
      <c r="DH307" s="35">
        <f t="shared" si="297"/>
        <v>0.96893366918555834</v>
      </c>
      <c r="DI307" s="35">
        <f t="shared" si="298"/>
        <v>0.97944078947368418</v>
      </c>
      <c r="DJ307" s="20">
        <v>1216</v>
      </c>
      <c r="DK307" s="27">
        <f t="shared" si="371"/>
        <v>25</v>
      </c>
      <c r="DL307" s="20">
        <v>1191</v>
      </c>
      <c r="DM307" s="20">
        <v>1154</v>
      </c>
      <c r="DN307" s="20">
        <f t="shared" si="372"/>
        <v>37</v>
      </c>
      <c r="DO307" s="20"/>
      <c r="DP307" s="20"/>
      <c r="DQ307" s="46">
        <v>2018</v>
      </c>
      <c r="DR307" s="47" t="s">
        <v>39</v>
      </c>
      <c r="DS307" s="35">
        <f t="shared" si="354"/>
        <v>0.9776785714285714</v>
      </c>
      <c r="DT307" s="35">
        <f t="shared" si="355"/>
        <v>0.9776785714285714</v>
      </c>
      <c r="DU307" s="35">
        <f t="shared" si="356"/>
        <v>1</v>
      </c>
      <c r="DV307" s="20">
        <v>224</v>
      </c>
      <c r="DW307" s="27">
        <f t="shared" si="373"/>
        <v>0</v>
      </c>
      <c r="DX307" s="20">
        <v>224</v>
      </c>
      <c r="DY307" s="20">
        <v>219</v>
      </c>
      <c r="DZ307" s="20">
        <f t="shared" si="374"/>
        <v>5</v>
      </c>
      <c r="EA307" s="27"/>
      <c r="EB307" s="27"/>
    </row>
    <row r="308" spans="1:132" s="29" customFormat="1" ht="12.75">
      <c r="A308" s="45">
        <v>2018</v>
      </c>
      <c r="B308" s="48" t="s">
        <v>40</v>
      </c>
      <c r="C308" s="35">
        <f t="shared" si="299"/>
        <v>0.90094428706326724</v>
      </c>
      <c r="D308" s="35">
        <f t="shared" si="300"/>
        <v>0.92550198855369092</v>
      </c>
      <c r="E308" s="35">
        <f t="shared" si="301"/>
        <v>0.97346553352219078</v>
      </c>
      <c r="F30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21180</v>
      </c>
      <c r="G308" s="20">
        <f t="shared" si="302"/>
        <v>562</v>
      </c>
      <c r="H30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20618</v>
      </c>
      <c r="I30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19082</v>
      </c>
      <c r="J308" s="20">
        <f t="shared" si="303"/>
        <v>1536</v>
      </c>
      <c r="K308" s="20"/>
      <c r="L308" s="20"/>
      <c r="M308" s="45">
        <v>2018</v>
      </c>
      <c r="N308" s="48" t="s">
        <v>40</v>
      </c>
      <c r="O308" s="35">
        <f t="shared" si="276"/>
        <v>0.8593511450381679</v>
      </c>
      <c r="P308" s="35">
        <f t="shared" si="277"/>
        <v>0.88502358490566035</v>
      </c>
      <c r="Q308" s="35">
        <f t="shared" si="278"/>
        <v>0.97099236641221376</v>
      </c>
      <c r="R308" s="20">
        <v>5240</v>
      </c>
      <c r="S308" s="27">
        <f t="shared" si="359"/>
        <v>152</v>
      </c>
      <c r="T308" s="20">
        <v>5088</v>
      </c>
      <c r="U308" s="20">
        <v>4503</v>
      </c>
      <c r="V308" s="20">
        <f t="shared" si="360"/>
        <v>585</v>
      </c>
      <c r="W308" s="20"/>
      <c r="X308" s="20"/>
      <c r="Y308" s="45"/>
      <c r="Z308" s="48"/>
      <c r="AA308" s="35"/>
      <c r="AB308" s="35"/>
      <c r="AC308" s="35"/>
      <c r="AD308" s="20"/>
      <c r="AE308" s="27"/>
      <c r="AF308" s="20"/>
      <c r="AG308" s="20"/>
      <c r="AH308" s="20"/>
      <c r="AI308" s="20"/>
      <c r="AJ308" s="20"/>
      <c r="AK308" s="45">
        <v>2018</v>
      </c>
      <c r="AL308" s="48" t="s">
        <v>40</v>
      </c>
      <c r="AM308" s="35">
        <f t="shared" si="279"/>
        <v>0.92445025038101458</v>
      </c>
      <c r="AN308" s="35">
        <f t="shared" si="280"/>
        <v>0.94776785714285716</v>
      </c>
      <c r="AO308" s="35">
        <f t="shared" si="281"/>
        <v>0.97539734378401921</v>
      </c>
      <c r="AP308" s="20">
        <v>4593</v>
      </c>
      <c r="AQ308" s="27">
        <f t="shared" si="361"/>
        <v>113</v>
      </c>
      <c r="AR308" s="20">
        <v>4480</v>
      </c>
      <c r="AS308" s="20">
        <v>4246</v>
      </c>
      <c r="AT308" s="20">
        <f t="shared" si="362"/>
        <v>234</v>
      </c>
      <c r="AU308" s="20"/>
      <c r="AV308" s="20"/>
      <c r="AW308" s="45">
        <v>2018</v>
      </c>
      <c r="AX308" s="48" t="s">
        <v>40</v>
      </c>
      <c r="AY308" s="35">
        <f t="shared" si="316"/>
        <v>0.89122978931896124</v>
      </c>
      <c r="AZ308" s="35">
        <f t="shared" si="317"/>
        <v>0.92711518858307851</v>
      </c>
      <c r="BA308" s="35">
        <f t="shared" si="318"/>
        <v>0.96129348358647726</v>
      </c>
      <c r="BB308" s="20">
        <v>4082</v>
      </c>
      <c r="BC308" s="27">
        <f t="shared" si="363"/>
        <v>158</v>
      </c>
      <c r="BD308" s="20">
        <v>3924</v>
      </c>
      <c r="BE308" s="20">
        <v>3638</v>
      </c>
      <c r="BF308" s="20">
        <f t="shared" si="364"/>
        <v>286</v>
      </c>
      <c r="BG308" s="20"/>
      <c r="BH308" s="20"/>
      <c r="BI308" s="45">
        <v>2018</v>
      </c>
      <c r="BJ308" s="48" t="s">
        <v>40</v>
      </c>
      <c r="BK308" s="35">
        <f t="shared" si="282"/>
        <v>0.89049214120072151</v>
      </c>
      <c r="BL308" s="35">
        <f t="shared" si="283"/>
        <v>0.91235480464625129</v>
      </c>
      <c r="BM308" s="35">
        <f t="shared" si="284"/>
        <v>0.97603710383921671</v>
      </c>
      <c r="BN308" s="20">
        <v>3881</v>
      </c>
      <c r="BO308" s="27">
        <f t="shared" si="365"/>
        <v>93</v>
      </c>
      <c r="BP308" s="20">
        <v>3788</v>
      </c>
      <c r="BQ308" s="20">
        <v>3456</v>
      </c>
      <c r="BR308" s="20">
        <f t="shared" si="366"/>
        <v>332</v>
      </c>
      <c r="BS308" s="20"/>
      <c r="BT308" s="20"/>
      <c r="BU308" s="45">
        <v>2018</v>
      </c>
      <c r="BV308" s="48" t="s">
        <v>40</v>
      </c>
      <c r="BW308" s="35"/>
      <c r="BX308" s="35"/>
      <c r="BY308" s="35"/>
      <c r="BZ308" s="86"/>
      <c r="CA308" s="87"/>
      <c r="CB308" s="20"/>
      <c r="CC308" s="20"/>
      <c r="CD308" s="20"/>
      <c r="CE308" s="20"/>
      <c r="CF308" s="20"/>
      <c r="CG308" s="45">
        <v>2018</v>
      </c>
      <c r="CH308" s="48" t="s">
        <v>40</v>
      </c>
      <c r="CI308" s="35">
        <f t="shared" si="288"/>
        <v>0.96497373029772326</v>
      </c>
      <c r="CJ308" s="35">
        <f t="shared" si="289"/>
        <v>0.98834080717488793</v>
      </c>
      <c r="CK308" s="35">
        <f t="shared" si="290"/>
        <v>0.97635726795096323</v>
      </c>
      <c r="CL308" s="20">
        <v>1142</v>
      </c>
      <c r="CM308" s="27">
        <f t="shared" si="367"/>
        <v>27</v>
      </c>
      <c r="CN308" s="20">
        <v>1115</v>
      </c>
      <c r="CO308" s="20">
        <v>1102</v>
      </c>
      <c r="CP308" s="20">
        <f t="shared" si="368"/>
        <v>13</v>
      </c>
      <c r="CQ308" s="20"/>
      <c r="CR308" s="20"/>
      <c r="CS308" s="45">
        <v>2018</v>
      </c>
      <c r="CT308" s="48" t="s">
        <v>40</v>
      </c>
      <c r="CU308" s="35">
        <f t="shared" si="293"/>
        <v>0.94032258064516128</v>
      </c>
      <c r="CV308" s="35">
        <f t="shared" si="294"/>
        <v>0.9464285714285714</v>
      </c>
      <c r="CW308" s="35">
        <f t="shared" si="295"/>
        <v>0.99354838709677418</v>
      </c>
      <c r="CX308" s="20">
        <v>620</v>
      </c>
      <c r="CY308" s="27">
        <f t="shared" si="369"/>
        <v>4</v>
      </c>
      <c r="CZ308" s="20">
        <v>616</v>
      </c>
      <c r="DA308" s="20">
        <v>583</v>
      </c>
      <c r="DB308" s="20">
        <f t="shared" si="370"/>
        <v>33</v>
      </c>
      <c r="DC308" s="20"/>
      <c r="DD308" s="20"/>
      <c r="DE308" s="45">
        <v>2018</v>
      </c>
      <c r="DF308" s="48" t="s">
        <v>40</v>
      </c>
      <c r="DG308" s="35">
        <f t="shared" si="296"/>
        <v>0.9570909090909091</v>
      </c>
      <c r="DH308" s="35">
        <f t="shared" si="297"/>
        <v>0.96764705882352942</v>
      </c>
      <c r="DI308" s="35">
        <f t="shared" si="298"/>
        <v>0.98909090909090913</v>
      </c>
      <c r="DJ308" s="20">
        <v>1375</v>
      </c>
      <c r="DK308" s="27">
        <f t="shared" si="371"/>
        <v>15</v>
      </c>
      <c r="DL308" s="20">
        <v>1360</v>
      </c>
      <c r="DM308" s="20">
        <v>1316</v>
      </c>
      <c r="DN308" s="20">
        <f t="shared" si="372"/>
        <v>44</v>
      </c>
      <c r="DO308" s="90" t="s">
        <v>71</v>
      </c>
      <c r="DP308" s="20"/>
      <c r="DQ308" s="45">
        <v>2018</v>
      </c>
      <c r="DR308" s="48" t="s">
        <v>40</v>
      </c>
      <c r="DS308" s="35">
        <f t="shared" si="354"/>
        <v>0.96356275303643724</v>
      </c>
      <c r="DT308" s="35">
        <f t="shared" si="355"/>
        <v>0.96356275303643724</v>
      </c>
      <c r="DU308" s="35">
        <f t="shared" si="356"/>
        <v>1</v>
      </c>
      <c r="DV308" s="20">
        <v>247</v>
      </c>
      <c r="DW308" s="27">
        <f t="shared" si="373"/>
        <v>0</v>
      </c>
      <c r="DX308" s="20">
        <v>247</v>
      </c>
      <c r="DY308" s="20">
        <v>238</v>
      </c>
      <c r="DZ308" s="20">
        <f t="shared" si="374"/>
        <v>9</v>
      </c>
      <c r="EA308" s="27"/>
      <c r="EB308" s="27"/>
    </row>
    <row r="309" spans="1:132" s="29" customFormat="1" ht="12.75">
      <c r="A309" s="46">
        <v>2018</v>
      </c>
      <c r="B309" s="47" t="s">
        <v>41</v>
      </c>
      <c r="C309" s="35">
        <f t="shared" si="299"/>
        <v>0.8706229082371747</v>
      </c>
      <c r="D309" s="35">
        <f t="shared" si="300"/>
        <v>0.90244912753067885</v>
      </c>
      <c r="E309" s="35">
        <f t="shared" si="301"/>
        <v>0.96473350317198658</v>
      </c>
      <c r="F30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20019</v>
      </c>
      <c r="G309" s="20">
        <f t="shared" si="302"/>
        <v>706</v>
      </c>
      <c r="H30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19313</v>
      </c>
      <c r="I30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17429</v>
      </c>
      <c r="J309" s="20">
        <f t="shared" si="303"/>
        <v>1884</v>
      </c>
      <c r="K309" s="20"/>
      <c r="L309" s="20"/>
      <c r="M309" s="46">
        <v>2018</v>
      </c>
      <c r="N309" s="47" t="s">
        <v>41</v>
      </c>
      <c r="O309" s="35">
        <f t="shared" si="276"/>
        <v>0.82482786553260434</v>
      </c>
      <c r="P309" s="35">
        <f t="shared" si="277"/>
        <v>0.84327122153209111</v>
      </c>
      <c r="Q309" s="35">
        <f t="shared" si="278"/>
        <v>0.9781287970838396</v>
      </c>
      <c r="R309" s="20">
        <v>4938</v>
      </c>
      <c r="S309" s="27">
        <f t="shared" si="359"/>
        <v>108</v>
      </c>
      <c r="T309" s="20">
        <v>4830</v>
      </c>
      <c r="U309" s="20">
        <v>4073</v>
      </c>
      <c r="V309" s="20">
        <f t="shared" si="360"/>
        <v>757</v>
      </c>
      <c r="W309" s="20"/>
      <c r="X309" s="20"/>
      <c r="Y309" s="46"/>
      <c r="Z309" s="47"/>
      <c r="AA309" s="35"/>
      <c r="AB309" s="35"/>
      <c r="AC309" s="35"/>
      <c r="AD309" s="20"/>
      <c r="AE309" s="27"/>
      <c r="AF309" s="20"/>
      <c r="AG309" s="20"/>
      <c r="AH309" s="20"/>
      <c r="AI309" s="20"/>
      <c r="AJ309" s="20"/>
      <c r="AK309" s="46">
        <v>2018</v>
      </c>
      <c r="AL309" s="47" t="s">
        <v>41</v>
      </c>
      <c r="AM309" s="35">
        <f t="shared" si="279"/>
        <v>0.89434832756632066</v>
      </c>
      <c r="AN309" s="35">
        <f t="shared" si="280"/>
        <v>0.92155930591870694</v>
      </c>
      <c r="AO309" s="35">
        <f t="shared" si="281"/>
        <v>0.97047289504036904</v>
      </c>
      <c r="AP309" s="20">
        <v>4335</v>
      </c>
      <c r="AQ309" s="27">
        <f t="shared" si="361"/>
        <v>128</v>
      </c>
      <c r="AR309" s="20">
        <v>4207</v>
      </c>
      <c r="AS309" s="20">
        <v>3877</v>
      </c>
      <c r="AT309" s="20">
        <f t="shared" si="362"/>
        <v>330</v>
      </c>
      <c r="AU309" s="20"/>
      <c r="AV309" s="20"/>
      <c r="AW309" s="46">
        <v>2018</v>
      </c>
      <c r="AX309" s="47" t="s">
        <v>41</v>
      </c>
      <c r="AY309" s="35">
        <f t="shared" si="316"/>
        <v>0.86195109124375491</v>
      </c>
      <c r="AZ309" s="35">
        <f t="shared" si="317"/>
        <v>0.91411042944785281</v>
      </c>
      <c r="BA309" s="35">
        <f t="shared" si="318"/>
        <v>0.94293978438075199</v>
      </c>
      <c r="BB309" s="20">
        <v>3803</v>
      </c>
      <c r="BC309" s="27">
        <f t="shared" si="363"/>
        <v>217</v>
      </c>
      <c r="BD309" s="20">
        <v>3586</v>
      </c>
      <c r="BE309" s="20">
        <v>3278</v>
      </c>
      <c r="BF309" s="20">
        <f t="shared" si="364"/>
        <v>308</v>
      </c>
      <c r="BG309" s="20"/>
      <c r="BH309" s="20"/>
      <c r="BI309" s="46">
        <v>2018</v>
      </c>
      <c r="BJ309" s="47" t="s">
        <v>41</v>
      </c>
      <c r="BK309" s="35">
        <f t="shared" si="282"/>
        <v>0.8365959760739532</v>
      </c>
      <c r="BL309" s="35">
        <f t="shared" si="283"/>
        <v>0.8821674311926605</v>
      </c>
      <c r="BM309" s="35">
        <f t="shared" si="284"/>
        <v>0.94834148994018486</v>
      </c>
      <c r="BN309" s="20">
        <v>3678</v>
      </c>
      <c r="BO309" s="27">
        <f t="shared" si="365"/>
        <v>190</v>
      </c>
      <c r="BP309" s="20">
        <v>3488</v>
      </c>
      <c r="BQ309" s="20">
        <v>3077</v>
      </c>
      <c r="BR309" s="20">
        <f t="shared" si="366"/>
        <v>411</v>
      </c>
      <c r="BS309" s="20"/>
      <c r="BT309" s="20"/>
      <c r="BU309" s="46">
        <v>2018</v>
      </c>
      <c r="BV309" s="47" t="s">
        <v>41</v>
      </c>
      <c r="BW309" s="35"/>
      <c r="BX309" s="35"/>
      <c r="BY309" s="35"/>
      <c r="BZ309" s="86"/>
      <c r="CA309" s="87"/>
      <c r="CB309" s="20"/>
      <c r="CC309" s="20"/>
      <c r="CD309" s="20"/>
      <c r="CE309" s="20"/>
      <c r="CF309" s="20"/>
      <c r="CG309" s="46">
        <v>2018</v>
      </c>
      <c r="CH309" s="47" t="s">
        <v>41</v>
      </c>
      <c r="CI309" s="35">
        <f t="shared" si="288"/>
        <v>0.96554850407978243</v>
      </c>
      <c r="CJ309" s="35">
        <f t="shared" si="289"/>
        <v>0.9888579387186629</v>
      </c>
      <c r="CK309" s="35">
        <f t="shared" si="290"/>
        <v>0.97642792384406163</v>
      </c>
      <c r="CL309" s="20">
        <v>1103</v>
      </c>
      <c r="CM309" s="27">
        <f t="shared" si="367"/>
        <v>26</v>
      </c>
      <c r="CN309" s="20">
        <v>1077</v>
      </c>
      <c r="CO309" s="20">
        <v>1065</v>
      </c>
      <c r="CP309" s="20">
        <f t="shared" si="368"/>
        <v>12</v>
      </c>
      <c r="CQ309" s="20"/>
      <c r="CR309" s="20"/>
      <c r="CS309" s="46">
        <v>2018</v>
      </c>
      <c r="CT309" s="47" t="s">
        <v>41</v>
      </c>
      <c r="CU309" s="35">
        <f t="shared" si="293"/>
        <v>0.94166666666666665</v>
      </c>
      <c r="CV309" s="35">
        <f t="shared" si="294"/>
        <v>0.96416382252559729</v>
      </c>
      <c r="CW309" s="35">
        <f t="shared" si="295"/>
        <v>0.97666666666666668</v>
      </c>
      <c r="CX309" s="20">
        <v>600</v>
      </c>
      <c r="CY309" s="27">
        <f t="shared" si="369"/>
        <v>14</v>
      </c>
      <c r="CZ309" s="20">
        <v>586</v>
      </c>
      <c r="DA309" s="20">
        <v>565</v>
      </c>
      <c r="DB309" s="20">
        <f t="shared" si="370"/>
        <v>21</v>
      </c>
      <c r="DC309" s="20"/>
      <c r="DD309" s="20"/>
      <c r="DE309" s="46">
        <v>2018</v>
      </c>
      <c r="DF309" s="47" t="s">
        <v>41</v>
      </c>
      <c r="DG309" s="35">
        <f t="shared" si="296"/>
        <v>0.95083207261724656</v>
      </c>
      <c r="DH309" s="35">
        <f t="shared" si="297"/>
        <v>0.9676674364896074</v>
      </c>
      <c r="DI309" s="35">
        <f t="shared" si="298"/>
        <v>0.98260211800302577</v>
      </c>
      <c r="DJ309" s="20">
        <v>1322</v>
      </c>
      <c r="DK309" s="27">
        <f t="shared" si="371"/>
        <v>23</v>
      </c>
      <c r="DL309" s="20">
        <v>1299</v>
      </c>
      <c r="DM309" s="20">
        <v>1257</v>
      </c>
      <c r="DN309" s="20">
        <f t="shared" si="372"/>
        <v>42</v>
      </c>
      <c r="DO309" s="20"/>
      <c r="DP309" s="20"/>
      <c r="DQ309" s="46">
        <v>2018</v>
      </c>
      <c r="DR309" s="47" t="s">
        <v>41</v>
      </c>
      <c r="DS309" s="35">
        <f t="shared" si="354"/>
        <v>0.98750000000000004</v>
      </c>
      <c r="DT309" s="35">
        <f t="shared" si="355"/>
        <v>0.98750000000000004</v>
      </c>
      <c r="DU309" s="35">
        <f t="shared" si="356"/>
        <v>1</v>
      </c>
      <c r="DV309" s="20">
        <v>240</v>
      </c>
      <c r="DW309" s="27">
        <f t="shared" si="373"/>
        <v>0</v>
      </c>
      <c r="DX309" s="20">
        <v>240</v>
      </c>
      <c r="DY309" s="20">
        <v>237</v>
      </c>
      <c r="DZ309" s="20">
        <f t="shared" si="374"/>
        <v>3</v>
      </c>
      <c r="EA309" s="27"/>
      <c r="EB309" s="27"/>
    </row>
    <row r="310" spans="1:132" s="29" customFormat="1" ht="12.75">
      <c r="A310" s="45">
        <v>2018</v>
      </c>
      <c r="B310" s="48" t="s">
        <v>42</v>
      </c>
      <c r="C310" s="35">
        <f t="shared" si="299"/>
        <v>0.8816345925397957</v>
      </c>
      <c r="D310" s="35">
        <f t="shared" si="300"/>
        <v>0.9175155770942538</v>
      </c>
      <c r="E310" s="35">
        <f t="shared" si="301"/>
        <v>0.96089332382988835</v>
      </c>
      <c r="F31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21045</v>
      </c>
      <c r="G310" s="20">
        <f t="shared" si="302"/>
        <v>823</v>
      </c>
      <c r="H31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20222</v>
      </c>
      <c r="I31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18554</v>
      </c>
      <c r="J310" s="20">
        <f t="shared" si="303"/>
        <v>1668</v>
      </c>
      <c r="K310" s="20"/>
      <c r="L310" s="20"/>
      <c r="M310" s="45">
        <v>2018</v>
      </c>
      <c r="N310" s="48" t="s">
        <v>42</v>
      </c>
      <c r="O310" s="35">
        <f t="shared" si="276"/>
        <v>0.8339687380861609</v>
      </c>
      <c r="P310" s="35">
        <f t="shared" si="277"/>
        <v>0.85482610394685421</v>
      </c>
      <c r="Q310" s="35">
        <f t="shared" si="278"/>
        <v>0.97560045749142199</v>
      </c>
      <c r="R310" s="20">
        <v>5246</v>
      </c>
      <c r="S310" s="27">
        <f t="shared" si="359"/>
        <v>128</v>
      </c>
      <c r="T310" s="20">
        <v>5118</v>
      </c>
      <c r="U310" s="20">
        <v>4375</v>
      </c>
      <c r="V310" s="20">
        <f t="shared" si="360"/>
        <v>743</v>
      </c>
      <c r="W310" s="20"/>
      <c r="X310" s="20"/>
      <c r="Y310" s="45"/>
      <c r="Z310" s="48"/>
      <c r="AA310" s="35"/>
      <c r="AB310" s="35"/>
      <c r="AC310" s="35"/>
      <c r="AD310" s="20"/>
      <c r="AE310" s="27"/>
      <c r="AF310" s="20"/>
      <c r="AG310" s="20"/>
      <c r="AH310" s="20"/>
      <c r="AI310" s="20"/>
      <c r="AJ310" s="20"/>
      <c r="AK310" s="45">
        <v>2018</v>
      </c>
      <c r="AL310" s="48" t="s">
        <v>42</v>
      </c>
      <c r="AM310" s="35">
        <f t="shared" si="279"/>
        <v>0.91661195009848984</v>
      </c>
      <c r="AN310" s="35">
        <f t="shared" si="280"/>
        <v>0.93859255939040787</v>
      </c>
      <c r="AO310" s="35">
        <f t="shared" si="281"/>
        <v>0.9765813088203108</v>
      </c>
      <c r="AP310" s="20">
        <v>4569</v>
      </c>
      <c r="AQ310" s="27">
        <f t="shared" si="361"/>
        <v>107</v>
      </c>
      <c r="AR310" s="20">
        <v>4462</v>
      </c>
      <c r="AS310" s="20">
        <v>4188</v>
      </c>
      <c r="AT310" s="20">
        <f t="shared" si="362"/>
        <v>274</v>
      </c>
      <c r="AU310" s="20"/>
      <c r="AV310" s="20"/>
      <c r="AW310" s="45">
        <v>2018</v>
      </c>
      <c r="AX310" s="48" t="s">
        <v>42</v>
      </c>
      <c r="AY310" s="35">
        <f t="shared" si="316"/>
        <v>0.88418430884184307</v>
      </c>
      <c r="AZ310" s="35">
        <f t="shared" si="317"/>
        <v>0.93396474611944225</v>
      </c>
      <c r="BA310" s="35">
        <f t="shared" si="318"/>
        <v>0.94669987546699874</v>
      </c>
      <c r="BB310" s="20">
        <v>4015</v>
      </c>
      <c r="BC310" s="27">
        <f t="shared" si="363"/>
        <v>214</v>
      </c>
      <c r="BD310" s="20">
        <v>3801</v>
      </c>
      <c r="BE310" s="20">
        <v>3550</v>
      </c>
      <c r="BF310" s="20">
        <f t="shared" si="364"/>
        <v>251</v>
      </c>
      <c r="BG310" s="20"/>
      <c r="BH310" s="20"/>
      <c r="BI310" s="45">
        <v>2018</v>
      </c>
      <c r="BJ310" s="48" t="s">
        <v>42</v>
      </c>
      <c r="BK310" s="35">
        <f t="shared" si="282"/>
        <v>0.84811443433029909</v>
      </c>
      <c r="BL310" s="35">
        <f t="shared" si="283"/>
        <v>0.91962774957698812</v>
      </c>
      <c r="BM310" s="35">
        <f t="shared" si="284"/>
        <v>0.92223667100130036</v>
      </c>
      <c r="BN310" s="20">
        <v>3845</v>
      </c>
      <c r="BO310" s="27">
        <f t="shared" si="365"/>
        <v>299</v>
      </c>
      <c r="BP310" s="20">
        <v>3546</v>
      </c>
      <c r="BQ310" s="20">
        <v>3261</v>
      </c>
      <c r="BR310" s="20">
        <f t="shared" si="366"/>
        <v>285</v>
      </c>
      <c r="BS310" s="20"/>
      <c r="BT310" s="20"/>
      <c r="BU310" s="45">
        <v>2018</v>
      </c>
      <c r="BV310" s="48" t="s">
        <v>42</v>
      </c>
      <c r="BW310" s="35"/>
      <c r="BX310" s="35"/>
      <c r="BY310" s="35"/>
      <c r="BZ310" s="86"/>
      <c r="CA310" s="87"/>
      <c r="CB310" s="20"/>
      <c r="CC310" s="20"/>
      <c r="CD310" s="20"/>
      <c r="CE310" s="20"/>
      <c r="CF310" s="20"/>
      <c r="CG310" s="45">
        <v>2018</v>
      </c>
      <c r="CH310" s="48" t="s">
        <v>42</v>
      </c>
      <c r="CI310" s="35">
        <f t="shared" si="288"/>
        <v>0.97458369851007887</v>
      </c>
      <c r="CJ310" s="35">
        <f t="shared" si="289"/>
        <v>0.99020480854853077</v>
      </c>
      <c r="CK310" s="35">
        <f t="shared" si="290"/>
        <v>0.98422436459246276</v>
      </c>
      <c r="CL310" s="20">
        <v>1141</v>
      </c>
      <c r="CM310" s="27">
        <f t="shared" si="367"/>
        <v>18</v>
      </c>
      <c r="CN310" s="20">
        <v>1123</v>
      </c>
      <c r="CO310" s="20">
        <v>1112</v>
      </c>
      <c r="CP310" s="20">
        <f t="shared" si="368"/>
        <v>11</v>
      </c>
      <c r="CQ310" s="20"/>
      <c r="CR310" s="20"/>
      <c r="CS310" s="45">
        <v>2018</v>
      </c>
      <c r="CT310" s="48" t="s">
        <v>42</v>
      </c>
      <c r="CU310" s="35">
        <f t="shared" si="293"/>
        <v>0.93225806451612903</v>
      </c>
      <c r="CV310" s="35">
        <f t="shared" si="294"/>
        <v>0.96333333333333337</v>
      </c>
      <c r="CW310" s="35">
        <f t="shared" si="295"/>
        <v>0.967741935483871</v>
      </c>
      <c r="CX310" s="20">
        <v>620</v>
      </c>
      <c r="CY310" s="27">
        <f t="shared" si="369"/>
        <v>20</v>
      </c>
      <c r="CZ310" s="20">
        <v>600</v>
      </c>
      <c r="DA310" s="20">
        <v>578</v>
      </c>
      <c r="DB310" s="20">
        <f t="shared" si="370"/>
        <v>22</v>
      </c>
      <c r="DC310" s="20"/>
      <c r="DD310" s="20"/>
      <c r="DE310" s="45">
        <v>2018</v>
      </c>
      <c r="DF310" s="48" t="s">
        <v>42</v>
      </c>
      <c r="DG310" s="35">
        <f t="shared" si="296"/>
        <v>0.91830780452224658</v>
      </c>
      <c r="DH310" s="35">
        <f t="shared" si="297"/>
        <v>0.94236526946107779</v>
      </c>
      <c r="DI310" s="35">
        <f t="shared" si="298"/>
        <v>0.97447118891320206</v>
      </c>
      <c r="DJ310" s="20">
        <v>1371</v>
      </c>
      <c r="DK310" s="27">
        <f t="shared" si="371"/>
        <v>35</v>
      </c>
      <c r="DL310" s="20">
        <v>1336</v>
      </c>
      <c r="DM310" s="20">
        <v>1259</v>
      </c>
      <c r="DN310" s="20">
        <f t="shared" si="372"/>
        <v>77</v>
      </c>
      <c r="DO310" s="20"/>
      <c r="DP310" s="20"/>
      <c r="DQ310" s="45">
        <v>2018</v>
      </c>
      <c r="DR310" s="48" t="s">
        <v>42</v>
      </c>
      <c r="DS310" s="35">
        <f t="shared" si="354"/>
        <v>0.97058823529411764</v>
      </c>
      <c r="DT310" s="35">
        <f t="shared" si="355"/>
        <v>0.97881355932203384</v>
      </c>
      <c r="DU310" s="35">
        <f t="shared" si="356"/>
        <v>0.99159663865546221</v>
      </c>
      <c r="DV310" s="20">
        <v>238</v>
      </c>
      <c r="DW310" s="27">
        <f t="shared" si="373"/>
        <v>2</v>
      </c>
      <c r="DX310" s="20">
        <v>236</v>
      </c>
      <c r="DY310" s="20">
        <v>231</v>
      </c>
      <c r="DZ310" s="20">
        <f t="shared" si="374"/>
        <v>5</v>
      </c>
      <c r="EA310" s="27"/>
      <c r="EB310" s="27"/>
    </row>
    <row r="311" spans="1:132" s="29" customFormat="1" ht="12.75">
      <c r="A311" s="46">
        <v>2018</v>
      </c>
      <c r="B311" s="47" t="s">
        <v>43</v>
      </c>
      <c r="C311" s="35">
        <f t="shared" si="299"/>
        <v>0.81680584551148228</v>
      </c>
      <c r="D311" s="35">
        <f t="shared" si="300"/>
        <v>0.88513548254408969</v>
      </c>
      <c r="E311" s="35">
        <f t="shared" si="301"/>
        <v>0.92280318846080855</v>
      </c>
      <c r="F31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21076</v>
      </c>
      <c r="G311" s="20">
        <f t="shared" si="302"/>
        <v>1627</v>
      </c>
      <c r="H31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19449</v>
      </c>
      <c r="I31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J311" s="20">
        <f t="shared" si="303"/>
        <v>2234</v>
      </c>
      <c r="K311" s="20"/>
      <c r="L311" s="20"/>
      <c r="M311" s="46">
        <v>2018</v>
      </c>
      <c r="N311" s="47" t="s">
        <v>43</v>
      </c>
      <c r="O311" s="35">
        <f t="shared" si="276"/>
        <v>0.76685499058380413</v>
      </c>
      <c r="P311" s="35">
        <f t="shared" si="277"/>
        <v>0.81147867676365082</v>
      </c>
      <c r="Q311" s="35">
        <f t="shared" si="278"/>
        <v>0.94500941619585688</v>
      </c>
      <c r="R311" s="20">
        <v>5310</v>
      </c>
      <c r="S311" s="27">
        <f t="shared" si="359"/>
        <v>292</v>
      </c>
      <c r="T311" s="20">
        <v>5018</v>
      </c>
      <c r="U311" s="20">
        <v>4072</v>
      </c>
      <c r="V311" s="20">
        <f t="shared" si="360"/>
        <v>946</v>
      </c>
      <c r="W311" s="20"/>
      <c r="X311" s="20"/>
      <c r="Y311" s="46"/>
      <c r="Z311" s="47"/>
      <c r="AA311" s="35"/>
      <c r="AB311" s="35"/>
      <c r="AC311" s="35"/>
      <c r="AD311" s="20"/>
      <c r="AE311" s="27"/>
      <c r="AF311" s="20"/>
      <c r="AG311" s="20"/>
      <c r="AH311" s="20"/>
      <c r="AI311" s="20"/>
      <c r="AJ311" s="20"/>
      <c r="AK311" s="46">
        <v>2018</v>
      </c>
      <c r="AL311" s="47" t="s">
        <v>43</v>
      </c>
      <c r="AM311" s="35">
        <f t="shared" si="279"/>
        <v>0.83636363636363631</v>
      </c>
      <c r="AN311" s="35">
        <f t="shared" si="280"/>
        <v>0.89025500910746813</v>
      </c>
      <c r="AO311" s="35">
        <f t="shared" si="281"/>
        <v>0.93946524064171122</v>
      </c>
      <c r="AP311" s="20">
        <v>4675</v>
      </c>
      <c r="AQ311" s="27">
        <f t="shared" si="361"/>
        <v>283</v>
      </c>
      <c r="AR311" s="20">
        <v>4392</v>
      </c>
      <c r="AS311" s="20">
        <v>3910</v>
      </c>
      <c r="AT311" s="20">
        <f t="shared" si="362"/>
        <v>482</v>
      </c>
      <c r="AU311" s="20"/>
      <c r="AV311" s="20"/>
      <c r="AW311" s="46">
        <v>2018</v>
      </c>
      <c r="AX311" s="47" t="s">
        <v>43</v>
      </c>
      <c r="AY311" s="35">
        <f t="shared" si="316"/>
        <v>0.81548223350253812</v>
      </c>
      <c r="AZ311" s="35">
        <f t="shared" si="317"/>
        <v>0.92700519330640507</v>
      </c>
      <c r="BA311" s="35">
        <f t="shared" si="318"/>
        <v>0.87969543147208118</v>
      </c>
      <c r="BB311" s="20">
        <v>3940</v>
      </c>
      <c r="BC311" s="27">
        <f t="shared" si="363"/>
        <v>474</v>
      </c>
      <c r="BD311" s="20">
        <v>3466</v>
      </c>
      <c r="BE311" s="20">
        <v>3213</v>
      </c>
      <c r="BF311" s="20">
        <f t="shared" si="364"/>
        <v>253</v>
      </c>
      <c r="BG311" s="20"/>
      <c r="BH311" s="20"/>
      <c r="BI311" s="46">
        <v>2018</v>
      </c>
      <c r="BJ311" s="47" t="s">
        <v>43</v>
      </c>
      <c r="BK311" s="35">
        <f t="shared" si="282"/>
        <v>0.81759999999999999</v>
      </c>
      <c r="BL311" s="35">
        <f t="shared" si="283"/>
        <v>0.89309641712787646</v>
      </c>
      <c r="BM311" s="35">
        <f t="shared" si="284"/>
        <v>0.91546666666666665</v>
      </c>
      <c r="BN311" s="20">
        <v>3750</v>
      </c>
      <c r="BO311" s="27">
        <f t="shared" si="365"/>
        <v>317</v>
      </c>
      <c r="BP311" s="20">
        <v>3433</v>
      </c>
      <c r="BQ311" s="20">
        <v>3066</v>
      </c>
      <c r="BR311" s="20">
        <f t="shared" si="366"/>
        <v>367</v>
      </c>
      <c r="BS311" s="20"/>
      <c r="BT311" s="20"/>
      <c r="BU311" s="46">
        <v>2018</v>
      </c>
      <c r="BV311" s="47" t="s">
        <v>43</v>
      </c>
      <c r="BW311" s="35"/>
      <c r="BX311" s="35"/>
      <c r="BY311" s="35"/>
      <c r="BZ311" s="86"/>
      <c r="CA311" s="87"/>
      <c r="CB311" s="20"/>
      <c r="CC311" s="20"/>
      <c r="CD311" s="20"/>
      <c r="CE311" s="20"/>
      <c r="CF311" s="20"/>
      <c r="CG311" s="46">
        <v>2018</v>
      </c>
      <c r="CH311" s="47" t="s">
        <v>43</v>
      </c>
      <c r="CI311" s="35">
        <f t="shared" si="288"/>
        <v>0.89502262443438918</v>
      </c>
      <c r="CJ311" s="35">
        <f t="shared" si="289"/>
        <v>0.98604187437686941</v>
      </c>
      <c r="CK311" s="35">
        <f t="shared" si="290"/>
        <v>0.90769230769230769</v>
      </c>
      <c r="CL311" s="20">
        <v>1105</v>
      </c>
      <c r="CM311" s="27">
        <f t="shared" si="367"/>
        <v>102</v>
      </c>
      <c r="CN311" s="20">
        <v>1003</v>
      </c>
      <c r="CO311" s="20">
        <v>989</v>
      </c>
      <c r="CP311" s="20">
        <f t="shared" si="368"/>
        <v>14</v>
      </c>
      <c r="CQ311" s="20"/>
      <c r="CR311" s="20"/>
      <c r="CS311" s="46">
        <v>2018</v>
      </c>
      <c r="CT311" s="47" t="s">
        <v>43</v>
      </c>
      <c r="CU311" s="35">
        <f t="shared" si="293"/>
        <v>0.88166666666666671</v>
      </c>
      <c r="CV311" s="35">
        <f t="shared" si="294"/>
        <v>0.95833333333333337</v>
      </c>
      <c r="CW311" s="35">
        <f t="shared" si="295"/>
        <v>0.92</v>
      </c>
      <c r="CX311" s="20">
        <v>600</v>
      </c>
      <c r="CY311" s="27">
        <f t="shared" si="369"/>
        <v>48</v>
      </c>
      <c r="CZ311" s="20">
        <v>552</v>
      </c>
      <c r="DA311" s="20">
        <v>529</v>
      </c>
      <c r="DB311" s="20">
        <f t="shared" si="370"/>
        <v>23</v>
      </c>
      <c r="DC311" s="20"/>
      <c r="DD311" s="20"/>
      <c r="DE311" s="46">
        <v>2018</v>
      </c>
      <c r="DF311" s="47" t="s">
        <v>43</v>
      </c>
      <c r="DG311" s="35">
        <f t="shared" si="296"/>
        <v>0.83310439560439564</v>
      </c>
      <c r="DH311" s="35">
        <f t="shared" si="297"/>
        <v>0.895864106351551</v>
      </c>
      <c r="DI311" s="35">
        <f t="shared" si="298"/>
        <v>0.92994505494505497</v>
      </c>
      <c r="DJ311" s="20">
        <v>1456</v>
      </c>
      <c r="DK311" s="27">
        <f t="shared" si="371"/>
        <v>102</v>
      </c>
      <c r="DL311" s="20">
        <v>1354</v>
      </c>
      <c r="DM311" s="20">
        <v>1213</v>
      </c>
      <c r="DN311" s="20">
        <f t="shared" si="372"/>
        <v>141</v>
      </c>
      <c r="DO311" s="20"/>
      <c r="DP311" s="20"/>
      <c r="DQ311" s="46">
        <v>2018</v>
      </c>
      <c r="DR311" s="47" t="s">
        <v>43</v>
      </c>
      <c r="DS311" s="35">
        <f t="shared" si="354"/>
        <v>0.9291666666666667</v>
      </c>
      <c r="DT311" s="35">
        <f t="shared" si="355"/>
        <v>0.96536796536796532</v>
      </c>
      <c r="DU311" s="35">
        <f t="shared" si="356"/>
        <v>0.96250000000000002</v>
      </c>
      <c r="DV311" s="20">
        <v>240</v>
      </c>
      <c r="DW311" s="27">
        <f t="shared" si="373"/>
        <v>9</v>
      </c>
      <c r="DX311" s="20">
        <v>231</v>
      </c>
      <c r="DY311" s="20">
        <v>223</v>
      </c>
      <c r="DZ311" s="20">
        <f t="shared" si="374"/>
        <v>8</v>
      </c>
      <c r="EA311" s="27"/>
      <c r="EB311" s="27"/>
    </row>
    <row r="312" spans="1:132" s="29" customFormat="1" ht="12.75">
      <c r="A312" s="45">
        <v>2018</v>
      </c>
      <c r="B312" s="48" t="s">
        <v>44</v>
      </c>
      <c r="C312" s="35">
        <f t="shared" si="299"/>
        <v>0.88047310868109796</v>
      </c>
      <c r="D312" s="35">
        <f t="shared" si="300"/>
        <v>0.90824125230202579</v>
      </c>
      <c r="E312" s="35">
        <f t="shared" si="301"/>
        <v>0.9694264673064048</v>
      </c>
      <c r="F31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22405</v>
      </c>
      <c r="G312" s="20">
        <f t="shared" si="302"/>
        <v>685</v>
      </c>
      <c r="H31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21720</v>
      </c>
      <c r="I31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19727</v>
      </c>
      <c r="J312" s="20">
        <f t="shared" si="303"/>
        <v>1993</v>
      </c>
      <c r="K312" s="20"/>
      <c r="L312" s="20"/>
      <c r="M312" s="45">
        <v>2018</v>
      </c>
      <c r="N312" s="48" t="s">
        <v>44</v>
      </c>
      <c r="O312" s="35">
        <f t="shared" si="276"/>
        <v>0.82261987491313415</v>
      </c>
      <c r="P312" s="35">
        <f t="shared" si="277"/>
        <v>0.85008976660682223</v>
      </c>
      <c r="Q312" s="35">
        <f t="shared" si="278"/>
        <v>0.96768589298123697</v>
      </c>
      <c r="R312" s="20">
        <v>5756</v>
      </c>
      <c r="S312" s="27">
        <f t="shared" si="359"/>
        <v>186</v>
      </c>
      <c r="T312" s="20">
        <v>5570</v>
      </c>
      <c r="U312" s="20">
        <v>4735</v>
      </c>
      <c r="V312" s="20">
        <f t="shared" si="360"/>
        <v>835</v>
      </c>
      <c r="W312" s="20"/>
      <c r="X312" s="20"/>
      <c r="Y312" s="45"/>
      <c r="Z312" s="48"/>
      <c r="AA312" s="35"/>
      <c r="AB312" s="35"/>
      <c r="AC312" s="35"/>
      <c r="AD312" s="20"/>
      <c r="AE312" s="27"/>
      <c r="AF312" s="20"/>
      <c r="AG312" s="20"/>
      <c r="AH312" s="20"/>
      <c r="AI312" s="20"/>
      <c r="AJ312" s="20"/>
      <c r="AK312" s="45">
        <v>2018</v>
      </c>
      <c r="AL312" s="48" t="s">
        <v>44</v>
      </c>
      <c r="AM312" s="35">
        <f t="shared" si="279"/>
        <v>0.91036906854130051</v>
      </c>
      <c r="AN312" s="35">
        <f t="shared" si="280"/>
        <v>0.92079794588188824</v>
      </c>
      <c r="AO312" s="35">
        <f t="shared" si="281"/>
        <v>0.98867408709236482</v>
      </c>
      <c r="AP312" s="20">
        <v>5121</v>
      </c>
      <c r="AQ312" s="27">
        <f t="shared" si="361"/>
        <v>58</v>
      </c>
      <c r="AR312" s="20">
        <v>5063</v>
      </c>
      <c r="AS312" s="20">
        <v>4662</v>
      </c>
      <c r="AT312" s="20">
        <f t="shared" si="362"/>
        <v>401</v>
      </c>
      <c r="AU312" s="20"/>
      <c r="AV312" s="20"/>
      <c r="AW312" s="45">
        <v>2018</v>
      </c>
      <c r="AX312" s="48" t="s">
        <v>44</v>
      </c>
      <c r="AY312" s="35">
        <f t="shared" si="316"/>
        <v>0.86276463262764636</v>
      </c>
      <c r="AZ312" s="35">
        <f t="shared" si="317"/>
        <v>0.91085984748882465</v>
      </c>
      <c r="BA312" s="35">
        <f t="shared" si="318"/>
        <v>0.94719800747198013</v>
      </c>
      <c r="BB312" s="20">
        <v>4015</v>
      </c>
      <c r="BC312" s="27">
        <f t="shared" si="363"/>
        <v>212</v>
      </c>
      <c r="BD312" s="20">
        <v>3803</v>
      </c>
      <c r="BE312" s="20">
        <v>3464</v>
      </c>
      <c r="BF312" s="20">
        <f t="shared" si="364"/>
        <v>339</v>
      </c>
      <c r="BG312" s="20"/>
      <c r="BH312" s="20"/>
      <c r="BI312" s="45">
        <v>2018</v>
      </c>
      <c r="BJ312" s="48" t="s">
        <v>44</v>
      </c>
      <c r="BK312" s="35">
        <f t="shared" si="282"/>
        <v>0.90117035110533161</v>
      </c>
      <c r="BL312" s="35">
        <f t="shared" si="283"/>
        <v>0.93095110155830196</v>
      </c>
      <c r="BM312" s="35">
        <f t="shared" si="284"/>
        <v>0.96801040312093634</v>
      </c>
      <c r="BN312" s="20">
        <v>3845</v>
      </c>
      <c r="BO312" s="27">
        <f t="shared" si="365"/>
        <v>123</v>
      </c>
      <c r="BP312" s="20">
        <v>3722</v>
      </c>
      <c r="BQ312" s="20">
        <v>3465</v>
      </c>
      <c r="BR312" s="20">
        <f t="shared" si="366"/>
        <v>257</v>
      </c>
      <c r="BS312" s="20"/>
      <c r="BT312" s="20"/>
      <c r="BU312" s="45">
        <v>2018</v>
      </c>
      <c r="BV312" s="48" t="s">
        <v>44</v>
      </c>
      <c r="BW312" s="35"/>
      <c r="BX312" s="35"/>
      <c r="BY312" s="35"/>
      <c r="BZ312" s="86"/>
      <c r="CA312" s="87"/>
      <c r="CB312" s="20"/>
      <c r="CC312" s="20"/>
      <c r="CD312" s="20"/>
      <c r="CE312" s="20"/>
      <c r="CF312" s="20"/>
      <c r="CG312" s="45">
        <v>2018</v>
      </c>
      <c r="CH312" s="48" t="s">
        <v>44</v>
      </c>
      <c r="CI312" s="35">
        <f t="shared" si="288"/>
        <v>0.94390885188431206</v>
      </c>
      <c r="CJ312" s="35">
        <f t="shared" si="289"/>
        <v>0.98446069469835462</v>
      </c>
      <c r="CK312" s="35">
        <f t="shared" si="290"/>
        <v>0.95880806310254163</v>
      </c>
      <c r="CL312" s="20">
        <v>1141</v>
      </c>
      <c r="CM312" s="27">
        <f t="shared" si="367"/>
        <v>47</v>
      </c>
      <c r="CN312" s="20">
        <v>1094</v>
      </c>
      <c r="CO312" s="20">
        <v>1077</v>
      </c>
      <c r="CP312" s="20">
        <f t="shared" si="368"/>
        <v>17</v>
      </c>
      <c r="CQ312" s="20"/>
      <c r="CR312" s="20"/>
      <c r="CS312" s="45">
        <v>2018</v>
      </c>
      <c r="CT312" s="48" t="s">
        <v>44</v>
      </c>
      <c r="CU312" s="35">
        <f t="shared" si="293"/>
        <v>0.89516129032258063</v>
      </c>
      <c r="CV312" s="35">
        <f t="shared" si="294"/>
        <v>0.93591905564924116</v>
      </c>
      <c r="CW312" s="35">
        <f t="shared" si="295"/>
        <v>0.95645161290322578</v>
      </c>
      <c r="CX312" s="20">
        <v>620</v>
      </c>
      <c r="CY312" s="27">
        <f t="shared" si="369"/>
        <v>27</v>
      </c>
      <c r="CZ312" s="20">
        <v>593</v>
      </c>
      <c r="DA312" s="20">
        <v>555</v>
      </c>
      <c r="DB312" s="20">
        <f t="shared" si="370"/>
        <v>38</v>
      </c>
      <c r="DC312" s="20"/>
      <c r="DD312" s="20"/>
      <c r="DE312" s="45">
        <v>2018</v>
      </c>
      <c r="DF312" s="48" t="s">
        <v>44</v>
      </c>
      <c r="DG312" s="35">
        <f t="shared" si="296"/>
        <v>0.92432432432432432</v>
      </c>
      <c r="DH312" s="35">
        <f t="shared" si="297"/>
        <v>0.93956043956043955</v>
      </c>
      <c r="DI312" s="35">
        <f t="shared" si="298"/>
        <v>0.98378378378378384</v>
      </c>
      <c r="DJ312" s="20">
        <v>1665</v>
      </c>
      <c r="DK312" s="27">
        <f t="shared" si="371"/>
        <v>27</v>
      </c>
      <c r="DL312" s="20">
        <v>1638</v>
      </c>
      <c r="DM312" s="20">
        <v>1539</v>
      </c>
      <c r="DN312" s="20">
        <f t="shared" si="372"/>
        <v>99</v>
      </c>
      <c r="DO312" s="20"/>
      <c r="DP312" s="20"/>
      <c r="DQ312" s="45">
        <v>2018</v>
      </c>
      <c r="DR312" s="48" t="s">
        <v>44</v>
      </c>
      <c r="DS312" s="35">
        <f t="shared" si="354"/>
        <v>0.95041322314049592</v>
      </c>
      <c r="DT312" s="35">
        <f t="shared" si="355"/>
        <v>0.97046413502109707</v>
      </c>
      <c r="DU312" s="35">
        <f t="shared" si="356"/>
        <v>0.97933884297520657</v>
      </c>
      <c r="DV312" s="20">
        <v>242</v>
      </c>
      <c r="DW312" s="27">
        <f t="shared" si="373"/>
        <v>5</v>
      </c>
      <c r="DX312" s="20">
        <v>237</v>
      </c>
      <c r="DY312" s="20">
        <v>230</v>
      </c>
      <c r="DZ312" s="20">
        <f t="shared" si="374"/>
        <v>7</v>
      </c>
      <c r="EA312" s="27"/>
      <c r="EB312" s="27"/>
    </row>
    <row r="313" spans="1:132" s="29" customFormat="1" ht="12.75">
      <c r="A313" s="46">
        <v>2018</v>
      </c>
      <c r="B313" s="47" t="s">
        <v>45</v>
      </c>
      <c r="C313" s="35">
        <f t="shared" si="299"/>
        <v>0.89543057996485065</v>
      </c>
      <c r="D313" s="35">
        <f t="shared" si="300"/>
        <v>0.91888723567338471</v>
      </c>
      <c r="E313" s="35">
        <f t="shared" si="301"/>
        <v>0.9744727592267135</v>
      </c>
      <c r="F31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22760</v>
      </c>
      <c r="G313" s="20">
        <f t="shared" si="302"/>
        <v>581</v>
      </c>
      <c r="H31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22179</v>
      </c>
      <c r="I31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20380</v>
      </c>
      <c r="J313" s="20">
        <f t="shared" si="303"/>
        <v>1799</v>
      </c>
      <c r="K313" s="20"/>
      <c r="L313" s="20"/>
      <c r="M313" s="46">
        <v>2018</v>
      </c>
      <c r="N313" s="47" t="s">
        <v>45</v>
      </c>
      <c r="O313" s="35">
        <f t="shared" si="276"/>
        <v>0.87179487179487181</v>
      </c>
      <c r="P313" s="35">
        <f t="shared" si="277"/>
        <v>0.88792805257696295</v>
      </c>
      <c r="Q313" s="35">
        <f t="shared" si="278"/>
        <v>0.98183053149940569</v>
      </c>
      <c r="R313" s="20">
        <v>5889</v>
      </c>
      <c r="S313" s="27">
        <f t="shared" si="359"/>
        <v>107</v>
      </c>
      <c r="T313" s="20">
        <v>5782</v>
      </c>
      <c r="U313" s="20">
        <v>5134</v>
      </c>
      <c r="V313" s="20">
        <f t="shared" si="360"/>
        <v>648</v>
      </c>
      <c r="W313" s="20"/>
      <c r="X313" s="20"/>
      <c r="Y313" s="46"/>
      <c r="Z313" s="47"/>
      <c r="AA313" s="35"/>
      <c r="AB313" s="35"/>
      <c r="AC313" s="35"/>
      <c r="AD313" s="20"/>
      <c r="AE313" s="27"/>
      <c r="AF313" s="20"/>
      <c r="AG313" s="20"/>
      <c r="AH313" s="20"/>
      <c r="AI313" s="20"/>
      <c r="AJ313" s="20"/>
      <c r="AK313" s="46">
        <v>2018</v>
      </c>
      <c r="AL313" s="47" t="s">
        <v>45</v>
      </c>
      <c r="AM313" s="35">
        <f t="shared" si="279"/>
        <v>0.92565625598773715</v>
      </c>
      <c r="AN313" s="35">
        <f t="shared" si="280"/>
        <v>0.95042297855597091</v>
      </c>
      <c r="AO313" s="35">
        <f t="shared" si="281"/>
        <v>0.97394136807817588</v>
      </c>
      <c r="AP313" s="20">
        <v>5219</v>
      </c>
      <c r="AQ313" s="27">
        <f t="shared" si="361"/>
        <v>136</v>
      </c>
      <c r="AR313" s="20">
        <v>5083</v>
      </c>
      <c r="AS313" s="20">
        <v>4831</v>
      </c>
      <c r="AT313" s="20">
        <f t="shared" si="362"/>
        <v>252</v>
      </c>
      <c r="AU313" s="20"/>
      <c r="AV313" s="20"/>
      <c r="AW313" s="46">
        <v>2018</v>
      </c>
      <c r="AX313" s="47" t="s">
        <v>45</v>
      </c>
      <c r="AY313" s="35">
        <f t="shared" si="316"/>
        <v>0.84182174338883453</v>
      </c>
      <c r="AZ313" s="35">
        <f t="shared" si="317"/>
        <v>0.87928388746803066</v>
      </c>
      <c r="BA313" s="35">
        <f t="shared" si="318"/>
        <v>0.95739471106758078</v>
      </c>
      <c r="BB313" s="20">
        <v>4084</v>
      </c>
      <c r="BC313" s="27">
        <f t="shared" si="363"/>
        <v>174</v>
      </c>
      <c r="BD313" s="20">
        <v>3910</v>
      </c>
      <c r="BE313" s="20">
        <v>3438</v>
      </c>
      <c r="BF313" s="20">
        <f t="shared" si="364"/>
        <v>472</v>
      </c>
      <c r="BG313" s="20"/>
      <c r="BH313" s="20"/>
      <c r="BI313" s="46">
        <v>2018</v>
      </c>
      <c r="BJ313" s="47" t="s">
        <v>45</v>
      </c>
      <c r="BK313" s="35">
        <f t="shared" si="282"/>
        <v>0.90724040195825817</v>
      </c>
      <c r="BL313" s="35">
        <f t="shared" si="283"/>
        <v>0.92828895333509098</v>
      </c>
      <c r="BM313" s="35">
        <f t="shared" si="284"/>
        <v>0.97732543158979646</v>
      </c>
      <c r="BN313" s="20">
        <v>3881</v>
      </c>
      <c r="BO313" s="27">
        <f t="shared" si="365"/>
        <v>88</v>
      </c>
      <c r="BP313" s="20">
        <v>3793</v>
      </c>
      <c r="BQ313" s="20">
        <v>3521</v>
      </c>
      <c r="BR313" s="20">
        <f t="shared" si="366"/>
        <v>272</v>
      </c>
      <c r="BS313" s="20"/>
      <c r="BT313" s="20"/>
      <c r="BU313" s="46">
        <v>2018</v>
      </c>
      <c r="BV313" s="47" t="s">
        <v>45</v>
      </c>
      <c r="BW313" s="35"/>
      <c r="BX313" s="35"/>
      <c r="BY313" s="35"/>
      <c r="BZ313" s="86"/>
      <c r="CA313" s="87"/>
      <c r="CB313" s="20"/>
      <c r="CC313" s="20"/>
      <c r="CD313" s="20"/>
      <c r="CE313" s="20"/>
      <c r="CF313" s="20"/>
      <c r="CG313" s="46">
        <v>2018</v>
      </c>
      <c r="CH313" s="47" t="s">
        <v>45</v>
      </c>
      <c r="CI313" s="35">
        <f t="shared" si="288"/>
        <v>0.92119089316987746</v>
      </c>
      <c r="CJ313" s="35">
        <f t="shared" si="289"/>
        <v>0.9572338489535942</v>
      </c>
      <c r="CK313" s="35">
        <f t="shared" si="290"/>
        <v>0.96234676007005249</v>
      </c>
      <c r="CL313" s="20">
        <v>1142</v>
      </c>
      <c r="CM313" s="27">
        <f t="shared" si="367"/>
        <v>43</v>
      </c>
      <c r="CN313" s="20">
        <v>1099</v>
      </c>
      <c r="CO313" s="20">
        <v>1052</v>
      </c>
      <c r="CP313" s="20">
        <f t="shared" si="368"/>
        <v>47</v>
      </c>
      <c r="CQ313" s="20"/>
      <c r="CR313" s="20"/>
      <c r="CS313" s="46">
        <v>2018</v>
      </c>
      <c r="CT313" s="47" t="s">
        <v>45</v>
      </c>
      <c r="CU313" s="35">
        <f t="shared" si="293"/>
        <v>0.92741935483870963</v>
      </c>
      <c r="CV313" s="35">
        <f t="shared" si="294"/>
        <v>0.94572368421052633</v>
      </c>
      <c r="CW313" s="35">
        <f t="shared" si="295"/>
        <v>0.98064516129032253</v>
      </c>
      <c r="CX313" s="20">
        <v>620</v>
      </c>
      <c r="CY313" s="27">
        <f t="shared" si="369"/>
        <v>12</v>
      </c>
      <c r="CZ313" s="20">
        <v>608</v>
      </c>
      <c r="DA313" s="20">
        <v>575</v>
      </c>
      <c r="DB313" s="20">
        <f t="shared" si="370"/>
        <v>33</v>
      </c>
      <c r="DC313" s="20"/>
      <c r="DD313" s="20"/>
      <c r="DE313" s="46">
        <v>2018</v>
      </c>
      <c r="DF313" s="47" t="s">
        <v>45</v>
      </c>
      <c r="DG313" s="35">
        <f t="shared" si="296"/>
        <v>0.94890077243018423</v>
      </c>
      <c r="DH313" s="35">
        <f t="shared" si="297"/>
        <v>0.96089049338146815</v>
      </c>
      <c r="DI313" s="35">
        <f t="shared" si="298"/>
        <v>0.98752228163992872</v>
      </c>
      <c r="DJ313" s="20">
        <v>1683</v>
      </c>
      <c r="DK313" s="27">
        <f t="shared" si="371"/>
        <v>21</v>
      </c>
      <c r="DL313" s="20">
        <v>1662</v>
      </c>
      <c r="DM313" s="20">
        <v>1597</v>
      </c>
      <c r="DN313" s="20">
        <f t="shared" si="372"/>
        <v>65</v>
      </c>
      <c r="DO313" s="20"/>
      <c r="DP313" s="20"/>
      <c r="DQ313" s="46">
        <v>2018</v>
      </c>
      <c r="DR313" s="47" t="s">
        <v>45</v>
      </c>
      <c r="DS313" s="35">
        <f t="shared" si="354"/>
        <v>0.95867768595041325</v>
      </c>
      <c r="DT313" s="35">
        <f t="shared" si="355"/>
        <v>0.95867768595041325</v>
      </c>
      <c r="DU313" s="35">
        <f t="shared" si="356"/>
        <v>1</v>
      </c>
      <c r="DV313" s="20">
        <v>242</v>
      </c>
      <c r="DW313" s="27">
        <f t="shared" si="373"/>
        <v>0</v>
      </c>
      <c r="DX313" s="20">
        <v>242</v>
      </c>
      <c r="DY313" s="20">
        <v>232</v>
      </c>
      <c r="DZ313" s="20">
        <f t="shared" si="374"/>
        <v>10</v>
      </c>
      <c r="EA313" s="27"/>
      <c r="EB313" s="27"/>
    </row>
    <row r="314" spans="1:132" s="29" customFormat="1" ht="12.75">
      <c r="A314" s="45">
        <v>2018</v>
      </c>
      <c r="B314" s="48" t="s">
        <v>46</v>
      </c>
      <c r="C314" s="35">
        <f t="shared" si="299"/>
        <v>0.85867620751341678</v>
      </c>
      <c r="D314" s="35">
        <f t="shared" si="300"/>
        <v>0.91697281410727405</v>
      </c>
      <c r="E314" s="35">
        <f t="shared" si="301"/>
        <v>0.93642493463602583</v>
      </c>
      <c r="F31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21801</v>
      </c>
      <c r="G314" s="20">
        <f t="shared" si="302"/>
        <v>1386</v>
      </c>
      <c r="H31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I31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18720</v>
      </c>
      <c r="J314" s="20">
        <f t="shared" si="303"/>
        <v>1695</v>
      </c>
      <c r="K314" s="20"/>
      <c r="L314" s="20"/>
      <c r="M314" s="45">
        <v>2018</v>
      </c>
      <c r="N314" s="48" t="s">
        <v>46</v>
      </c>
      <c r="O314" s="35">
        <f t="shared" si="276"/>
        <v>0.81593554162936432</v>
      </c>
      <c r="P314" s="35">
        <f t="shared" si="277"/>
        <v>0.87685203001731771</v>
      </c>
      <c r="Q314" s="35">
        <f t="shared" si="278"/>
        <v>0.93052820053715313</v>
      </c>
      <c r="R314" s="20">
        <v>5585</v>
      </c>
      <c r="S314" s="27">
        <f t="shared" si="359"/>
        <v>388</v>
      </c>
      <c r="T314" s="20">
        <v>5197</v>
      </c>
      <c r="U314" s="20">
        <v>4557</v>
      </c>
      <c r="V314" s="20">
        <f t="shared" si="360"/>
        <v>640</v>
      </c>
      <c r="W314" s="20"/>
      <c r="X314" s="20"/>
      <c r="Y314" s="45"/>
      <c r="Z314" s="48"/>
      <c r="AA314" s="35"/>
      <c r="AB314" s="35"/>
      <c r="AC314" s="35"/>
      <c r="AD314" s="20"/>
      <c r="AE314" s="27"/>
      <c r="AF314" s="20"/>
      <c r="AG314" s="20"/>
      <c r="AH314" s="20"/>
      <c r="AI314" s="20"/>
      <c r="AJ314" s="20"/>
      <c r="AK314" s="45">
        <v>2018</v>
      </c>
      <c r="AL314" s="48" t="s">
        <v>46</v>
      </c>
      <c r="AM314" s="35">
        <f t="shared" si="279"/>
        <v>0.88060301507537686</v>
      </c>
      <c r="AN314" s="35">
        <f t="shared" si="280"/>
        <v>0.9417454858125538</v>
      </c>
      <c r="AO314" s="35">
        <f t="shared" si="281"/>
        <v>0.9350753768844221</v>
      </c>
      <c r="AP314" s="20">
        <v>4975</v>
      </c>
      <c r="AQ314" s="27">
        <f t="shared" si="361"/>
        <v>323</v>
      </c>
      <c r="AR314" s="20">
        <v>4652</v>
      </c>
      <c r="AS314" s="20">
        <v>4381</v>
      </c>
      <c r="AT314" s="20">
        <f t="shared" si="362"/>
        <v>271</v>
      </c>
      <c r="AU314" s="20"/>
      <c r="AV314" s="20"/>
      <c r="AW314" s="45">
        <v>2018</v>
      </c>
      <c r="AX314" s="48" t="s">
        <v>46</v>
      </c>
      <c r="AY314" s="35">
        <f t="shared" si="316"/>
        <v>0.81649746192893402</v>
      </c>
      <c r="AZ314" s="35">
        <f t="shared" si="317"/>
        <v>0.88112845795672423</v>
      </c>
      <c r="BA314" s="35">
        <f t="shared" si="318"/>
        <v>0.92664974619289342</v>
      </c>
      <c r="BB314" s="20">
        <v>3940</v>
      </c>
      <c r="BC314" s="27">
        <f t="shared" si="363"/>
        <v>289</v>
      </c>
      <c r="BD314" s="20">
        <v>3651</v>
      </c>
      <c r="BE314" s="20">
        <v>3217</v>
      </c>
      <c r="BF314" s="20">
        <f t="shared" si="364"/>
        <v>434</v>
      </c>
      <c r="BG314" s="20"/>
      <c r="BH314" s="20"/>
      <c r="BI314" s="45">
        <v>2018</v>
      </c>
      <c r="BJ314" s="48" t="s">
        <v>46</v>
      </c>
      <c r="BK314" s="35">
        <f t="shared" si="282"/>
        <v>0.89333333333333331</v>
      </c>
      <c r="BL314" s="35">
        <f t="shared" si="283"/>
        <v>0.93314763231197773</v>
      </c>
      <c r="BM314" s="35">
        <f t="shared" si="284"/>
        <v>0.95733333333333337</v>
      </c>
      <c r="BN314" s="20">
        <v>3750</v>
      </c>
      <c r="BO314" s="27">
        <f t="shared" si="365"/>
        <v>160</v>
      </c>
      <c r="BP314" s="20">
        <v>3590</v>
      </c>
      <c r="BQ314" s="20">
        <v>3350</v>
      </c>
      <c r="BR314" s="20">
        <f t="shared" si="366"/>
        <v>240</v>
      </c>
      <c r="BS314" s="20"/>
      <c r="BT314" s="20"/>
      <c r="BU314" s="45">
        <v>2018</v>
      </c>
      <c r="BV314" s="48" t="s">
        <v>46</v>
      </c>
      <c r="BW314" s="35"/>
      <c r="BX314" s="35"/>
      <c r="BY314" s="35"/>
      <c r="BZ314" s="86"/>
      <c r="CA314" s="87"/>
      <c r="CB314" s="20"/>
      <c r="CC314" s="20"/>
      <c r="CD314" s="20"/>
      <c r="CE314" s="20"/>
      <c r="CF314" s="20"/>
      <c r="CG314" s="45">
        <v>2018</v>
      </c>
      <c r="CH314" s="48" t="s">
        <v>46</v>
      </c>
      <c r="CI314" s="35">
        <f t="shared" si="288"/>
        <v>0.92398190045248874</v>
      </c>
      <c r="CJ314" s="35">
        <f t="shared" si="289"/>
        <v>0.97984644913627639</v>
      </c>
      <c r="CK314" s="35">
        <f t="shared" si="290"/>
        <v>0.9429864253393665</v>
      </c>
      <c r="CL314" s="20">
        <v>1105</v>
      </c>
      <c r="CM314" s="27">
        <f t="shared" si="367"/>
        <v>63</v>
      </c>
      <c r="CN314" s="20">
        <v>1042</v>
      </c>
      <c r="CO314" s="20">
        <v>1021</v>
      </c>
      <c r="CP314" s="20">
        <f t="shared" si="368"/>
        <v>21</v>
      </c>
      <c r="CQ314" s="20"/>
      <c r="CR314" s="20"/>
      <c r="CS314" s="45">
        <v>2018</v>
      </c>
      <c r="CT314" s="48" t="s">
        <v>46</v>
      </c>
      <c r="CU314" s="35">
        <f t="shared" si="293"/>
        <v>0.85666666666666669</v>
      </c>
      <c r="CV314" s="35">
        <f t="shared" si="294"/>
        <v>0.95361781076066787</v>
      </c>
      <c r="CW314" s="35">
        <f t="shared" si="295"/>
        <v>0.89833333333333332</v>
      </c>
      <c r="CX314" s="20">
        <v>600</v>
      </c>
      <c r="CY314" s="27">
        <f t="shared" si="369"/>
        <v>61</v>
      </c>
      <c r="CZ314" s="20">
        <v>539</v>
      </c>
      <c r="DA314" s="20">
        <v>514</v>
      </c>
      <c r="DB314" s="20">
        <f t="shared" si="370"/>
        <v>25</v>
      </c>
      <c r="DC314" s="20"/>
      <c r="DD314" s="20"/>
      <c r="DE314" s="45">
        <v>2018</v>
      </c>
      <c r="DF314" s="48" t="s">
        <v>46</v>
      </c>
      <c r="DG314" s="35">
        <f t="shared" si="296"/>
        <v>0.90496894409937889</v>
      </c>
      <c r="DH314" s="35">
        <f t="shared" si="297"/>
        <v>0.96171617161716172</v>
      </c>
      <c r="DI314" s="35">
        <f t="shared" si="298"/>
        <v>0.94099378881987583</v>
      </c>
      <c r="DJ314" s="20">
        <v>1610</v>
      </c>
      <c r="DK314" s="27">
        <f t="shared" si="371"/>
        <v>95</v>
      </c>
      <c r="DL314" s="20">
        <v>1515</v>
      </c>
      <c r="DM314" s="20">
        <v>1457</v>
      </c>
      <c r="DN314" s="20">
        <f t="shared" si="372"/>
        <v>58</v>
      </c>
      <c r="DO314" s="20"/>
      <c r="DP314" s="20"/>
      <c r="DQ314" s="45">
        <v>2018</v>
      </c>
      <c r="DR314" s="48" t="s">
        <v>46</v>
      </c>
      <c r="DS314" s="35">
        <f t="shared" si="354"/>
        <v>0.94491525423728817</v>
      </c>
      <c r="DT314" s="35">
        <f t="shared" si="355"/>
        <v>0.97379912663755464</v>
      </c>
      <c r="DU314" s="35">
        <f t="shared" si="356"/>
        <v>0.97033898305084743</v>
      </c>
      <c r="DV314" s="20">
        <v>236</v>
      </c>
      <c r="DW314" s="27">
        <f t="shared" si="373"/>
        <v>7</v>
      </c>
      <c r="DX314" s="20">
        <v>229</v>
      </c>
      <c r="DY314" s="20">
        <v>223</v>
      </c>
      <c r="DZ314" s="20">
        <f t="shared" si="374"/>
        <v>6</v>
      </c>
      <c r="EA314" s="27"/>
      <c r="EB314" s="27"/>
    </row>
    <row r="315" spans="1:132" s="29" customFormat="1" ht="12.75">
      <c r="A315" s="46">
        <v>2018</v>
      </c>
      <c r="B315" s="47" t="s">
        <v>47</v>
      </c>
      <c r="C315" s="35">
        <f t="shared" si="299"/>
        <v>0.85419213973799124</v>
      </c>
      <c r="D315" s="35">
        <f t="shared" si="300"/>
        <v>0.88840948315014989</v>
      </c>
      <c r="E315" s="35">
        <f t="shared" si="301"/>
        <v>0.96148471615720521</v>
      </c>
      <c r="F31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22900</v>
      </c>
      <c r="G315" s="20">
        <f t="shared" si="302"/>
        <v>882</v>
      </c>
      <c r="H31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22018</v>
      </c>
      <c r="I31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19561</v>
      </c>
      <c r="J315" s="20">
        <f t="shared" si="303"/>
        <v>2457</v>
      </c>
      <c r="K315" s="20"/>
      <c r="L315" s="20"/>
      <c r="M315" s="46">
        <v>2018</v>
      </c>
      <c r="N315" s="47" t="s">
        <v>47</v>
      </c>
      <c r="O315" s="35">
        <f t="shared" si="276"/>
        <v>0.85328578706062153</v>
      </c>
      <c r="P315" s="35">
        <f t="shared" si="277"/>
        <v>0.88359416212414277</v>
      </c>
      <c r="Q315" s="35">
        <f t="shared" si="278"/>
        <v>0.9656987604007472</v>
      </c>
      <c r="R315" s="20">
        <v>5889</v>
      </c>
      <c r="S315" s="27">
        <f t="shared" si="359"/>
        <v>202</v>
      </c>
      <c r="T315" s="20">
        <v>5687</v>
      </c>
      <c r="U315" s="20">
        <v>5025</v>
      </c>
      <c r="V315" s="20">
        <f t="shared" si="360"/>
        <v>662</v>
      </c>
      <c r="W315" s="20"/>
      <c r="X315" s="20"/>
      <c r="Y315" s="46"/>
      <c r="Z315" s="47"/>
      <c r="AA315" s="35"/>
      <c r="AB315" s="35"/>
      <c r="AC315" s="35"/>
      <c r="AD315" s="20"/>
      <c r="AE315" s="27"/>
      <c r="AF315" s="20"/>
      <c r="AG315" s="20"/>
      <c r="AH315" s="20"/>
      <c r="AI315" s="20"/>
      <c r="AJ315" s="20"/>
      <c r="AK315" s="46">
        <v>2018</v>
      </c>
      <c r="AL315" s="47" t="s">
        <v>47</v>
      </c>
      <c r="AM315" s="35">
        <f t="shared" si="279"/>
        <v>0.93408698984479788</v>
      </c>
      <c r="AN315" s="35">
        <f t="shared" si="280"/>
        <v>0.95140515222482436</v>
      </c>
      <c r="AO315" s="35">
        <f t="shared" si="281"/>
        <v>0.98179727917225523</v>
      </c>
      <c r="AP315" s="20">
        <v>5219</v>
      </c>
      <c r="AQ315" s="27">
        <f t="shared" si="361"/>
        <v>95</v>
      </c>
      <c r="AR315" s="20">
        <v>5124</v>
      </c>
      <c r="AS315" s="20">
        <v>4875</v>
      </c>
      <c r="AT315" s="20">
        <f t="shared" si="362"/>
        <v>249</v>
      </c>
      <c r="AU315" s="20"/>
      <c r="AV315" s="20"/>
      <c r="AW315" s="46">
        <v>2018</v>
      </c>
      <c r="AX315" s="47" t="s">
        <v>47</v>
      </c>
      <c r="AY315" s="35">
        <f t="shared" si="316"/>
        <v>0.82281783681214427</v>
      </c>
      <c r="AZ315" s="35">
        <f t="shared" si="317"/>
        <v>0.84982851543361093</v>
      </c>
      <c r="BA315" s="35">
        <f t="shared" si="318"/>
        <v>0.96821631878557879</v>
      </c>
      <c r="BB315" s="20">
        <v>4216</v>
      </c>
      <c r="BC315" s="27">
        <f t="shared" si="363"/>
        <v>134</v>
      </c>
      <c r="BD315" s="20">
        <v>4082</v>
      </c>
      <c r="BE315" s="20">
        <v>3469</v>
      </c>
      <c r="BF315" s="20">
        <f t="shared" si="364"/>
        <v>613</v>
      </c>
      <c r="BG315" s="20"/>
      <c r="BH315" s="20"/>
      <c r="BI315" s="46">
        <v>2018</v>
      </c>
      <c r="BJ315" s="47" t="s">
        <v>47</v>
      </c>
      <c r="BK315" s="35">
        <f t="shared" si="282"/>
        <v>0.70749023784167553</v>
      </c>
      <c r="BL315" s="35">
        <f t="shared" si="283"/>
        <v>0.78961965134706813</v>
      </c>
      <c r="BM315" s="35">
        <f t="shared" si="284"/>
        <v>0.89598864039758608</v>
      </c>
      <c r="BN315" s="20">
        <v>2817</v>
      </c>
      <c r="BO315" s="27">
        <f t="shared" si="365"/>
        <v>293</v>
      </c>
      <c r="BP315" s="20">
        <v>2524</v>
      </c>
      <c r="BQ315" s="20">
        <v>1993</v>
      </c>
      <c r="BR315" s="20">
        <f t="shared" si="366"/>
        <v>531</v>
      </c>
      <c r="BS315" s="20"/>
      <c r="BT315" s="20"/>
      <c r="BU315" s="46">
        <v>2018</v>
      </c>
      <c r="BV315" s="47" t="s">
        <v>47</v>
      </c>
      <c r="BW315" s="35">
        <f t="shared" si="285"/>
        <v>0.68680297397769519</v>
      </c>
      <c r="BX315" s="35">
        <f t="shared" si="286"/>
        <v>0.733862959285005</v>
      </c>
      <c r="BY315" s="35">
        <f t="shared" si="287"/>
        <v>0.93587360594795543</v>
      </c>
      <c r="BZ315" s="20">
        <v>1076</v>
      </c>
      <c r="CA315" s="27">
        <f t="shared" ref="CA315:CA317" si="375">BZ315-CB315</f>
        <v>69</v>
      </c>
      <c r="CB315" s="20">
        <v>1007</v>
      </c>
      <c r="CC315" s="20">
        <v>739</v>
      </c>
      <c r="CD315" s="20">
        <f t="shared" ref="CD315:CD317" si="376">CB315-CC315</f>
        <v>268</v>
      </c>
      <c r="CE315" s="90" t="s">
        <v>67</v>
      </c>
      <c r="CF315" s="20"/>
      <c r="CG315" s="46">
        <v>2018</v>
      </c>
      <c r="CH315" s="47" t="s">
        <v>47</v>
      </c>
      <c r="CI315" s="35">
        <f t="shared" si="288"/>
        <v>0.96497373029772326</v>
      </c>
      <c r="CJ315" s="35">
        <f t="shared" si="289"/>
        <v>0.97781721384205855</v>
      </c>
      <c r="CK315" s="35">
        <f t="shared" si="290"/>
        <v>0.98686514886164622</v>
      </c>
      <c r="CL315" s="20">
        <v>1142</v>
      </c>
      <c r="CM315" s="27">
        <f t="shared" si="367"/>
        <v>15</v>
      </c>
      <c r="CN315" s="20">
        <v>1127</v>
      </c>
      <c r="CO315" s="20">
        <v>1102</v>
      </c>
      <c r="CP315" s="20">
        <f t="shared" si="368"/>
        <v>25</v>
      </c>
      <c r="CQ315" s="20"/>
      <c r="CR315" s="20"/>
      <c r="CS315" s="46">
        <v>2018</v>
      </c>
      <c r="CT315" s="47" t="s">
        <v>47</v>
      </c>
      <c r="CU315" s="35">
        <f t="shared" si="293"/>
        <v>0.92419354838709677</v>
      </c>
      <c r="CV315" s="35">
        <f t="shared" si="294"/>
        <v>0.96790540540540537</v>
      </c>
      <c r="CW315" s="35">
        <f t="shared" si="295"/>
        <v>0.95483870967741935</v>
      </c>
      <c r="CX315" s="20">
        <v>620</v>
      </c>
      <c r="CY315" s="27">
        <f t="shared" si="369"/>
        <v>28</v>
      </c>
      <c r="CZ315" s="20">
        <v>592</v>
      </c>
      <c r="DA315" s="20">
        <v>573</v>
      </c>
      <c r="DB315" s="20">
        <f t="shared" si="370"/>
        <v>19</v>
      </c>
      <c r="DC315" s="20"/>
      <c r="DD315" s="20"/>
      <c r="DE315" s="46">
        <v>2018</v>
      </c>
      <c r="DF315" s="47" t="s">
        <v>47</v>
      </c>
      <c r="DG315" s="35">
        <f t="shared" si="296"/>
        <v>0.92513368983957223</v>
      </c>
      <c r="DH315" s="35">
        <f t="shared" si="297"/>
        <v>0.9505494505494505</v>
      </c>
      <c r="DI315" s="35">
        <f t="shared" si="298"/>
        <v>0.9732620320855615</v>
      </c>
      <c r="DJ315" s="20">
        <v>1683</v>
      </c>
      <c r="DK315" s="27">
        <f t="shared" si="371"/>
        <v>45</v>
      </c>
      <c r="DL315" s="20">
        <v>1638</v>
      </c>
      <c r="DM315" s="20">
        <v>1557</v>
      </c>
      <c r="DN315" s="20">
        <f t="shared" si="372"/>
        <v>81</v>
      </c>
      <c r="DO315" s="20"/>
      <c r="DP315" s="20"/>
      <c r="DQ315" s="46">
        <v>2018</v>
      </c>
      <c r="DR315" s="47" t="s">
        <v>47</v>
      </c>
      <c r="DS315" s="35">
        <f t="shared" si="354"/>
        <v>0.95798319327731096</v>
      </c>
      <c r="DT315" s="35">
        <f t="shared" si="355"/>
        <v>0.96202531645569622</v>
      </c>
      <c r="DU315" s="35">
        <f t="shared" si="356"/>
        <v>0.99579831932773111</v>
      </c>
      <c r="DV315" s="20">
        <v>238</v>
      </c>
      <c r="DW315" s="27">
        <f t="shared" si="373"/>
        <v>1</v>
      </c>
      <c r="DX315" s="20">
        <v>237</v>
      </c>
      <c r="DY315" s="20">
        <v>228</v>
      </c>
      <c r="DZ315" s="20">
        <f t="shared" si="374"/>
        <v>9</v>
      </c>
      <c r="EA315" s="27"/>
      <c r="EB315" s="27"/>
    </row>
    <row r="316" spans="1:132" s="29" customFormat="1" ht="12.75">
      <c r="A316" s="45">
        <v>2018</v>
      </c>
      <c r="B316" s="48" t="s">
        <v>48</v>
      </c>
      <c r="C316" s="35">
        <f t="shared" si="299"/>
        <v>0.77639779604371784</v>
      </c>
      <c r="D316" s="35">
        <f t="shared" si="300"/>
        <v>0.84718115513502856</v>
      </c>
      <c r="E316" s="35">
        <f t="shared" si="301"/>
        <v>0.91644837864691542</v>
      </c>
      <c r="F31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22142</v>
      </c>
      <c r="G316" s="20">
        <f t="shared" si="302"/>
        <v>1850</v>
      </c>
      <c r="H31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20292</v>
      </c>
      <c r="I31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17191</v>
      </c>
      <c r="J316" s="20">
        <f t="shared" si="303"/>
        <v>3101</v>
      </c>
      <c r="K316" s="20"/>
      <c r="L316" s="20"/>
      <c r="M316" s="45">
        <v>2018</v>
      </c>
      <c r="N316" s="48" t="s">
        <v>48</v>
      </c>
      <c r="O316" s="35">
        <f t="shared" si="276"/>
        <v>0.72416225749559082</v>
      </c>
      <c r="P316" s="35">
        <f t="shared" si="277"/>
        <v>0.79144178874325366</v>
      </c>
      <c r="Q316" s="35">
        <f t="shared" si="278"/>
        <v>0.91499118165784832</v>
      </c>
      <c r="R316" s="20">
        <v>5670</v>
      </c>
      <c r="S316" s="27">
        <f t="shared" si="359"/>
        <v>482</v>
      </c>
      <c r="T316" s="20">
        <v>5188</v>
      </c>
      <c r="U316" s="20">
        <v>4106</v>
      </c>
      <c r="V316" s="20">
        <f t="shared" si="360"/>
        <v>1082</v>
      </c>
      <c r="W316" s="20"/>
      <c r="X316" s="20"/>
      <c r="Y316" s="45"/>
      <c r="Z316" s="48"/>
      <c r="AA316" s="35"/>
      <c r="AB316" s="35"/>
      <c r="AC316" s="35"/>
      <c r="AD316" s="20"/>
      <c r="AE316" s="27"/>
      <c r="AF316" s="20"/>
      <c r="AG316" s="20"/>
      <c r="AH316" s="20"/>
      <c r="AI316" s="20"/>
      <c r="AJ316" s="20"/>
      <c r="AK316" s="45">
        <v>2018</v>
      </c>
      <c r="AL316" s="48" t="s">
        <v>48</v>
      </c>
      <c r="AM316" s="35">
        <f t="shared" si="279"/>
        <v>0.78208955223880594</v>
      </c>
      <c r="AN316" s="35">
        <f t="shared" si="280"/>
        <v>0.84716533735718902</v>
      </c>
      <c r="AO316" s="35">
        <f t="shared" si="281"/>
        <v>0.92318407960199</v>
      </c>
      <c r="AP316" s="20">
        <v>5025</v>
      </c>
      <c r="AQ316" s="27">
        <f t="shared" si="361"/>
        <v>386</v>
      </c>
      <c r="AR316" s="20">
        <v>4639</v>
      </c>
      <c r="AS316" s="20">
        <v>3930</v>
      </c>
      <c r="AT316" s="20">
        <f t="shared" si="362"/>
        <v>709</v>
      </c>
      <c r="AU316" s="20"/>
      <c r="AV316" s="20"/>
      <c r="AW316" s="45">
        <v>2018</v>
      </c>
      <c r="AX316" s="48" t="s">
        <v>48</v>
      </c>
      <c r="AY316" s="35">
        <f t="shared" si="316"/>
        <v>0.78545366090975433</v>
      </c>
      <c r="AZ316" s="35">
        <f t="shared" si="317"/>
        <v>0.87554229934924077</v>
      </c>
      <c r="BA316" s="35">
        <f t="shared" si="318"/>
        <v>0.89710532717100466</v>
      </c>
      <c r="BB316" s="20">
        <v>4111</v>
      </c>
      <c r="BC316" s="27">
        <f t="shared" si="363"/>
        <v>423</v>
      </c>
      <c r="BD316" s="20">
        <v>3688</v>
      </c>
      <c r="BE316" s="20">
        <v>3229</v>
      </c>
      <c r="BF316" s="20">
        <f t="shared" si="364"/>
        <v>459</v>
      </c>
      <c r="BG316" s="20"/>
      <c r="BH316" s="20"/>
      <c r="BI316" s="45">
        <v>2018</v>
      </c>
      <c r="BJ316" s="48" t="s">
        <v>48</v>
      </c>
      <c r="BK316" s="35">
        <f t="shared" si="282"/>
        <v>0.71282301316431007</v>
      </c>
      <c r="BL316" s="35">
        <f t="shared" si="283"/>
        <v>0.79629629629629628</v>
      </c>
      <c r="BM316" s="35">
        <f t="shared" si="284"/>
        <v>0.89517308629936621</v>
      </c>
      <c r="BN316" s="20">
        <v>2051</v>
      </c>
      <c r="BO316" s="27">
        <f t="shared" si="365"/>
        <v>215</v>
      </c>
      <c r="BP316" s="20">
        <v>1836</v>
      </c>
      <c r="BQ316" s="20">
        <v>1462</v>
      </c>
      <c r="BR316" s="20">
        <f t="shared" si="366"/>
        <v>374</v>
      </c>
      <c r="BS316" s="20"/>
      <c r="BT316" s="20"/>
      <c r="BU316" s="45">
        <v>2018</v>
      </c>
      <c r="BV316" s="48" t="s">
        <v>48</v>
      </c>
      <c r="BW316" s="35">
        <f t="shared" si="285"/>
        <v>0.72790697674418603</v>
      </c>
      <c r="BX316" s="35">
        <f t="shared" si="286"/>
        <v>0.78593848085373508</v>
      </c>
      <c r="BY316" s="35">
        <f t="shared" si="287"/>
        <v>0.92616279069767438</v>
      </c>
      <c r="BZ316" s="20">
        <v>1720</v>
      </c>
      <c r="CA316" s="27">
        <f t="shared" si="375"/>
        <v>127</v>
      </c>
      <c r="CB316" s="20">
        <v>1593</v>
      </c>
      <c r="CC316" s="20">
        <v>1252</v>
      </c>
      <c r="CD316" s="20">
        <f t="shared" si="376"/>
        <v>341</v>
      </c>
      <c r="CE316" s="20"/>
      <c r="CF316" s="20"/>
      <c r="CG316" s="45">
        <v>2018</v>
      </c>
      <c r="CH316" s="48" t="s">
        <v>48</v>
      </c>
      <c r="CI316" s="35">
        <f t="shared" si="288"/>
        <v>0.92488687782805434</v>
      </c>
      <c r="CJ316" s="35">
        <f t="shared" si="289"/>
        <v>0.97986577181208057</v>
      </c>
      <c r="CK316" s="35">
        <f t="shared" si="290"/>
        <v>0.9438914027149321</v>
      </c>
      <c r="CL316" s="20">
        <v>1105</v>
      </c>
      <c r="CM316" s="27">
        <f t="shared" si="367"/>
        <v>62</v>
      </c>
      <c r="CN316" s="20">
        <v>1043</v>
      </c>
      <c r="CO316" s="20">
        <v>1022</v>
      </c>
      <c r="CP316" s="20">
        <f t="shared" si="368"/>
        <v>21</v>
      </c>
      <c r="CQ316" s="20"/>
      <c r="CR316" s="20"/>
      <c r="CS316" s="45">
        <v>2018</v>
      </c>
      <c r="CT316" s="48" t="s">
        <v>48</v>
      </c>
      <c r="CU316" s="35">
        <f t="shared" si="293"/>
        <v>0.88833333333333331</v>
      </c>
      <c r="CV316" s="35">
        <f t="shared" si="294"/>
        <v>0.97977941176470584</v>
      </c>
      <c r="CW316" s="35">
        <f t="shared" si="295"/>
        <v>0.90666666666666662</v>
      </c>
      <c r="CX316" s="20">
        <v>600</v>
      </c>
      <c r="CY316" s="27">
        <f t="shared" si="369"/>
        <v>56</v>
      </c>
      <c r="CZ316" s="20">
        <v>544</v>
      </c>
      <c r="DA316" s="20">
        <v>533</v>
      </c>
      <c r="DB316" s="20">
        <f t="shared" si="370"/>
        <v>11</v>
      </c>
      <c r="DC316" s="20"/>
      <c r="DD316" s="20"/>
      <c r="DE316" s="45">
        <v>2018</v>
      </c>
      <c r="DF316" s="48" t="s">
        <v>48</v>
      </c>
      <c r="DG316" s="35">
        <f t="shared" si="296"/>
        <v>0.88669950738916259</v>
      </c>
      <c r="DH316" s="35">
        <f t="shared" si="297"/>
        <v>0.93689004554326605</v>
      </c>
      <c r="DI316" s="35">
        <f t="shared" si="298"/>
        <v>0.9464285714285714</v>
      </c>
      <c r="DJ316" s="20">
        <v>1624</v>
      </c>
      <c r="DK316" s="27">
        <f t="shared" si="371"/>
        <v>87</v>
      </c>
      <c r="DL316" s="20">
        <v>1537</v>
      </c>
      <c r="DM316" s="20">
        <v>1440</v>
      </c>
      <c r="DN316" s="20">
        <f t="shared" si="372"/>
        <v>97</v>
      </c>
      <c r="DO316" s="90" t="s">
        <v>72</v>
      </c>
      <c r="DP316" s="20"/>
      <c r="DQ316" s="45">
        <v>2018</v>
      </c>
      <c r="DR316" s="48" t="s">
        <v>48</v>
      </c>
      <c r="DS316" s="35">
        <f t="shared" si="354"/>
        <v>0.91949152542372881</v>
      </c>
      <c r="DT316" s="35">
        <f t="shared" si="355"/>
        <v>0.96875</v>
      </c>
      <c r="DU316" s="35">
        <f t="shared" si="356"/>
        <v>0.94915254237288138</v>
      </c>
      <c r="DV316" s="20">
        <v>236</v>
      </c>
      <c r="DW316" s="27">
        <f t="shared" si="373"/>
        <v>12</v>
      </c>
      <c r="DX316" s="20">
        <v>224</v>
      </c>
      <c r="DY316" s="20">
        <v>217</v>
      </c>
      <c r="DZ316" s="20">
        <f t="shared" si="374"/>
        <v>7</v>
      </c>
      <c r="EA316" s="27"/>
      <c r="EB316" s="27"/>
    </row>
    <row r="317" spans="1:132" s="29" customFormat="1" ht="12.75">
      <c r="A317" s="46">
        <v>2018</v>
      </c>
      <c r="B317" s="47" t="s">
        <v>49</v>
      </c>
      <c r="C317" s="35">
        <f t="shared" si="299"/>
        <v>0.79651928931703553</v>
      </c>
      <c r="D317" s="35">
        <f t="shared" si="300"/>
        <v>0.85453127285136254</v>
      </c>
      <c r="E317" s="35">
        <f t="shared" si="301"/>
        <v>0.93211250965601855</v>
      </c>
      <c r="F31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22007</v>
      </c>
      <c r="G317" s="20">
        <f t="shared" si="302"/>
        <v>1494</v>
      </c>
      <c r="H31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20513</v>
      </c>
      <c r="I31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17529</v>
      </c>
      <c r="J317" s="20">
        <f t="shared" si="303"/>
        <v>2984</v>
      </c>
      <c r="K317" s="20"/>
      <c r="L317" s="20"/>
      <c r="M317" s="46">
        <v>2018</v>
      </c>
      <c r="N317" s="47" t="s">
        <v>49</v>
      </c>
      <c r="O317" s="35">
        <f t="shared" si="276"/>
        <v>0.76809543065103114</v>
      </c>
      <c r="P317" s="35">
        <f t="shared" si="277"/>
        <v>0.82372072853425848</v>
      </c>
      <c r="Q317" s="35">
        <f t="shared" si="278"/>
        <v>0.93247068338050954</v>
      </c>
      <c r="R317" s="20">
        <v>4946</v>
      </c>
      <c r="S317" s="27">
        <f t="shared" si="359"/>
        <v>334</v>
      </c>
      <c r="T317" s="20">
        <v>4612</v>
      </c>
      <c r="U317" s="20">
        <v>3799</v>
      </c>
      <c r="V317" s="20">
        <f t="shared" si="360"/>
        <v>813</v>
      </c>
      <c r="W317" s="20"/>
      <c r="X317" s="20"/>
      <c r="Y317" s="46"/>
      <c r="Z317" s="47"/>
      <c r="AA317" s="35"/>
      <c r="AB317" s="35"/>
      <c r="AC317" s="35"/>
      <c r="AD317" s="20"/>
      <c r="AE317" s="27"/>
      <c r="AF317" s="20"/>
      <c r="AG317" s="20"/>
      <c r="AH317" s="20"/>
      <c r="AI317" s="20"/>
      <c r="AJ317" s="20"/>
      <c r="AK317" s="46">
        <v>2018</v>
      </c>
      <c r="AL317" s="47" t="s">
        <v>49</v>
      </c>
      <c r="AM317" s="35">
        <f t="shared" si="279"/>
        <v>0.82831821929101401</v>
      </c>
      <c r="AN317" s="35">
        <f t="shared" si="280"/>
        <v>0.87655398037077425</v>
      </c>
      <c r="AO317" s="35">
        <f t="shared" si="281"/>
        <v>0.94497114591920861</v>
      </c>
      <c r="AP317" s="20">
        <v>4852</v>
      </c>
      <c r="AQ317" s="27">
        <f t="shared" si="361"/>
        <v>267</v>
      </c>
      <c r="AR317" s="20">
        <v>4585</v>
      </c>
      <c r="AS317" s="20">
        <v>4019</v>
      </c>
      <c r="AT317" s="20">
        <f t="shared" si="362"/>
        <v>566</v>
      </c>
      <c r="AU317" s="20"/>
      <c r="AV317" s="20"/>
      <c r="AW317" s="46">
        <v>2018</v>
      </c>
      <c r="AX317" s="47" t="s">
        <v>49</v>
      </c>
      <c r="AY317" s="35">
        <f t="shared" si="316"/>
        <v>0.76808988764044939</v>
      </c>
      <c r="AZ317" s="35">
        <f t="shared" si="317"/>
        <v>0.83304898854496712</v>
      </c>
      <c r="BA317" s="35">
        <f t="shared" si="318"/>
        <v>0.92202247191011233</v>
      </c>
      <c r="BB317" s="20">
        <v>4450</v>
      </c>
      <c r="BC317" s="27">
        <f t="shared" si="363"/>
        <v>347</v>
      </c>
      <c r="BD317" s="20">
        <v>4103</v>
      </c>
      <c r="BE317" s="20">
        <v>3418</v>
      </c>
      <c r="BF317" s="20">
        <f t="shared" si="364"/>
        <v>685</v>
      </c>
      <c r="BG317" s="20"/>
      <c r="BH317" s="20"/>
      <c r="BI317" s="46">
        <v>2018</v>
      </c>
      <c r="BJ317" s="47" t="s">
        <v>49</v>
      </c>
      <c r="BK317" s="35">
        <f t="shared" si="282"/>
        <v>0.77767776777677766</v>
      </c>
      <c r="BL317" s="35">
        <f t="shared" si="283"/>
        <v>0.83397683397683398</v>
      </c>
      <c r="BM317" s="35">
        <f t="shared" si="284"/>
        <v>0.93249324932493249</v>
      </c>
      <c r="BN317" s="20">
        <v>2222</v>
      </c>
      <c r="BO317" s="27">
        <f t="shared" si="365"/>
        <v>150</v>
      </c>
      <c r="BP317" s="20">
        <v>2072</v>
      </c>
      <c r="BQ317" s="20">
        <v>1728</v>
      </c>
      <c r="BR317" s="20">
        <f t="shared" si="366"/>
        <v>344</v>
      </c>
      <c r="BS317" s="20"/>
      <c r="BT317" s="20"/>
      <c r="BU317" s="46">
        <v>2018</v>
      </c>
      <c r="BV317" s="47" t="s">
        <v>49</v>
      </c>
      <c r="BW317" s="35">
        <f t="shared" si="285"/>
        <v>0.72373949579831931</v>
      </c>
      <c r="BX317" s="35">
        <f t="shared" si="286"/>
        <v>0.77155655095184772</v>
      </c>
      <c r="BY317" s="35">
        <f t="shared" si="287"/>
        <v>0.93802521008403361</v>
      </c>
      <c r="BZ317" s="20">
        <v>1904</v>
      </c>
      <c r="CA317" s="27">
        <f t="shared" si="375"/>
        <v>118</v>
      </c>
      <c r="CB317" s="20">
        <v>1786</v>
      </c>
      <c r="CC317" s="20">
        <v>1378</v>
      </c>
      <c r="CD317" s="20">
        <f t="shared" si="376"/>
        <v>408</v>
      </c>
      <c r="CE317" s="20"/>
      <c r="CF317" s="20"/>
      <c r="CG317" s="46">
        <v>2018</v>
      </c>
      <c r="CH317" s="47" t="s">
        <v>49</v>
      </c>
      <c r="CI317" s="35">
        <f t="shared" si="288"/>
        <v>0.88596491228070173</v>
      </c>
      <c r="CJ317" s="35">
        <f t="shared" si="289"/>
        <v>0.96743295019157083</v>
      </c>
      <c r="CK317" s="35">
        <f t="shared" si="290"/>
        <v>0.91578947368421049</v>
      </c>
      <c r="CL317" s="20">
        <v>1140</v>
      </c>
      <c r="CM317" s="27">
        <f t="shared" si="367"/>
        <v>96</v>
      </c>
      <c r="CN317" s="20">
        <v>1044</v>
      </c>
      <c r="CO317" s="20">
        <v>1010</v>
      </c>
      <c r="CP317" s="20">
        <f t="shared" si="368"/>
        <v>34</v>
      </c>
      <c r="CQ317" s="20"/>
      <c r="CR317" s="20"/>
      <c r="CS317" s="46">
        <v>2018</v>
      </c>
      <c r="CT317" s="47" t="s">
        <v>49</v>
      </c>
      <c r="CU317" s="35">
        <f t="shared" si="293"/>
        <v>0.8403225806451613</v>
      </c>
      <c r="CV317" s="35">
        <f t="shared" si="294"/>
        <v>0.96481481481481479</v>
      </c>
      <c r="CW317" s="35">
        <f t="shared" si="295"/>
        <v>0.87096774193548387</v>
      </c>
      <c r="CX317" s="20">
        <v>620</v>
      </c>
      <c r="CY317" s="27">
        <f t="shared" si="369"/>
        <v>80</v>
      </c>
      <c r="CZ317" s="20">
        <v>540</v>
      </c>
      <c r="DA317" s="20">
        <v>521</v>
      </c>
      <c r="DB317" s="20">
        <f t="shared" si="370"/>
        <v>19</v>
      </c>
      <c r="DC317" s="20"/>
      <c r="DD317" s="20"/>
      <c r="DE317" s="46">
        <v>2018</v>
      </c>
      <c r="DF317" s="47" t="s">
        <v>49</v>
      </c>
      <c r="DG317" s="35">
        <f t="shared" si="296"/>
        <v>0.87770228536133421</v>
      </c>
      <c r="DH317" s="35">
        <f t="shared" si="297"/>
        <v>0.92875816993464055</v>
      </c>
      <c r="DI317" s="35">
        <f t="shared" si="298"/>
        <v>0.9450277949351451</v>
      </c>
      <c r="DJ317" s="20">
        <v>1619</v>
      </c>
      <c r="DK317" s="27">
        <f t="shared" si="371"/>
        <v>89</v>
      </c>
      <c r="DL317" s="20">
        <v>1530</v>
      </c>
      <c r="DM317" s="20">
        <v>1421</v>
      </c>
      <c r="DN317" s="20">
        <f t="shared" si="372"/>
        <v>109</v>
      </c>
      <c r="DO317" s="20"/>
      <c r="DP317" s="20"/>
      <c r="DQ317" s="46">
        <v>2018</v>
      </c>
      <c r="DR317" s="47" t="s">
        <v>49</v>
      </c>
      <c r="DS317" s="35">
        <f t="shared" si="354"/>
        <v>0.92519685039370081</v>
      </c>
      <c r="DT317" s="35">
        <f t="shared" si="355"/>
        <v>0.975103734439834</v>
      </c>
      <c r="DU317" s="35">
        <f t="shared" si="356"/>
        <v>0.94881889763779526</v>
      </c>
      <c r="DV317" s="20">
        <v>254</v>
      </c>
      <c r="DW317" s="27">
        <f t="shared" si="373"/>
        <v>13</v>
      </c>
      <c r="DX317" s="20">
        <v>241</v>
      </c>
      <c r="DY317" s="20">
        <v>235</v>
      </c>
      <c r="DZ317" s="20">
        <f t="shared" si="374"/>
        <v>6</v>
      </c>
      <c r="EA317" s="27"/>
      <c r="EB317" s="27"/>
    </row>
    <row r="318" spans="1:132" s="29" customFormat="1" ht="12.75">
      <c r="A318" s="45">
        <v>2019</v>
      </c>
      <c r="B318" s="48" t="s">
        <v>38</v>
      </c>
      <c r="C318" s="35">
        <f t="shared" si="299"/>
        <v>0.87003138075313813</v>
      </c>
      <c r="D318" s="35">
        <f t="shared" si="300"/>
        <v>0.89092207444434524</v>
      </c>
      <c r="E318" s="35">
        <f t="shared" si="301"/>
        <v>0.97655160390516038</v>
      </c>
      <c r="F31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22944</v>
      </c>
      <c r="G318" s="20">
        <f t="shared" si="302"/>
        <v>538</v>
      </c>
      <c r="H31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22406</v>
      </c>
      <c r="I31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19962</v>
      </c>
      <c r="J318" s="20">
        <f t="shared" si="303"/>
        <v>2444</v>
      </c>
      <c r="K318" s="20"/>
      <c r="L318" s="20"/>
      <c r="M318" s="45">
        <v>2019</v>
      </c>
      <c r="N318" s="48" t="s">
        <v>38</v>
      </c>
      <c r="O318" s="35">
        <f t="shared" si="276"/>
        <v>0.8753490227363383</v>
      </c>
      <c r="P318" s="35">
        <f t="shared" si="277"/>
        <v>0.89754601226993869</v>
      </c>
      <c r="Q318" s="35">
        <f t="shared" si="278"/>
        <v>0.9752692461108895</v>
      </c>
      <c r="R318" s="20">
        <v>5014</v>
      </c>
      <c r="S318" s="27">
        <f t="shared" ref="S318:S334" si="377">R318-T318</f>
        <v>124</v>
      </c>
      <c r="T318" s="20">
        <v>4890</v>
      </c>
      <c r="U318" s="20">
        <v>4389</v>
      </c>
      <c r="V318" s="20">
        <f t="shared" ref="V318:V334" si="378">T318-U318</f>
        <v>501</v>
      </c>
      <c r="W318" s="20"/>
      <c r="X318" s="20"/>
      <c r="Y318" s="45"/>
      <c r="Z318" s="48"/>
      <c r="AA318" s="35"/>
      <c r="AB318" s="35"/>
      <c r="AC318" s="35"/>
      <c r="AD318" s="20"/>
      <c r="AE318" s="27"/>
      <c r="AF318" s="20"/>
      <c r="AG318" s="20"/>
      <c r="AH318" s="20"/>
      <c r="AI318" s="20"/>
      <c r="AJ318" s="20"/>
      <c r="AK318" s="45">
        <v>2019</v>
      </c>
      <c r="AL318" s="48" t="s">
        <v>38</v>
      </c>
      <c r="AM318" s="35">
        <f t="shared" si="279"/>
        <v>0.91533359344518139</v>
      </c>
      <c r="AN318" s="35">
        <f t="shared" si="280"/>
        <v>0.92253244199764062</v>
      </c>
      <c r="AO318" s="35">
        <f t="shared" si="281"/>
        <v>0.99219664455715961</v>
      </c>
      <c r="AP318" s="20">
        <v>5126</v>
      </c>
      <c r="AQ318" s="27">
        <f t="shared" ref="AQ318:AQ334" si="379">AP318-AR318</f>
        <v>40</v>
      </c>
      <c r="AR318" s="20">
        <v>5086</v>
      </c>
      <c r="AS318" s="20">
        <v>4692</v>
      </c>
      <c r="AT318" s="20">
        <f t="shared" ref="AT318:AT334" si="380">AR318-AS318</f>
        <v>394</v>
      </c>
      <c r="AU318" s="20"/>
      <c r="AV318" s="20"/>
      <c r="AW318" s="45">
        <v>2019</v>
      </c>
      <c r="AX318" s="48" t="s">
        <v>38</v>
      </c>
      <c r="AY318" s="35">
        <f t="shared" si="316"/>
        <v>0.83566581849024602</v>
      </c>
      <c r="AZ318" s="35">
        <f t="shared" si="317"/>
        <v>0.8491704374057315</v>
      </c>
      <c r="BA318" s="35">
        <f t="shared" si="318"/>
        <v>0.98409669211195927</v>
      </c>
      <c r="BB318" s="20">
        <v>4716</v>
      </c>
      <c r="BC318" s="27">
        <f t="shared" ref="BC318:BC334" si="381">BB318-BD318</f>
        <v>75</v>
      </c>
      <c r="BD318" s="20">
        <v>4641</v>
      </c>
      <c r="BE318" s="20">
        <v>3941</v>
      </c>
      <c r="BF318" s="20">
        <f t="shared" ref="BF318:BF334" si="382">BD318-BE318</f>
        <v>700</v>
      </c>
      <c r="BG318" s="20"/>
      <c r="BH318" s="20"/>
      <c r="BI318" s="45">
        <v>2019</v>
      </c>
      <c r="BJ318" s="48" t="s">
        <v>38</v>
      </c>
      <c r="BK318" s="35">
        <f t="shared" si="282"/>
        <v>0.84904862579281182</v>
      </c>
      <c r="BL318" s="35">
        <f t="shared" si="283"/>
        <v>0.87001733102253032</v>
      </c>
      <c r="BM318" s="35">
        <f t="shared" si="284"/>
        <v>0.97589852008456657</v>
      </c>
      <c r="BN318" s="20">
        <v>2365</v>
      </c>
      <c r="BO318" s="27">
        <f t="shared" ref="BO318:BO334" si="383">BN318-BP318</f>
        <v>57</v>
      </c>
      <c r="BP318" s="20">
        <v>2308</v>
      </c>
      <c r="BQ318" s="20">
        <v>2008</v>
      </c>
      <c r="BR318" s="20">
        <f t="shared" ref="BR318:BR334" si="384">BP318-BQ318</f>
        <v>300</v>
      </c>
      <c r="BS318" s="20"/>
      <c r="BT318" s="20"/>
      <c r="BU318" s="45">
        <v>2019</v>
      </c>
      <c r="BV318" s="48" t="s">
        <v>38</v>
      </c>
      <c r="BW318" s="35">
        <f t="shared" si="285"/>
        <v>0.75684931506849318</v>
      </c>
      <c r="BX318" s="35">
        <f t="shared" si="286"/>
        <v>0.79292670425422862</v>
      </c>
      <c r="BY318" s="35">
        <f t="shared" si="287"/>
        <v>0.95450097847358117</v>
      </c>
      <c r="BZ318" s="20">
        <v>2044</v>
      </c>
      <c r="CA318" s="27">
        <f t="shared" ref="CA318:CA334" si="385">BZ318-CB318</f>
        <v>93</v>
      </c>
      <c r="CB318" s="20">
        <v>1951</v>
      </c>
      <c r="CC318" s="20">
        <v>1547</v>
      </c>
      <c r="CD318" s="20">
        <f t="shared" ref="CD318:CD334" si="386">CB318-CC318</f>
        <v>404</v>
      </c>
      <c r="CE318" s="20"/>
      <c r="CF318" s="20"/>
      <c r="CG318" s="45">
        <v>2019</v>
      </c>
      <c r="CH318" s="48" t="s">
        <v>38</v>
      </c>
      <c r="CI318" s="35">
        <f t="shared" si="288"/>
        <v>0.93345008756567427</v>
      </c>
      <c r="CJ318" s="35">
        <f t="shared" si="289"/>
        <v>0.97262773722627738</v>
      </c>
      <c r="CK318" s="35">
        <f t="shared" si="290"/>
        <v>0.95971978984238182</v>
      </c>
      <c r="CL318" s="20">
        <v>1142</v>
      </c>
      <c r="CM318" s="27">
        <f t="shared" ref="CM318:CM334" si="387">CL318-CN318</f>
        <v>46</v>
      </c>
      <c r="CN318" s="20">
        <v>1096</v>
      </c>
      <c r="CO318" s="20">
        <v>1066</v>
      </c>
      <c r="CP318" s="20">
        <f t="shared" ref="CP318:CP334" si="388">CN318-CO318</f>
        <v>30</v>
      </c>
      <c r="CQ318" s="20"/>
      <c r="CR318" s="20"/>
      <c r="CS318" s="45">
        <v>2019</v>
      </c>
      <c r="CT318" s="48" t="s">
        <v>38</v>
      </c>
      <c r="CU318" s="35">
        <f t="shared" si="293"/>
        <v>0.85483870967741937</v>
      </c>
      <c r="CV318" s="35">
        <f t="shared" si="294"/>
        <v>0.96188747731397461</v>
      </c>
      <c r="CW318" s="35">
        <f t="shared" si="295"/>
        <v>0.8887096774193548</v>
      </c>
      <c r="CX318" s="20">
        <v>620</v>
      </c>
      <c r="CY318" s="27">
        <f t="shared" ref="CY318:CY327" si="389">CX318-CZ318</f>
        <v>69</v>
      </c>
      <c r="CZ318" s="20">
        <v>551</v>
      </c>
      <c r="DA318" s="20">
        <v>530</v>
      </c>
      <c r="DB318" s="20">
        <f t="shared" ref="DB318:DB327" si="390">CZ318-DA318</f>
        <v>21</v>
      </c>
      <c r="DC318" s="20"/>
      <c r="DD318" s="20"/>
      <c r="DE318" s="45">
        <v>2019</v>
      </c>
      <c r="DF318" s="48" t="s">
        <v>38</v>
      </c>
      <c r="DG318" s="35">
        <f t="shared" si="296"/>
        <v>0.9297200714711138</v>
      </c>
      <c r="DH318" s="35">
        <f t="shared" si="297"/>
        <v>0.94893617021276599</v>
      </c>
      <c r="DI318" s="35">
        <f t="shared" si="298"/>
        <v>0.97974985110184631</v>
      </c>
      <c r="DJ318" s="20">
        <v>1679</v>
      </c>
      <c r="DK318" s="27">
        <f t="shared" ref="DK318:DK321" si="391">DJ318-DL318</f>
        <v>34</v>
      </c>
      <c r="DL318" s="20">
        <v>1645</v>
      </c>
      <c r="DM318" s="20">
        <v>1561</v>
      </c>
      <c r="DN318" s="20">
        <f t="shared" ref="DN318:DN334" si="392">DL318-DM318</f>
        <v>84</v>
      </c>
      <c r="DO318" s="20"/>
      <c r="DP318" s="20"/>
      <c r="DQ318" s="45">
        <v>2019</v>
      </c>
      <c r="DR318" s="48" t="s">
        <v>38</v>
      </c>
      <c r="DS318" s="35">
        <f t="shared" si="354"/>
        <v>0.95798319327731096</v>
      </c>
      <c r="DT318" s="35">
        <f t="shared" si="355"/>
        <v>0.95798319327731096</v>
      </c>
      <c r="DU318" s="35">
        <f t="shared" si="356"/>
        <v>1</v>
      </c>
      <c r="DV318" s="20">
        <v>238</v>
      </c>
      <c r="DW318" s="27">
        <f t="shared" ref="DW318:DW332" si="393">DV318-DX318</f>
        <v>0</v>
      </c>
      <c r="DX318" s="20">
        <v>238</v>
      </c>
      <c r="DY318" s="20">
        <v>228</v>
      </c>
      <c r="DZ318" s="20">
        <f t="shared" ref="DZ318:DZ332" si="394">DX318-DY318</f>
        <v>10</v>
      </c>
      <c r="EA318" s="27"/>
      <c r="EB318" s="27"/>
    </row>
    <row r="319" spans="1:132" s="29" customFormat="1" ht="12.75">
      <c r="A319" s="46">
        <v>2019</v>
      </c>
      <c r="B319" s="47" t="s">
        <v>39</v>
      </c>
      <c r="C319" s="35">
        <f t="shared" si="299"/>
        <v>0.87233941916564184</v>
      </c>
      <c r="D319" s="35">
        <f t="shared" si="300"/>
        <v>0.91279386290522146</v>
      </c>
      <c r="E319" s="35">
        <f t="shared" si="301"/>
        <v>0.95568063570144735</v>
      </c>
      <c r="F31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21142</v>
      </c>
      <c r="G319" s="20">
        <f t="shared" si="302"/>
        <v>937</v>
      </c>
      <c r="H31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20205</v>
      </c>
      <c r="I31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18443</v>
      </c>
      <c r="J319" s="20">
        <f t="shared" si="303"/>
        <v>1762</v>
      </c>
      <c r="K319" s="20"/>
      <c r="L319" s="20"/>
      <c r="M319" s="46">
        <v>2019</v>
      </c>
      <c r="N319" s="47" t="s">
        <v>39</v>
      </c>
      <c r="O319" s="35">
        <f t="shared" si="276"/>
        <v>0.91994147157190631</v>
      </c>
      <c r="P319" s="35">
        <f t="shared" si="277"/>
        <v>0.93998291328492101</v>
      </c>
      <c r="Q319" s="35">
        <f t="shared" si="278"/>
        <v>0.97867892976588633</v>
      </c>
      <c r="R319" s="20">
        <v>4784</v>
      </c>
      <c r="S319" s="27">
        <f t="shared" si="377"/>
        <v>102</v>
      </c>
      <c r="T319" s="20">
        <v>4682</v>
      </c>
      <c r="U319" s="20">
        <v>4401</v>
      </c>
      <c r="V319" s="20">
        <f t="shared" si="378"/>
        <v>281</v>
      </c>
      <c r="W319" s="20"/>
      <c r="X319" s="20"/>
      <c r="Y319" s="46"/>
      <c r="Z319" s="47"/>
      <c r="AA319" s="35"/>
      <c r="AB319" s="35"/>
      <c r="AC319" s="35"/>
      <c r="AD319" s="20"/>
      <c r="AE319" s="27"/>
      <c r="AF319" s="20"/>
      <c r="AG319" s="20"/>
      <c r="AH319" s="20"/>
      <c r="AI319" s="20"/>
      <c r="AJ319" s="20"/>
      <c r="AK319" s="46">
        <v>2019</v>
      </c>
      <c r="AL319" s="47" t="s">
        <v>39</v>
      </c>
      <c r="AM319" s="35">
        <f t="shared" si="279"/>
        <v>0.93676222596964587</v>
      </c>
      <c r="AN319" s="35">
        <f t="shared" si="280"/>
        <v>0.95160599571734472</v>
      </c>
      <c r="AO319" s="35">
        <f t="shared" si="281"/>
        <v>0.98440134907251264</v>
      </c>
      <c r="AP319" s="20">
        <v>4744</v>
      </c>
      <c r="AQ319" s="27">
        <f t="shared" si="379"/>
        <v>74</v>
      </c>
      <c r="AR319" s="20">
        <v>4670</v>
      </c>
      <c r="AS319" s="20">
        <v>4444</v>
      </c>
      <c r="AT319" s="20">
        <f t="shared" si="380"/>
        <v>226</v>
      </c>
      <c r="AU319" s="20"/>
      <c r="AV319" s="20"/>
      <c r="AW319" s="46">
        <v>2019</v>
      </c>
      <c r="AX319" s="47" t="s">
        <v>39</v>
      </c>
      <c r="AY319" s="35">
        <f t="shared" si="316"/>
        <v>0.84649532710280373</v>
      </c>
      <c r="AZ319" s="35">
        <f t="shared" si="317"/>
        <v>0.87469821342346687</v>
      </c>
      <c r="BA319" s="35">
        <f t="shared" si="318"/>
        <v>0.96775700934579434</v>
      </c>
      <c r="BB319" s="20">
        <v>4280</v>
      </c>
      <c r="BC319" s="27">
        <f t="shared" si="381"/>
        <v>138</v>
      </c>
      <c r="BD319" s="20">
        <v>4142</v>
      </c>
      <c r="BE319" s="20">
        <v>3623</v>
      </c>
      <c r="BF319" s="20">
        <f t="shared" si="382"/>
        <v>519</v>
      </c>
      <c r="BG319" s="20"/>
      <c r="BH319" s="20"/>
      <c r="BI319" s="46">
        <v>2019</v>
      </c>
      <c r="BJ319" s="47" t="s">
        <v>39</v>
      </c>
      <c r="BK319" s="35">
        <f t="shared" si="282"/>
        <v>0.83193668528864062</v>
      </c>
      <c r="BL319" s="35">
        <f t="shared" si="283"/>
        <v>0.86411992263056092</v>
      </c>
      <c r="BM319" s="35">
        <f t="shared" si="284"/>
        <v>0.96275605214152704</v>
      </c>
      <c r="BN319" s="20">
        <v>2148</v>
      </c>
      <c r="BO319" s="27">
        <f t="shared" si="383"/>
        <v>80</v>
      </c>
      <c r="BP319" s="20">
        <v>2068</v>
      </c>
      <c r="BQ319" s="20">
        <v>1787</v>
      </c>
      <c r="BR319" s="20">
        <f t="shared" si="384"/>
        <v>281</v>
      </c>
      <c r="BS319" s="20"/>
      <c r="BT319" s="20"/>
      <c r="BU319" s="46">
        <v>2019</v>
      </c>
      <c r="BV319" s="47" t="s">
        <v>39</v>
      </c>
      <c r="BW319" s="35">
        <f t="shared" si="285"/>
        <v>0.62823275862068961</v>
      </c>
      <c r="BX319" s="35">
        <f t="shared" si="286"/>
        <v>0.78412911903160731</v>
      </c>
      <c r="BY319" s="35">
        <f t="shared" si="287"/>
        <v>0.80118534482758619</v>
      </c>
      <c r="BZ319" s="20">
        <v>1856</v>
      </c>
      <c r="CA319" s="27">
        <f t="shared" si="385"/>
        <v>369</v>
      </c>
      <c r="CB319" s="20">
        <v>1487</v>
      </c>
      <c r="CC319" s="20">
        <v>1166</v>
      </c>
      <c r="CD319" s="20">
        <f t="shared" si="386"/>
        <v>321</v>
      </c>
      <c r="CE319" s="20"/>
      <c r="CF319" s="20"/>
      <c r="CG319" s="46">
        <v>2019</v>
      </c>
      <c r="CH319" s="47" t="s">
        <v>39</v>
      </c>
      <c r="CI319" s="35">
        <f t="shared" si="288"/>
        <v>0.93313953488372092</v>
      </c>
      <c r="CJ319" s="35">
        <f t="shared" si="289"/>
        <v>0.97766497461928936</v>
      </c>
      <c r="CK319" s="35">
        <f t="shared" si="290"/>
        <v>0.9544573643410853</v>
      </c>
      <c r="CL319" s="20">
        <v>1032</v>
      </c>
      <c r="CM319" s="27">
        <f t="shared" si="387"/>
        <v>47</v>
      </c>
      <c r="CN319" s="20">
        <v>985</v>
      </c>
      <c r="CO319" s="20">
        <v>963</v>
      </c>
      <c r="CP319" s="20">
        <f t="shared" si="388"/>
        <v>22</v>
      </c>
      <c r="CQ319" s="20"/>
      <c r="CR319" s="20"/>
      <c r="CS319" s="46">
        <v>2019</v>
      </c>
      <c r="CT319" s="47" t="s">
        <v>39</v>
      </c>
      <c r="CU319" s="35">
        <f t="shared" si="293"/>
        <v>0.90357142857142858</v>
      </c>
      <c r="CV319" s="35">
        <f t="shared" si="294"/>
        <v>0.99021526418786687</v>
      </c>
      <c r="CW319" s="35">
        <f t="shared" si="295"/>
        <v>0.91249999999999998</v>
      </c>
      <c r="CX319" s="20">
        <v>560</v>
      </c>
      <c r="CY319" s="27">
        <f t="shared" si="389"/>
        <v>49</v>
      </c>
      <c r="CZ319" s="20">
        <v>511</v>
      </c>
      <c r="DA319" s="20">
        <v>506</v>
      </c>
      <c r="DB319" s="20">
        <f t="shared" si="390"/>
        <v>5</v>
      </c>
      <c r="DC319" s="20"/>
      <c r="DD319" s="20"/>
      <c r="DE319" s="46">
        <v>2019</v>
      </c>
      <c r="DF319" s="47" t="s">
        <v>39</v>
      </c>
      <c r="DG319" s="35">
        <f t="shared" si="296"/>
        <v>0.88173455978975035</v>
      </c>
      <c r="DH319" s="35">
        <f t="shared" si="297"/>
        <v>0.9293628808864266</v>
      </c>
      <c r="DI319" s="35">
        <f t="shared" si="298"/>
        <v>0.94875164257555844</v>
      </c>
      <c r="DJ319" s="20">
        <v>1522</v>
      </c>
      <c r="DK319" s="27">
        <f t="shared" si="391"/>
        <v>78</v>
      </c>
      <c r="DL319" s="20">
        <v>1444</v>
      </c>
      <c r="DM319" s="20">
        <v>1342</v>
      </c>
      <c r="DN319" s="20">
        <f t="shared" si="392"/>
        <v>102</v>
      </c>
      <c r="DO319" s="20"/>
      <c r="DP319" s="20"/>
      <c r="DQ319" s="46">
        <v>2019</v>
      </c>
      <c r="DR319" s="47" t="s">
        <v>39</v>
      </c>
      <c r="DS319" s="35">
        <f t="shared" si="354"/>
        <v>0.97685185185185186</v>
      </c>
      <c r="DT319" s="35">
        <f t="shared" si="355"/>
        <v>0.97685185185185186</v>
      </c>
      <c r="DU319" s="35">
        <f t="shared" si="356"/>
        <v>1</v>
      </c>
      <c r="DV319" s="20">
        <v>216</v>
      </c>
      <c r="DW319" s="27">
        <f t="shared" si="393"/>
        <v>0</v>
      </c>
      <c r="DX319" s="20">
        <v>216</v>
      </c>
      <c r="DY319" s="20">
        <v>211</v>
      </c>
      <c r="DZ319" s="20">
        <f t="shared" si="394"/>
        <v>5</v>
      </c>
      <c r="EA319" s="27"/>
      <c r="EB319" s="27"/>
    </row>
    <row r="320" spans="1:132" s="29" customFormat="1" ht="12.75">
      <c r="A320" s="45">
        <v>2019</v>
      </c>
      <c r="B320" s="48" t="s">
        <v>40</v>
      </c>
      <c r="C320" s="35">
        <f t="shared" si="299"/>
        <v>0.89366786140979693</v>
      </c>
      <c r="D320" s="35">
        <f t="shared" si="300"/>
        <v>0.92761344846591953</v>
      </c>
      <c r="E320" s="35">
        <f t="shared" si="301"/>
        <v>0.96340546041860264</v>
      </c>
      <c r="F32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22599</v>
      </c>
      <c r="G320" s="20">
        <f t="shared" si="302"/>
        <v>827</v>
      </c>
      <c r="H32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21772</v>
      </c>
      <c r="I32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20196</v>
      </c>
      <c r="J320" s="20">
        <f t="shared" si="303"/>
        <v>1576</v>
      </c>
      <c r="K320" s="20"/>
      <c r="L320" s="20"/>
      <c r="M320" s="45">
        <v>2019</v>
      </c>
      <c r="N320" s="48" t="s">
        <v>40</v>
      </c>
      <c r="O320" s="35">
        <f t="shared" si="276"/>
        <v>0.89277297721916737</v>
      </c>
      <c r="P320" s="35">
        <f t="shared" si="277"/>
        <v>0.92117527862208715</v>
      </c>
      <c r="Q320" s="35">
        <f t="shared" si="278"/>
        <v>0.96916732128829541</v>
      </c>
      <c r="R320" s="20">
        <v>5092</v>
      </c>
      <c r="S320" s="27">
        <f t="shared" si="377"/>
        <v>157</v>
      </c>
      <c r="T320" s="20">
        <v>4935</v>
      </c>
      <c r="U320" s="20">
        <v>4546</v>
      </c>
      <c r="V320" s="20">
        <f t="shared" si="378"/>
        <v>389</v>
      </c>
      <c r="W320" s="20"/>
      <c r="X320" s="20"/>
      <c r="Y320" s="45"/>
      <c r="Z320" s="48"/>
      <c r="AA320" s="35"/>
      <c r="AB320" s="35"/>
      <c r="AC320" s="35"/>
      <c r="AD320" s="20"/>
      <c r="AE320" s="27"/>
      <c r="AF320" s="20"/>
      <c r="AG320" s="20"/>
      <c r="AH320" s="20"/>
      <c r="AI320" s="20"/>
      <c r="AJ320" s="20"/>
      <c r="AK320" s="45">
        <v>2019</v>
      </c>
      <c r="AL320" s="48" t="s">
        <v>40</v>
      </c>
      <c r="AM320" s="35">
        <f t="shared" si="279"/>
        <v>0.94401119776044795</v>
      </c>
      <c r="AN320" s="35">
        <f t="shared" si="280"/>
        <v>0.95547460028334341</v>
      </c>
      <c r="AO320" s="35">
        <f t="shared" si="281"/>
        <v>0.98800239952009594</v>
      </c>
      <c r="AP320" s="20">
        <v>5001</v>
      </c>
      <c r="AQ320" s="27">
        <f t="shared" si="379"/>
        <v>60</v>
      </c>
      <c r="AR320" s="20">
        <v>4941</v>
      </c>
      <c r="AS320" s="20">
        <v>4721</v>
      </c>
      <c r="AT320" s="20">
        <f t="shared" si="380"/>
        <v>220</v>
      </c>
      <c r="AU320" s="20"/>
      <c r="AV320" s="20"/>
      <c r="AW320" s="45">
        <v>2019</v>
      </c>
      <c r="AX320" s="48" t="s">
        <v>40</v>
      </c>
      <c r="AY320" s="35">
        <f t="shared" si="316"/>
        <v>0.89458751636839806</v>
      </c>
      <c r="AZ320" s="35">
        <f t="shared" si="317"/>
        <v>0.91475117161347919</v>
      </c>
      <c r="BA320" s="35">
        <f t="shared" si="318"/>
        <v>0.97795722391968576</v>
      </c>
      <c r="BB320" s="20">
        <v>4582</v>
      </c>
      <c r="BC320" s="27">
        <f t="shared" si="381"/>
        <v>101</v>
      </c>
      <c r="BD320" s="20">
        <v>4481</v>
      </c>
      <c r="BE320" s="20">
        <v>4099</v>
      </c>
      <c r="BF320" s="20">
        <f t="shared" si="382"/>
        <v>382</v>
      </c>
      <c r="BG320" s="20"/>
      <c r="BH320" s="20"/>
      <c r="BI320" s="45">
        <v>2019</v>
      </c>
      <c r="BJ320" s="48" t="s">
        <v>40</v>
      </c>
      <c r="BK320" s="35">
        <f t="shared" si="282"/>
        <v>0.85408475316732202</v>
      </c>
      <c r="BL320" s="35">
        <f t="shared" si="283"/>
        <v>0.89147286821705429</v>
      </c>
      <c r="BM320" s="35">
        <f t="shared" si="284"/>
        <v>0.95806028833551771</v>
      </c>
      <c r="BN320" s="20">
        <v>2289</v>
      </c>
      <c r="BO320" s="27">
        <f t="shared" si="383"/>
        <v>96</v>
      </c>
      <c r="BP320" s="20">
        <v>2193</v>
      </c>
      <c r="BQ320" s="20">
        <v>1955</v>
      </c>
      <c r="BR320" s="20">
        <f t="shared" si="384"/>
        <v>238</v>
      </c>
      <c r="BS320" s="20"/>
      <c r="BT320" s="20"/>
      <c r="BU320" s="45">
        <v>2019</v>
      </c>
      <c r="BV320" s="48" t="s">
        <v>40</v>
      </c>
      <c r="BW320" s="35">
        <f t="shared" si="285"/>
        <v>0.72823886639676116</v>
      </c>
      <c r="BX320" s="35">
        <f t="shared" si="286"/>
        <v>0.867913148371532</v>
      </c>
      <c r="BY320" s="35">
        <f t="shared" si="287"/>
        <v>0.83906882591093113</v>
      </c>
      <c r="BZ320" s="20">
        <v>1976</v>
      </c>
      <c r="CA320" s="27">
        <f t="shared" si="385"/>
        <v>318</v>
      </c>
      <c r="CB320" s="20">
        <v>1658</v>
      </c>
      <c r="CC320" s="20">
        <v>1439</v>
      </c>
      <c r="CD320" s="20">
        <f t="shared" si="386"/>
        <v>219</v>
      </c>
      <c r="CE320" s="20"/>
      <c r="CF320" s="20"/>
      <c r="CG320" s="45">
        <v>2019</v>
      </c>
      <c r="CH320" s="48" t="s">
        <v>40</v>
      </c>
      <c r="CI320" s="35">
        <f t="shared" si="288"/>
        <v>0.96140350877192982</v>
      </c>
      <c r="CJ320" s="35">
        <f t="shared" si="289"/>
        <v>0.98472596585804129</v>
      </c>
      <c r="CK320" s="35">
        <f t="shared" si="290"/>
        <v>0.97631578947368425</v>
      </c>
      <c r="CL320" s="20">
        <v>1140</v>
      </c>
      <c r="CM320" s="27">
        <f t="shared" si="387"/>
        <v>27</v>
      </c>
      <c r="CN320" s="20">
        <v>1113</v>
      </c>
      <c r="CO320" s="20">
        <v>1096</v>
      </c>
      <c r="CP320" s="20">
        <f t="shared" si="388"/>
        <v>17</v>
      </c>
      <c r="CQ320" s="20"/>
      <c r="CR320" s="20"/>
      <c r="CS320" s="45">
        <v>2019</v>
      </c>
      <c r="CT320" s="48" t="s">
        <v>40</v>
      </c>
      <c r="CU320" s="35">
        <f t="shared" si="293"/>
        <v>0.91612903225806452</v>
      </c>
      <c r="CV320" s="35">
        <f t="shared" si="294"/>
        <v>0.96598639455782309</v>
      </c>
      <c r="CW320" s="35">
        <f t="shared" si="295"/>
        <v>0.94838709677419353</v>
      </c>
      <c r="CX320" s="20">
        <v>620</v>
      </c>
      <c r="CY320" s="27">
        <f t="shared" si="389"/>
        <v>32</v>
      </c>
      <c r="CZ320" s="20">
        <v>588</v>
      </c>
      <c r="DA320" s="20">
        <v>568</v>
      </c>
      <c r="DB320" s="20">
        <f t="shared" si="390"/>
        <v>20</v>
      </c>
      <c r="DC320" s="20"/>
      <c r="DD320" s="20"/>
      <c r="DE320" s="45">
        <v>2019</v>
      </c>
      <c r="DF320" s="48" t="s">
        <v>40</v>
      </c>
      <c r="DG320" s="35">
        <f t="shared" si="296"/>
        <v>0.92887537993920977</v>
      </c>
      <c r="DH320" s="35">
        <f t="shared" si="297"/>
        <v>0.94847920546244568</v>
      </c>
      <c r="DI320" s="35">
        <f t="shared" si="298"/>
        <v>0.97933130699088144</v>
      </c>
      <c r="DJ320" s="20">
        <v>1645</v>
      </c>
      <c r="DK320" s="27">
        <f t="shared" si="391"/>
        <v>34</v>
      </c>
      <c r="DL320" s="20">
        <v>1611</v>
      </c>
      <c r="DM320" s="20">
        <v>1528</v>
      </c>
      <c r="DN320" s="20">
        <f t="shared" si="392"/>
        <v>83</v>
      </c>
      <c r="DO320" s="20"/>
      <c r="DP320" s="20"/>
      <c r="DQ320" s="45">
        <v>2019</v>
      </c>
      <c r="DR320" s="48" t="s">
        <v>40</v>
      </c>
      <c r="DS320" s="35">
        <f t="shared" si="354"/>
        <v>0.96062992125984248</v>
      </c>
      <c r="DT320" s="35">
        <f t="shared" si="355"/>
        <v>0.96825396825396826</v>
      </c>
      <c r="DU320" s="35">
        <f t="shared" si="356"/>
        <v>0.99212598425196852</v>
      </c>
      <c r="DV320" s="20">
        <v>254</v>
      </c>
      <c r="DW320" s="27">
        <f t="shared" si="393"/>
        <v>2</v>
      </c>
      <c r="DX320" s="20">
        <v>252</v>
      </c>
      <c r="DY320" s="20">
        <v>244</v>
      </c>
      <c r="DZ320" s="20">
        <f t="shared" si="394"/>
        <v>8</v>
      </c>
      <c r="EA320" s="27"/>
      <c r="EB320" s="27"/>
    </row>
    <row r="321" spans="1:142" s="29" customFormat="1" ht="12.75">
      <c r="A321" s="46">
        <v>2019</v>
      </c>
      <c r="B321" s="47" t="s">
        <v>41</v>
      </c>
      <c r="C321" s="35">
        <f t="shared" si="299"/>
        <v>0.8684067427949973</v>
      </c>
      <c r="D321" s="35">
        <f t="shared" si="300"/>
        <v>0.9154048244566515</v>
      </c>
      <c r="E321" s="35">
        <f t="shared" si="301"/>
        <v>0.94865869131774516</v>
      </c>
      <c r="F32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22068</v>
      </c>
      <c r="G321" s="20">
        <f t="shared" si="302"/>
        <v>1133</v>
      </c>
      <c r="H32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20935</v>
      </c>
      <c r="I32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19164</v>
      </c>
      <c r="J321" s="20">
        <f t="shared" si="303"/>
        <v>1771</v>
      </c>
      <c r="K321" s="20"/>
      <c r="L321" s="20"/>
      <c r="M321" s="46">
        <v>2019</v>
      </c>
      <c r="N321" s="47" t="s">
        <v>41</v>
      </c>
      <c r="O321" s="35">
        <f t="shared" si="276"/>
        <v>0.821671331467413</v>
      </c>
      <c r="P321" s="35">
        <f t="shared" si="277"/>
        <v>0.90329670329670331</v>
      </c>
      <c r="Q321" s="35">
        <f t="shared" si="278"/>
        <v>0.90963614554178329</v>
      </c>
      <c r="R321" s="20">
        <v>5002</v>
      </c>
      <c r="S321" s="27">
        <f t="shared" si="377"/>
        <v>452</v>
      </c>
      <c r="T321" s="20">
        <v>4550</v>
      </c>
      <c r="U321" s="20">
        <v>4110</v>
      </c>
      <c r="V321" s="20">
        <f t="shared" si="378"/>
        <v>440</v>
      </c>
      <c r="W321" s="20"/>
      <c r="X321" s="20"/>
      <c r="Y321" s="46"/>
      <c r="Z321" s="47"/>
      <c r="AA321" s="35"/>
      <c r="AB321" s="35"/>
      <c r="AC321" s="35"/>
      <c r="AD321" s="20"/>
      <c r="AE321" s="27"/>
      <c r="AF321" s="20"/>
      <c r="AG321" s="20"/>
      <c r="AH321" s="20"/>
      <c r="AI321" s="20"/>
      <c r="AJ321" s="20"/>
      <c r="AK321" s="46">
        <v>2019</v>
      </c>
      <c r="AL321" s="47" t="s">
        <v>41</v>
      </c>
      <c r="AM321" s="35">
        <f t="shared" si="279"/>
        <v>0.91953554695457318</v>
      </c>
      <c r="AN321" s="35">
        <f t="shared" si="280"/>
        <v>0.94851859634376967</v>
      </c>
      <c r="AO321" s="35">
        <f t="shared" si="281"/>
        <v>0.96944387859034431</v>
      </c>
      <c r="AP321" s="20">
        <v>4909</v>
      </c>
      <c r="AQ321" s="27">
        <f t="shared" si="379"/>
        <v>150</v>
      </c>
      <c r="AR321" s="20">
        <v>4759</v>
      </c>
      <c r="AS321" s="20">
        <v>4514</v>
      </c>
      <c r="AT321" s="20">
        <f t="shared" si="380"/>
        <v>245</v>
      </c>
      <c r="AU321" s="20"/>
      <c r="AV321" s="20"/>
      <c r="AW321" s="46">
        <v>2019</v>
      </c>
      <c r="AX321" s="47" t="s">
        <v>41</v>
      </c>
      <c r="AY321" s="35">
        <f t="shared" si="316"/>
        <v>0.88533750558784086</v>
      </c>
      <c r="AZ321" s="35">
        <f t="shared" si="317"/>
        <v>0.91162255466052933</v>
      </c>
      <c r="BA321" s="35">
        <f t="shared" si="318"/>
        <v>0.97116674117121149</v>
      </c>
      <c r="BB321" s="20">
        <v>4474</v>
      </c>
      <c r="BC321" s="27">
        <f t="shared" si="381"/>
        <v>129</v>
      </c>
      <c r="BD321" s="20">
        <v>4345</v>
      </c>
      <c r="BE321" s="20">
        <v>3961</v>
      </c>
      <c r="BF321" s="20">
        <f t="shared" si="382"/>
        <v>384</v>
      </c>
      <c r="BG321" s="20"/>
      <c r="BH321" s="20"/>
      <c r="BI321" s="46">
        <v>2019</v>
      </c>
      <c r="BJ321" s="47" t="s">
        <v>41</v>
      </c>
      <c r="BK321" s="35">
        <f t="shared" si="282"/>
        <v>0.84137622877569263</v>
      </c>
      <c r="BL321" s="35">
        <f t="shared" si="283"/>
        <v>0.87337662337662336</v>
      </c>
      <c r="BM321" s="35">
        <f t="shared" si="284"/>
        <v>0.96336014298480788</v>
      </c>
      <c r="BN321" s="20">
        <v>2238</v>
      </c>
      <c r="BO321" s="27">
        <f t="shared" si="383"/>
        <v>82</v>
      </c>
      <c r="BP321" s="20">
        <v>2156</v>
      </c>
      <c r="BQ321" s="20">
        <v>1883</v>
      </c>
      <c r="BR321" s="20">
        <f t="shared" si="384"/>
        <v>273</v>
      </c>
      <c r="BS321" s="20"/>
      <c r="BT321" s="20"/>
      <c r="BU321" s="46">
        <v>2019</v>
      </c>
      <c r="BV321" s="47" t="s">
        <v>41</v>
      </c>
      <c r="BW321" s="35">
        <f t="shared" si="285"/>
        <v>0.7857142857142857</v>
      </c>
      <c r="BX321" s="35">
        <f t="shared" si="286"/>
        <v>0.83452446399120395</v>
      </c>
      <c r="BY321" s="35">
        <f t="shared" si="287"/>
        <v>0.94151138716356109</v>
      </c>
      <c r="BZ321" s="20">
        <v>1932</v>
      </c>
      <c r="CA321" s="27">
        <f t="shared" si="385"/>
        <v>113</v>
      </c>
      <c r="CB321" s="20">
        <v>1819</v>
      </c>
      <c r="CC321" s="20">
        <v>1518</v>
      </c>
      <c r="CD321" s="20">
        <f t="shared" si="386"/>
        <v>301</v>
      </c>
      <c r="CE321" s="20"/>
      <c r="CF321" s="20"/>
      <c r="CG321" s="46">
        <v>2019</v>
      </c>
      <c r="CH321" s="47" t="s">
        <v>41</v>
      </c>
      <c r="CI321" s="35">
        <f t="shared" si="288"/>
        <v>0.96739130434782605</v>
      </c>
      <c r="CJ321" s="35">
        <f t="shared" si="289"/>
        <v>0.98888888888888893</v>
      </c>
      <c r="CK321" s="35">
        <f t="shared" si="290"/>
        <v>0.97826086956521741</v>
      </c>
      <c r="CL321" s="20">
        <v>1104</v>
      </c>
      <c r="CM321" s="27">
        <f t="shared" si="387"/>
        <v>24</v>
      </c>
      <c r="CN321" s="20">
        <v>1080</v>
      </c>
      <c r="CO321" s="20">
        <v>1068</v>
      </c>
      <c r="CP321" s="20">
        <f t="shared" si="388"/>
        <v>12</v>
      </c>
      <c r="CQ321" s="20"/>
      <c r="CR321" s="20"/>
      <c r="CS321" s="46">
        <v>2019</v>
      </c>
      <c r="CT321" s="47" t="s">
        <v>41</v>
      </c>
      <c r="CU321" s="35">
        <f t="shared" si="293"/>
        <v>0.80333333333333334</v>
      </c>
      <c r="CV321" s="35">
        <f t="shared" si="294"/>
        <v>0.98167006109979638</v>
      </c>
      <c r="CW321" s="35">
        <f t="shared" si="295"/>
        <v>0.81833333333333336</v>
      </c>
      <c r="CX321" s="20">
        <v>600</v>
      </c>
      <c r="CY321" s="27">
        <f t="shared" si="389"/>
        <v>109</v>
      </c>
      <c r="CZ321" s="20">
        <v>491</v>
      </c>
      <c r="DA321" s="20">
        <v>482</v>
      </c>
      <c r="DB321" s="20">
        <f t="shared" si="390"/>
        <v>9</v>
      </c>
      <c r="DC321" s="20"/>
      <c r="DD321" s="20"/>
      <c r="DE321" s="46">
        <v>2019</v>
      </c>
      <c r="DF321" s="47" t="s">
        <v>41</v>
      </c>
      <c r="DG321" s="35">
        <f t="shared" si="296"/>
        <v>0.91926255562619197</v>
      </c>
      <c r="DH321" s="35">
        <f t="shared" si="297"/>
        <v>0.9311010946555055</v>
      </c>
      <c r="DI321" s="35">
        <f t="shared" si="298"/>
        <v>0.98728544183089639</v>
      </c>
      <c r="DJ321" s="20">
        <v>1573</v>
      </c>
      <c r="DK321" s="27">
        <f t="shared" si="391"/>
        <v>20</v>
      </c>
      <c r="DL321" s="20">
        <v>1553</v>
      </c>
      <c r="DM321" s="20">
        <v>1446</v>
      </c>
      <c r="DN321" s="20">
        <f t="shared" si="392"/>
        <v>107</v>
      </c>
      <c r="DO321" s="20"/>
      <c r="DP321" s="20"/>
      <c r="DQ321" s="46">
        <v>2019</v>
      </c>
      <c r="DR321" s="47" t="s">
        <v>41</v>
      </c>
      <c r="DS321" s="35">
        <f t="shared" si="354"/>
        <v>0.77118644067796616</v>
      </c>
      <c r="DT321" s="35">
        <f t="shared" si="355"/>
        <v>1</v>
      </c>
      <c r="DU321" s="35">
        <f t="shared" si="356"/>
        <v>0.77118644067796616</v>
      </c>
      <c r="DV321" s="20">
        <v>236</v>
      </c>
      <c r="DW321" s="27">
        <f t="shared" si="393"/>
        <v>54</v>
      </c>
      <c r="DX321" s="20">
        <v>182</v>
      </c>
      <c r="DY321" s="20">
        <v>182</v>
      </c>
      <c r="DZ321" s="20">
        <f t="shared" si="394"/>
        <v>0</v>
      </c>
      <c r="EA321" s="27"/>
      <c r="EB321" s="27"/>
    </row>
    <row r="322" spans="1:142" s="29" customFormat="1" ht="12.75">
      <c r="A322" s="45">
        <v>2019</v>
      </c>
      <c r="B322" s="48" t="s">
        <v>42</v>
      </c>
      <c r="C322" s="35">
        <f t="shared" si="299"/>
        <v>0.79125692446429341</v>
      </c>
      <c r="D322" s="35">
        <f t="shared" si="300"/>
        <v>0.88911407064273307</v>
      </c>
      <c r="E322" s="35">
        <f t="shared" si="301"/>
        <v>0.88993859234766182</v>
      </c>
      <c r="F32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23287</v>
      </c>
      <c r="G322" s="20">
        <f t="shared" si="302"/>
        <v>2563</v>
      </c>
      <c r="H32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20724</v>
      </c>
      <c r="I32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18426</v>
      </c>
      <c r="J322" s="20">
        <f t="shared" si="303"/>
        <v>2298</v>
      </c>
      <c r="K322" s="20"/>
      <c r="L322" s="20"/>
      <c r="M322" s="45">
        <v>2019</v>
      </c>
      <c r="N322" s="48" t="s">
        <v>42</v>
      </c>
      <c r="O322" s="35">
        <f t="shared" si="276"/>
        <v>0.74868322046651614</v>
      </c>
      <c r="P322" s="35">
        <f t="shared" si="277"/>
        <v>0.89197669206633801</v>
      </c>
      <c r="Q322" s="35">
        <f t="shared" si="278"/>
        <v>0.83935289691497361</v>
      </c>
      <c r="R322" s="20">
        <v>5316</v>
      </c>
      <c r="S322" s="27">
        <f t="shared" si="377"/>
        <v>854</v>
      </c>
      <c r="T322" s="20">
        <v>4462</v>
      </c>
      <c r="U322" s="20">
        <v>3980</v>
      </c>
      <c r="V322" s="20">
        <f t="shared" si="378"/>
        <v>482</v>
      </c>
      <c r="W322" s="20"/>
      <c r="X322" s="20"/>
      <c r="Y322" s="45"/>
      <c r="Z322" s="48"/>
      <c r="AA322" s="35"/>
      <c r="AB322" s="35"/>
      <c r="AC322" s="35"/>
      <c r="AD322" s="20"/>
      <c r="AE322" s="27"/>
      <c r="AF322" s="20"/>
      <c r="AG322" s="20"/>
      <c r="AH322" s="20"/>
      <c r="AI322" s="20"/>
      <c r="AJ322" s="20"/>
      <c r="AK322" s="45">
        <v>2019</v>
      </c>
      <c r="AL322" s="48" t="s">
        <v>42</v>
      </c>
      <c r="AM322" s="35">
        <f t="shared" si="279"/>
        <v>0.85859554873369148</v>
      </c>
      <c r="AN322" s="35">
        <f t="shared" si="280"/>
        <v>0.93093405450384858</v>
      </c>
      <c r="AO322" s="35">
        <f t="shared" si="281"/>
        <v>0.92229470452801232</v>
      </c>
      <c r="AP322" s="20">
        <v>5212</v>
      </c>
      <c r="AQ322" s="27">
        <f t="shared" si="379"/>
        <v>405</v>
      </c>
      <c r="AR322" s="20">
        <v>4807</v>
      </c>
      <c r="AS322" s="20">
        <v>4475</v>
      </c>
      <c r="AT322" s="20">
        <f t="shared" si="380"/>
        <v>332</v>
      </c>
      <c r="AU322" s="20"/>
      <c r="AV322" s="20"/>
      <c r="AW322" s="45">
        <v>2019</v>
      </c>
      <c r="AX322" s="48" t="s">
        <v>42</v>
      </c>
      <c r="AY322" s="35">
        <f t="shared" si="316"/>
        <v>0.81482272533105515</v>
      </c>
      <c r="AZ322" s="35">
        <f t="shared" si="317"/>
        <v>0.88556174558960077</v>
      </c>
      <c r="BA322" s="35">
        <f t="shared" si="318"/>
        <v>0.92011960700555318</v>
      </c>
      <c r="BB322" s="20">
        <v>4682</v>
      </c>
      <c r="BC322" s="27">
        <f t="shared" si="381"/>
        <v>374</v>
      </c>
      <c r="BD322" s="20">
        <v>4308</v>
      </c>
      <c r="BE322" s="20">
        <v>3815</v>
      </c>
      <c r="BF322" s="20">
        <f t="shared" si="382"/>
        <v>493</v>
      </c>
      <c r="BG322" s="20"/>
      <c r="BH322" s="20"/>
      <c r="BI322" s="45">
        <v>2019</v>
      </c>
      <c r="BJ322" s="48" t="s">
        <v>42</v>
      </c>
      <c r="BK322" s="35">
        <f t="shared" si="282"/>
        <v>0.75522388059701495</v>
      </c>
      <c r="BL322" s="35">
        <f t="shared" si="283"/>
        <v>0.83145539906103283</v>
      </c>
      <c r="BM322" s="35">
        <f t="shared" si="284"/>
        <v>0.90831556503198296</v>
      </c>
      <c r="BN322" s="20">
        <v>2345</v>
      </c>
      <c r="BO322" s="27">
        <f t="shared" si="383"/>
        <v>215</v>
      </c>
      <c r="BP322" s="20">
        <v>2130</v>
      </c>
      <c r="BQ322" s="20">
        <v>1771</v>
      </c>
      <c r="BR322" s="20">
        <f t="shared" si="384"/>
        <v>359</v>
      </c>
      <c r="BS322" s="20"/>
      <c r="BT322" s="20"/>
      <c r="BU322" s="45">
        <v>2019</v>
      </c>
      <c r="BV322" s="48" t="s">
        <v>42</v>
      </c>
      <c r="BW322" s="35">
        <f t="shared" si="285"/>
        <v>0.60650887573964496</v>
      </c>
      <c r="BX322" s="35">
        <f t="shared" si="286"/>
        <v>0.73918269230769229</v>
      </c>
      <c r="BY322" s="35">
        <f t="shared" si="287"/>
        <v>0.82051282051282048</v>
      </c>
      <c r="BZ322" s="20">
        <v>2028</v>
      </c>
      <c r="CA322" s="27">
        <f t="shared" si="385"/>
        <v>364</v>
      </c>
      <c r="CB322" s="20">
        <v>1664</v>
      </c>
      <c r="CC322" s="20">
        <v>1230</v>
      </c>
      <c r="CD322" s="20">
        <f t="shared" si="386"/>
        <v>434</v>
      </c>
      <c r="CE322" s="20"/>
      <c r="CF322" s="20"/>
      <c r="CG322" s="45">
        <v>2019</v>
      </c>
      <c r="CH322" s="48" t="s">
        <v>42</v>
      </c>
      <c r="CI322" s="35">
        <f t="shared" si="288"/>
        <v>0.89745836985100791</v>
      </c>
      <c r="CJ322" s="35">
        <f t="shared" si="289"/>
        <v>0.97523809523809524</v>
      </c>
      <c r="CK322" s="35">
        <f t="shared" si="290"/>
        <v>0.92024539877300615</v>
      </c>
      <c r="CL322" s="20">
        <v>1141</v>
      </c>
      <c r="CM322" s="27">
        <f t="shared" si="387"/>
        <v>91</v>
      </c>
      <c r="CN322" s="20">
        <v>1050</v>
      </c>
      <c r="CO322" s="20">
        <v>1024</v>
      </c>
      <c r="CP322" s="20">
        <f t="shared" si="388"/>
        <v>26</v>
      </c>
      <c r="CQ322" s="20"/>
      <c r="CR322" s="20"/>
      <c r="CS322" s="45">
        <v>2019</v>
      </c>
      <c r="CT322" s="48" t="s">
        <v>42</v>
      </c>
      <c r="CU322" s="35">
        <f t="shared" si="293"/>
        <v>0.89838709677419359</v>
      </c>
      <c r="CV322" s="35">
        <f t="shared" si="294"/>
        <v>0.97891036906854134</v>
      </c>
      <c r="CW322" s="35">
        <f t="shared" si="295"/>
        <v>0.91774193548387095</v>
      </c>
      <c r="CX322" s="20">
        <v>620</v>
      </c>
      <c r="CY322" s="27">
        <f t="shared" si="389"/>
        <v>51</v>
      </c>
      <c r="CZ322" s="20">
        <v>569</v>
      </c>
      <c r="DA322" s="20">
        <v>557</v>
      </c>
      <c r="DB322" s="20">
        <f t="shared" si="390"/>
        <v>12</v>
      </c>
      <c r="DC322" s="20"/>
      <c r="DD322" s="20"/>
      <c r="DE322" s="45">
        <v>2019</v>
      </c>
      <c r="DF322" s="48" t="s">
        <v>42</v>
      </c>
      <c r="DG322" s="35">
        <f t="shared" si="296"/>
        <v>0.83715461493239274</v>
      </c>
      <c r="DH322" s="35">
        <f t="shared" si="297"/>
        <v>0.90126582278481016</v>
      </c>
      <c r="DI322" s="35">
        <f t="shared" si="298"/>
        <v>0.92886537330981778</v>
      </c>
      <c r="DJ322" s="20">
        <f>1657+44</f>
        <v>1701</v>
      </c>
      <c r="DK322" s="27">
        <f t="shared" ref="DK322:DK334" si="395">DJ322-DL322</f>
        <v>121</v>
      </c>
      <c r="DL322" s="20">
        <f>1538+42</f>
        <v>1580</v>
      </c>
      <c r="DM322" s="20">
        <f>1390+34</f>
        <v>1424</v>
      </c>
      <c r="DN322" s="20">
        <f t="shared" si="392"/>
        <v>156</v>
      </c>
      <c r="DO322" s="20"/>
      <c r="DP322" s="20"/>
      <c r="DQ322" s="45">
        <v>2019</v>
      </c>
      <c r="DR322" s="48" t="s">
        <v>42</v>
      </c>
      <c r="DS322" s="35">
        <f t="shared" si="354"/>
        <v>0.6198347107438017</v>
      </c>
      <c r="DT322" s="35">
        <f t="shared" si="355"/>
        <v>0.97402597402597402</v>
      </c>
      <c r="DU322" s="35">
        <f t="shared" si="356"/>
        <v>0.63636363636363635</v>
      </c>
      <c r="DV322" s="20">
        <v>242</v>
      </c>
      <c r="DW322" s="27">
        <f t="shared" si="393"/>
        <v>88</v>
      </c>
      <c r="DX322" s="20">
        <v>154</v>
      </c>
      <c r="DY322" s="20">
        <v>150</v>
      </c>
      <c r="DZ322" s="20">
        <f t="shared" si="394"/>
        <v>4</v>
      </c>
      <c r="EA322" s="27"/>
      <c r="EB322" s="27"/>
    </row>
    <row r="323" spans="1:142" s="29" customFormat="1" ht="12.75">
      <c r="A323" s="46">
        <v>2019</v>
      </c>
      <c r="B323" s="47" t="s">
        <v>43</v>
      </c>
      <c r="C323" s="35">
        <f t="shared" si="299"/>
        <v>0.80198474685288978</v>
      </c>
      <c r="D323" s="35">
        <f t="shared" si="300"/>
        <v>0.90132699953529194</v>
      </c>
      <c r="E323" s="35">
        <f t="shared" si="301"/>
        <v>0.88978222916475236</v>
      </c>
      <c r="F32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21766</v>
      </c>
      <c r="G323" s="20">
        <f t="shared" si="302"/>
        <v>2399</v>
      </c>
      <c r="H32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19367</v>
      </c>
      <c r="I32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17456</v>
      </c>
      <c r="J323" s="20">
        <f t="shared" si="303"/>
        <v>1911</v>
      </c>
      <c r="K323" s="20"/>
      <c r="L323" s="20"/>
      <c r="M323" s="46">
        <v>2019</v>
      </c>
      <c r="N323" s="47" t="s">
        <v>43</v>
      </c>
      <c r="O323" s="35">
        <f t="shared" si="276"/>
        <v>0.74295055169595425</v>
      </c>
      <c r="P323" s="35">
        <f t="shared" si="277"/>
        <v>0.88726207906295751</v>
      </c>
      <c r="Q323" s="35">
        <f t="shared" si="278"/>
        <v>0.83735185941969759</v>
      </c>
      <c r="R323" s="20">
        <v>4894</v>
      </c>
      <c r="S323" s="27">
        <f t="shared" si="377"/>
        <v>796</v>
      </c>
      <c r="T323" s="20">
        <v>4098</v>
      </c>
      <c r="U323" s="20">
        <v>3636</v>
      </c>
      <c r="V323" s="20">
        <f t="shared" si="378"/>
        <v>462</v>
      </c>
      <c r="W323" s="20"/>
      <c r="X323" s="20"/>
      <c r="Y323" s="46"/>
      <c r="Z323" s="47"/>
      <c r="AA323" s="35"/>
      <c r="AB323" s="35"/>
      <c r="AC323" s="35"/>
      <c r="AD323" s="20"/>
      <c r="AE323" s="27"/>
      <c r="AF323" s="20"/>
      <c r="AG323" s="20"/>
      <c r="AH323" s="20"/>
      <c r="AI323" s="20"/>
      <c r="AJ323" s="20"/>
      <c r="AK323" s="46">
        <v>2019</v>
      </c>
      <c r="AL323" s="47" t="s">
        <v>43</v>
      </c>
      <c r="AM323" s="35">
        <f t="shared" si="279"/>
        <v>0.91306156405990013</v>
      </c>
      <c r="AN323" s="35">
        <f t="shared" si="280"/>
        <v>0.94530577088716627</v>
      </c>
      <c r="AO323" s="35">
        <f t="shared" si="281"/>
        <v>0.96589018302828622</v>
      </c>
      <c r="AP323" s="20">
        <v>4808</v>
      </c>
      <c r="AQ323" s="27">
        <f t="shared" si="379"/>
        <v>164</v>
      </c>
      <c r="AR323" s="20">
        <v>4644</v>
      </c>
      <c r="AS323" s="20">
        <v>4390</v>
      </c>
      <c r="AT323" s="20">
        <f t="shared" si="380"/>
        <v>254</v>
      </c>
      <c r="AU323" s="20"/>
      <c r="AV323" s="20"/>
      <c r="AW323" s="46">
        <v>2019</v>
      </c>
      <c r="AX323" s="47" t="s">
        <v>43</v>
      </c>
      <c r="AY323" s="35">
        <f t="shared" si="316"/>
        <v>0.84834766862833866</v>
      </c>
      <c r="AZ323" s="35">
        <f t="shared" si="317"/>
        <v>0.92497532082922018</v>
      </c>
      <c r="BA323" s="35">
        <f t="shared" si="318"/>
        <v>0.9171570846536895</v>
      </c>
      <c r="BB323" s="20">
        <v>4418</v>
      </c>
      <c r="BC323" s="27">
        <f t="shared" si="381"/>
        <v>366</v>
      </c>
      <c r="BD323" s="20">
        <v>4052</v>
      </c>
      <c r="BE323" s="20">
        <v>3748</v>
      </c>
      <c r="BF323" s="20">
        <f t="shared" si="382"/>
        <v>304</v>
      </c>
      <c r="BG323" s="20"/>
      <c r="BH323" s="20"/>
      <c r="BI323" s="46">
        <v>2019</v>
      </c>
      <c r="BJ323" s="47" t="s">
        <v>43</v>
      </c>
      <c r="BK323" s="35">
        <f t="shared" si="282"/>
        <v>0.57706255666364459</v>
      </c>
      <c r="BL323" s="35">
        <f t="shared" si="283"/>
        <v>0.76410564225690281</v>
      </c>
      <c r="BM323" s="35">
        <f t="shared" si="284"/>
        <v>0.75521305530371718</v>
      </c>
      <c r="BN323" s="20">
        <v>2206</v>
      </c>
      <c r="BO323" s="27">
        <f t="shared" si="383"/>
        <v>540</v>
      </c>
      <c r="BP323" s="20">
        <v>1666</v>
      </c>
      <c r="BQ323" s="20">
        <v>1273</v>
      </c>
      <c r="BR323" s="20">
        <f t="shared" si="384"/>
        <v>393</v>
      </c>
      <c r="BS323" s="20"/>
      <c r="BT323" s="20"/>
      <c r="BU323" s="46">
        <v>2019</v>
      </c>
      <c r="BV323" s="47" t="s">
        <v>43</v>
      </c>
      <c r="BW323" s="35">
        <f t="shared" si="285"/>
        <v>0.65861344537815125</v>
      </c>
      <c r="BX323" s="35">
        <f t="shared" si="286"/>
        <v>0.7857142857142857</v>
      </c>
      <c r="BY323" s="35">
        <f t="shared" si="287"/>
        <v>0.83823529411764708</v>
      </c>
      <c r="BZ323" s="20">
        <v>1904</v>
      </c>
      <c r="CA323" s="27">
        <f t="shared" si="385"/>
        <v>308</v>
      </c>
      <c r="CB323" s="20">
        <v>1596</v>
      </c>
      <c r="CC323" s="20">
        <v>1254</v>
      </c>
      <c r="CD323" s="20">
        <f t="shared" si="386"/>
        <v>342</v>
      </c>
      <c r="CE323" s="20"/>
      <c r="CF323" s="20"/>
      <c r="CG323" s="46">
        <v>2019</v>
      </c>
      <c r="CH323" s="47" t="s">
        <v>43</v>
      </c>
      <c r="CI323" s="35">
        <f t="shared" si="288"/>
        <v>0.93019038984587488</v>
      </c>
      <c r="CJ323" s="35">
        <f t="shared" si="289"/>
        <v>0.98275862068965514</v>
      </c>
      <c r="CK323" s="35">
        <f t="shared" si="290"/>
        <v>0.94650951949229378</v>
      </c>
      <c r="CL323" s="20">
        <v>1103</v>
      </c>
      <c r="CM323" s="27">
        <f t="shared" si="387"/>
        <v>59</v>
      </c>
      <c r="CN323" s="20">
        <v>1044</v>
      </c>
      <c r="CO323" s="20">
        <v>1026</v>
      </c>
      <c r="CP323" s="20">
        <f t="shared" si="388"/>
        <v>18</v>
      </c>
      <c r="CQ323" s="20"/>
      <c r="CR323" s="20"/>
      <c r="CS323" s="46">
        <v>2019</v>
      </c>
      <c r="CT323" s="47" t="s">
        <v>43</v>
      </c>
      <c r="CU323" s="35">
        <f t="shared" si="293"/>
        <v>0.93</v>
      </c>
      <c r="CV323" s="35">
        <f t="shared" si="294"/>
        <v>0.97212543554006969</v>
      </c>
      <c r="CW323" s="35">
        <f t="shared" si="295"/>
        <v>0.95666666666666667</v>
      </c>
      <c r="CX323" s="20">
        <v>600</v>
      </c>
      <c r="CY323" s="27">
        <f t="shared" si="389"/>
        <v>26</v>
      </c>
      <c r="CZ323" s="20">
        <v>574</v>
      </c>
      <c r="DA323" s="20">
        <v>558</v>
      </c>
      <c r="DB323" s="20">
        <f t="shared" si="390"/>
        <v>16</v>
      </c>
      <c r="DC323" s="20"/>
      <c r="DD323" s="20"/>
      <c r="DE323" s="46">
        <v>2019</v>
      </c>
      <c r="DF323" s="47" t="s">
        <v>43</v>
      </c>
      <c r="DG323" s="35">
        <f t="shared" si="296"/>
        <v>0.88860918816865953</v>
      </c>
      <c r="DH323" s="35">
        <f t="shared" si="297"/>
        <v>0.9210697977821265</v>
      </c>
      <c r="DI323" s="35">
        <f t="shared" si="298"/>
        <v>0.96475770925110127</v>
      </c>
      <c r="DJ323" s="20">
        <f>1553+36</f>
        <v>1589</v>
      </c>
      <c r="DK323" s="27">
        <f t="shared" si="395"/>
        <v>56</v>
      </c>
      <c r="DL323" s="20">
        <f>1497+36</f>
        <v>1533</v>
      </c>
      <c r="DM323" s="20">
        <f>1381+31</f>
        <v>1412</v>
      </c>
      <c r="DN323" s="20">
        <f t="shared" si="392"/>
        <v>121</v>
      </c>
      <c r="DO323" s="20"/>
      <c r="DP323" s="20"/>
      <c r="DQ323" s="46">
        <v>2019</v>
      </c>
      <c r="DR323" s="47" t="s">
        <v>43</v>
      </c>
      <c r="DS323" s="35">
        <f t="shared" si="354"/>
        <v>0.65163934426229508</v>
      </c>
      <c r="DT323" s="35">
        <f t="shared" si="355"/>
        <v>0.99375000000000002</v>
      </c>
      <c r="DU323" s="35">
        <f t="shared" si="356"/>
        <v>0.65573770491803274</v>
      </c>
      <c r="DV323" s="20">
        <v>244</v>
      </c>
      <c r="DW323" s="27">
        <f t="shared" si="393"/>
        <v>84</v>
      </c>
      <c r="DX323" s="20">
        <v>160</v>
      </c>
      <c r="DY323" s="20">
        <v>159</v>
      </c>
      <c r="DZ323" s="20">
        <f t="shared" si="394"/>
        <v>1</v>
      </c>
      <c r="EA323" s="27"/>
      <c r="EB323" s="27"/>
    </row>
    <row r="324" spans="1:142" s="29" customFormat="1" ht="12.75">
      <c r="A324" s="45">
        <v>2019</v>
      </c>
      <c r="B324" s="48" t="s">
        <v>44</v>
      </c>
      <c r="C324" s="35">
        <f t="shared" si="299"/>
        <v>0.86795857861040693</v>
      </c>
      <c r="D324" s="35">
        <f t="shared" si="300"/>
        <v>0.93687676823894994</v>
      </c>
      <c r="E324" s="35">
        <f t="shared" si="301"/>
        <v>0.92643836205044472</v>
      </c>
      <c r="F32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23273</v>
      </c>
      <c r="G324" s="20">
        <f t="shared" si="302"/>
        <v>1712</v>
      </c>
      <c r="H32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21561</v>
      </c>
      <c r="I32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20200</v>
      </c>
      <c r="J324" s="20">
        <f t="shared" si="303"/>
        <v>1361</v>
      </c>
      <c r="K324" s="20"/>
      <c r="L324" s="20"/>
      <c r="M324" s="45">
        <v>2019</v>
      </c>
      <c r="N324" s="48" t="s">
        <v>44</v>
      </c>
      <c r="O324" s="35">
        <f t="shared" si="276"/>
        <v>0.82818387339864352</v>
      </c>
      <c r="P324" s="35">
        <f t="shared" si="277"/>
        <v>0.94193271909149345</v>
      </c>
      <c r="Q324" s="35">
        <f t="shared" si="278"/>
        <v>0.87923888470233613</v>
      </c>
      <c r="R324" s="20">
        <v>5308</v>
      </c>
      <c r="S324" s="27">
        <f t="shared" si="377"/>
        <v>641</v>
      </c>
      <c r="T324" s="20">
        <v>4667</v>
      </c>
      <c r="U324" s="20">
        <v>4396</v>
      </c>
      <c r="V324" s="20">
        <f t="shared" si="378"/>
        <v>271</v>
      </c>
      <c r="W324" s="20"/>
      <c r="X324" s="20"/>
      <c r="Y324" s="45"/>
      <c r="Z324" s="48"/>
      <c r="AA324" s="35"/>
      <c r="AB324" s="35"/>
      <c r="AC324" s="35"/>
      <c r="AD324" s="20"/>
      <c r="AE324" s="27"/>
      <c r="AF324" s="20"/>
      <c r="AG324" s="20"/>
      <c r="AH324" s="20"/>
      <c r="AI324" s="20"/>
      <c r="AJ324" s="20"/>
      <c r="AK324" s="45">
        <v>2019</v>
      </c>
      <c r="AL324" s="48" t="s">
        <v>44</v>
      </c>
      <c r="AM324" s="35">
        <f t="shared" si="279"/>
        <v>0.96021526042667693</v>
      </c>
      <c r="AN324" s="35">
        <f t="shared" si="280"/>
        <v>0.96915615906886521</v>
      </c>
      <c r="AO324" s="35">
        <f t="shared" si="281"/>
        <v>0.9907745531424178</v>
      </c>
      <c r="AP324" s="20">
        <v>5203</v>
      </c>
      <c r="AQ324" s="27">
        <f t="shared" si="379"/>
        <v>48</v>
      </c>
      <c r="AR324" s="20">
        <v>5155</v>
      </c>
      <c r="AS324" s="20">
        <v>4996</v>
      </c>
      <c r="AT324" s="20">
        <f t="shared" si="380"/>
        <v>159</v>
      </c>
      <c r="AU324" s="20"/>
      <c r="AV324" s="20"/>
      <c r="AW324" s="45">
        <v>2019</v>
      </c>
      <c r="AX324" s="48" t="s">
        <v>44</v>
      </c>
      <c r="AY324" s="35">
        <f t="shared" si="316"/>
        <v>0.89071154665530461</v>
      </c>
      <c r="AZ324" s="35">
        <f t="shared" si="317"/>
        <v>0.9461416610092781</v>
      </c>
      <c r="BA324" s="35">
        <f t="shared" si="318"/>
        <v>0.9414145717937793</v>
      </c>
      <c r="BB324" s="20">
        <v>4694</v>
      </c>
      <c r="BC324" s="27">
        <f t="shared" si="381"/>
        <v>275</v>
      </c>
      <c r="BD324" s="20">
        <v>4419</v>
      </c>
      <c r="BE324" s="20">
        <v>4181</v>
      </c>
      <c r="BF324" s="20">
        <f t="shared" si="382"/>
        <v>238</v>
      </c>
      <c r="BG324" s="20"/>
      <c r="BH324" s="20"/>
      <c r="BI324" s="45">
        <v>2019</v>
      </c>
      <c r="BJ324" s="48" t="s">
        <v>44</v>
      </c>
      <c r="BK324" s="35">
        <f t="shared" si="282"/>
        <v>0.80577985550361242</v>
      </c>
      <c r="BL324" s="35">
        <f t="shared" si="283"/>
        <v>0.85366951823502923</v>
      </c>
      <c r="BM324" s="35">
        <f t="shared" si="284"/>
        <v>0.94390140246493837</v>
      </c>
      <c r="BN324" s="20">
        <v>2353</v>
      </c>
      <c r="BO324" s="27">
        <f t="shared" si="383"/>
        <v>132</v>
      </c>
      <c r="BP324" s="20">
        <v>2221</v>
      </c>
      <c r="BQ324" s="20">
        <v>1896</v>
      </c>
      <c r="BR324" s="20">
        <f t="shared" si="384"/>
        <v>325</v>
      </c>
      <c r="BS324" s="20"/>
      <c r="BT324" s="20"/>
      <c r="BU324" s="45">
        <v>2019</v>
      </c>
      <c r="BV324" s="48" t="s">
        <v>44</v>
      </c>
      <c r="BW324" s="35">
        <f t="shared" si="285"/>
        <v>0.6707677165354331</v>
      </c>
      <c r="BX324" s="35">
        <f t="shared" si="286"/>
        <v>0.85885318210459982</v>
      </c>
      <c r="BY324" s="35">
        <f t="shared" si="287"/>
        <v>0.78100393700787396</v>
      </c>
      <c r="BZ324" s="20">
        <v>2032</v>
      </c>
      <c r="CA324" s="27">
        <f t="shared" si="385"/>
        <v>445</v>
      </c>
      <c r="CB324" s="20">
        <v>1587</v>
      </c>
      <c r="CC324" s="20">
        <v>1363</v>
      </c>
      <c r="CD324" s="20">
        <f t="shared" si="386"/>
        <v>224</v>
      </c>
      <c r="CE324" s="20"/>
      <c r="CF324" s="20"/>
      <c r="CG324" s="45">
        <v>2019</v>
      </c>
      <c r="CH324" s="48" t="s">
        <v>44</v>
      </c>
      <c r="CI324" s="35">
        <f t="shared" si="288"/>
        <v>0.96497373029772326</v>
      </c>
      <c r="CJ324" s="35">
        <f t="shared" si="289"/>
        <v>0.9856887298747764</v>
      </c>
      <c r="CK324" s="35">
        <f t="shared" si="290"/>
        <v>0.978984238178634</v>
      </c>
      <c r="CL324" s="20">
        <v>1142</v>
      </c>
      <c r="CM324" s="27">
        <f t="shared" si="387"/>
        <v>24</v>
      </c>
      <c r="CN324" s="20">
        <v>1118</v>
      </c>
      <c r="CO324" s="20">
        <v>1102</v>
      </c>
      <c r="CP324" s="20">
        <f t="shared" si="388"/>
        <v>16</v>
      </c>
      <c r="CQ324" s="20"/>
      <c r="CR324" s="20"/>
      <c r="CS324" s="45">
        <v>2019</v>
      </c>
      <c r="CT324" s="48" t="s">
        <v>44</v>
      </c>
      <c r="CU324" s="35">
        <f t="shared" si="293"/>
        <v>0.9306451612903226</v>
      </c>
      <c r="CV324" s="35">
        <f t="shared" si="294"/>
        <v>0.96006655574043265</v>
      </c>
      <c r="CW324" s="35">
        <f t="shared" si="295"/>
        <v>0.96935483870967742</v>
      </c>
      <c r="CX324" s="20">
        <v>620</v>
      </c>
      <c r="CY324" s="27">
        <f t="shared" si="389"/>
        <v>19</v>
      </c>
      <c r="CZ324" s="20">
        <v>601</v>
      </c>
      <c r="DA324" s="20">
        <v>577</v>
      </c>
      <c r="DB324" s="20">
        <f t="shared" si="390"/>
        <v>24</v>
      </c>
      <c r="DC324" s="20"/>
      <c r="DD324" s="20"/>
      <c r="DE324" s="45">
        <v>2019</v>
      </c>
      <c r="DF324" s="48" t="s">
        <v>44</v>
      </c>
      <c r="DG324" s="35">
        <f t="shared" si="296"/>
        <v>0.91840381179273378</v>
      </c>
      <c r="DH324" s="35">
        <f t="shared" si="297"/>
        <v>0.94024390243902434</v>
      </c>
      <c r="DI324" s="35">
        <f t="shared" si="298"/>
        <v>0.9767718880285885</v>
      </c>
      <c r="DJ324" s="20">
        <f>1637+42</f>
        <v>1679</v>
      </c>
      <c r="DK324" s="27">
        <f t="shared" si="395"/>
        <v>39</v>
      </c>
      <c r="DL324" s="20">
        <f>1598+42</f>
        <v>1640</v>
      </c>
      <c r="DM324" s="20">
        <f>1503+39</f>
        <v>1542</v>
      </c>
      <c r="DN324" s="20">
        <f t="shared" si="392"/>
        <v>98</v>
      </c>
      <c r="DO324" s="20"/>
      <c r="DP324" s="20"/>
      <c r="DQ324" s="45">
        <v>2019</v>
      </c>
      <c r="DR324" s="48" t="s">
        <v>44</v>
      </c>
      <c r="DS324" s="35">
        <f t="shared" si="354"/>
        <v>0.6074380165289256</v>
      </c>
      <c r="DT324" s="35">
        <f t="shared" si="355"/>
        <v>0.96078431372549022</v>
      </c>
      <c r="DU324" s="35">
        <f t="shared" si="356"/>
        <v>0.63223140495867769</v>
      </c>
      <c r="DV324" s="20">
        <v>242</v>
      </c>
      <c r="DW324" s="27">
        <f t="shared" si="393"/>
        <v>89</v>
      </c>
      <c r="DX324" s="20">
        <v>153</v>
      </c>
      <c r="DY324" s="20">
        <v>147</v>
      </c>
      <c r="DZ324" s="20">
        <f t="shared" si="394"/>
        <v>6</v>
      </c>
      <c r="EA324" s="27"/>
      <c r="EB324" s="27"/>
    </row>
    <row r="325" spans="1:142" s="29" customFormat="1" ht="12.75">
      <c r="A325" s="46">
        <v>2019</v>
      </c>
      <c r="B325" s="47" t="s">
        <v>45</v>
      </c>
      <c r="C325" s="35">
        <f t="shared" si="299"/>
        <v>0.88886502276827906</v>
      </c>
      <c r="D325" s="35">
        <f t="shared" si="300"/>
        <v>0.93870792124126667</v>
      </c>
      <c r="E325" s="35">
        <f t="shared" si="301"/>
        <v>0.94690265486725667</v>
      </c>
      <c r="F32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23278</v>
      </c>
      <c r="G325" s="20">
        <f t="shared" si="302"/>
        <v>1236</v>
      </c>
      <c r="H32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22042</v>
      </c>
      <c r="I32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20691</v>
      </c>
      <c r="J325" s="20">
        <f t="shared" si="303"/>
        <v>1351</v>
      </c>
      <c r="K325" s="20"/>
      <c r="L325" s="20"/>
      <c r="M325" s="46">
        <v>2019</v>
      </c>
      <c r="N325" s="47" t="s">
        <v>45</v>
      </c>
      <c r="O325" s="35">
        <f t="shared" si="276"/>
        <v>0.84740015071590058</v>
      </c>
      <c r="P325" s="35">
        <f t="shared" si="277"/>
        <v>0.93145578794781525</v>
      </c>
      <c r="Q325" s="35">
        <f t="shared" si="278"/>
        <v>0.90975885455915595</v>
      </c>
      <c r="R325" s="20">
        <v>5308</v>
      </c>
      <c r="S325" s="27">
        <f t="shared" si="377"/>
        <v>479</v>
      </c>
      <c r="T325" s="20">
        <v>4829</v>
      </c>
      <c r="U325" s="20">
        <v>4498</v>
      </c>
      <c r="V325" s="20">
        <f t="shared" si="378"/>
        <v>331</v>
      </c>
      <c r="W325" s="20"/>
      <c r="X325" s="20"/>
      <c r="Y325" s="46"/>
      <c r="Z325" s="47"/>
      <c r="AA325" s="35"/>
      <c r="AB325" s="35"/>
      <c r="AC325" s="35"/>
      <c r="AD325" s="20"/>
      <c r="AE325" s="27"/>
      <c r="AF325" s="20"/>
      <c r="AG325" s="20"/>
      <c r="AH325" s="20"/>
      <c r="AI325" s="20"/>
      <c r="AJ325" s="20"/>
      <c r="AK325" s="46">
        <v>2019</v>
      </c>
      <c r="AL325" s="47" t="s">
        <v>45</v>
      </c>
      <c r="AM325" s="35">
        <f t="shared" si="279"/>
        <v>0.94485011529592622</v>
      </c>
      <c r="AN325" s="35">
        <f t="shared" si="280"/>
        <v>0.9614782948768088</v>
      </c>
      <c r="AO325" s="35">
        <f t="shared" si="281"/>
        <v>0.98270561106840892</v>
      </c>
      <c r="AP325" s="20">
        <v>5204</v>
      </c>
      <c r="AQ325" s="27">
        <f t="shared" si="379"/>
        <v>90</v>
      </c>
      <c r="AR325" s="20">
        <v>5114</v>
      </c>
      <c r="AS325" s="20">
        <v>4917</v>
      </c>
      <c r="AT325" s="20">
        <f t="shared" si="380"/>
        <v>197</v>
      </c>
      <c r="AU325" s="20"/>
      <c r="AV325" s="20"/>
      <c r="AW325" s="46">
        <v>2019</v>
      </c>
      <c r="AX325" s="47" t="s">
        <v>45</v>
      </c>
      <c r="AY325" s="35">
        <f t="shared" si="316"/>
        <v>0.91435875585854287</v>
      </c>
      <c r="AZ325" s="35">
        <f t="shared" si="317"/>
        <v>0.93732255951081023</v>
      </c>
      <c r="BA325" s="35">
        <f t="shared" si="318"/>
        <v>0.97550063911376228</v>
      </c>
      <c r="BB325" s="20">
        <v>4694</v>
      </c>
      <c r="BC325" s="27">
        <f t="shared" si="381"/>
        <v>115</v>
      </c>
      <c r="BD325" s="20">
        <v>4579</v>
      </c>
      <c r="BE325" s="20">
        <v>4292</v>
      </c>
      <c r="BF325" s="20">
        <f t="shared" si="382"/>
        <v>287</v>
      </c>
      <c r="BG325" s="20"/>
      <c r="BH325" s="20"/>
      <c r="BI325" s="46">
        <v>2019</v>
      </c>
      <c r="BJ325" s="47" t="s">
        <v>45</v>
      </c>
      <c r="BK325" s="35">
        <f t="shared" si="282"/>
        <v>0.82575435614109649</v>
      </c>
      <c r="BL325" s="35">
        <f t="shared" si="283"/>
        <v>0.88398544131028212</v>
      </c>
      <c r="BM325" s="35">
        <f t="shared" si="284"/>
        <v>0.93412664683382918</v>
      </c>
      <c r="BN325" s="20">
        <v>2353</v>
      </c>
      <c r="BO325" s="27">
        <f t="shared" si="383"/>
        <v>155</v>
      </c>
      <c r="BP325" s="20">
        <v>2198</v>
      </c>
      <c r="BQ325" s="20">
        <v>1943</v>
      </c>
      <c r="BR325" s="20">
        <f t="shared" si="384"/>
        <v>255</v>
      </c>
      <c r="BS325" s="20"/>
      <c r="BT325" s="20"/>
      <c r="BU325" s="46">
        <v>2019</v>
      </c>
      <c r="BV325" s="47" t="s">
        <v>45</v>
      </c>
      <c r="BW325" s="35">
        <f t="shared" si="285"/>
        <v>0.75688976377952755</v>
      </c>
      <c r="BX325" s="35">
        <f t="shared" si="286"/>
        <v>0.89262913522925136</v>
      </c>
      <c r="BY325" s="35">
        <f t="shared" si="287"/>
        <v>0.84793307086614178</v>
      </c>
      <c r="BZ325" s="20">
        <v>2032</v>
      </c>
      <c r="CA325" s="27">
        <f t="shared" si="385"/>
        <v>309</v>
      </c>
      <c r="CB325" s="20">
        <v>1723</v>
      </c>
      <c r="CC325" s="20">
        <v>1538</v>
      </c>
      <c r="CD325" s="20">
        <f t="shared" si="386"/>
        <v>185</v>
      </c>
      <c r="CE325" s="20"/>
      <c r="CF325" s="20"/>
      <c r="CG325" s="46">
        <v>2019</v>
      </c>
      <c r="CH325" s="47" t="s">
        <v>45</v>
      </c>
      <c r="CI325" s="35">
        <f t="shared" si="288"/>
        <v>0.978984238178634</v>
      </c>
      <c r="CJ325" s="35">
        <f t="shared" si="289"/>
        <v>0.9885057471264368</v>
      </c>
      <c r="CK325" s="35">
        <f t="shared" si="290"/>
        <v>0.99036777583187385</v>
      </c>
      <c r="CL325" s="20">
        <v>1142</v>
      </c>
      <c r="CM325" s="27">
        <f t="shared" si="387"/>
        <v>11</v>
      </c>
      <c r="CN325" s="20">
        <v>1131</v>
      </c>
      <c r="CO325" s="20">
        <v>1118</v>
      </c>
      <c r="CP325" s="20">
        <f t="shared" si="388"/>
        <v>13</v>
      </c>
      <c r="CQ325" s="20"/>
      <c r="CR325" s="20"/>
      <c r="CS325" s="46">
        <v>2019</v>
      </c>
      <c r="CT325" s="47" t="s">
        <v>45</v>
      </c>
      <c r="CU325" s="35">
        <f t="shared" si="293"/>
        <v>0.96129032258064517</v>
      </c>
      <c r="CV325" s="35">
        <f t="shared" si="294"/>
        <v>0.97385620915032678</v>
      </c>
      <c r="CW325" s="35">
        <f t="shared" si="295"/>
        <v>0.98709677419354835</v>
      </c>
      <c r="CX325" s="20">
        <v>620</v>
      </c>
      <c r="CY325" s="27">
        <f t="shared" si="389"/>
        <v>8</v>
      </c>
      <c r="CZ325" s="20">
        <v>612</v>
      </c>
      <c r="DA325" s="20">
        <v>596</v>
      </c>
      <c r="DB325" s="20">
        <f t="shared" si="390"/>
        <v>16</v>
      </c>
      <c r="DC325" s="20"/>
      <c r="DD325" s="20"/>
      <c r="DE325" s="46">
        <v>2019</v>
      </c>
      <c r="DF325" s="47" t="s">
        <v>45</v>
      </c>
      <c r="DG325" s="35">
        <f t="shared" si="296"/>
        <v>0.95652173913043481</v>
      </c>
      <c r="DH325" s="35">
        <f t="shared" si="297"/>
        <v>0.96052631578947367</v>
      </c>
      <c r="DI325" s="35">
        <f t="shared" si="298"/>
        <v>0.9958308516974389</v>
      </c>
      <c r="DJ325" s="20">
        <f>1637+42</f>
        <v>1679</v>
      </c>
      <c r="DK325" s="27">
        <f t="shared" si="395"/>
        <v>7</v>
      </c>
      <c r="DL325" s="20">
        <f>1630+42</f>
        <v>1672</v>
      </c>
      <c r="DM325" s="20">
        <f>1567+39</f>
        <v>1606</v>
      </c>
      <c r="DN325" s="20">
        <f t="shared" si="392"/>
        <v>66</v>
      </c>
      <c r="DO325" s="20"/>
      <c r="DP325" s="20"/>
      <c r="DQ325" s="46">
        <v>2019</v>
      </c>
      <c r="DR325" s="47" t="s">
        <v>45</v>
      </c>
      <c r="DS325" s="35">
        <f t="shared" si="354"/>
        <v>0.74390243902439024</v>
      </c>
      <c r="DT325" s="35">
        <f t="shared" si="355"/>
        <v>0.99456521739130432</v>
      </c>
      <c r="DU325" s="35">
        <f t="shared" si="356"/>
        <v>0.74796747967479671</v>
      </c>
      <c r="DV325" s="20">
        <v>246</v>
      </c>
      <c r="DW325" s="27">
        <f t="shared" si="393"/>
        <v>62</v>
      </c>
      <c r="DX325" s="20">
        <v>184</v>
      </c>
      <c r="DY325" s="20">
        <v>183</v>
      </c>
      <c r="DZ325" s="20">
        <f t="shared" si="394"/>
        <v>1</v>
      </c>
      <c r="EA325" s="27"/>
      <c r="EB325" s="27"/>
    </row>
    <row r="326" spans="1:142" s="29" customFormat="1" ht="12.75">
      <c r="A326" s="45">
        <v>2019</v>
      </c>
      <c r="B326" s="48" t="s">
        <v>46</v>
      </c>
      <c r="C326" s="35">
        <f t="shared" si="299"/>
        <v>0.89380335264717592</v>
      </c>
      <c r="D326" s="35">
        <f t="shared" si="300"/>
        <v>0.94664355647163534</v>
      </c>
      <c r="E326" s="35">
        <f t="shared" si="301"/>
        <v>0.94418152063337613</v>
      </c>
      <c r="F32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22609</v>
      </c>
      <c r="G326" s="20">
        <f t="shared" si="302"/>
        <v>1262</v>
      </c>
      <c r="H32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21347</v>
      </c>
      <c r="I32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20208</v>
      </c>
      <c r="J326" s="20">
        <f t="shared" si="303"/>
        <v>1139</v>
      </c>
      <c r="K326" s="20"/>
      <c r="L326" s="20"/>
      <c r="M326" s="45">
        <v>2019</v>
      </c>
      <c r="N326" s="48" t="s">
        <v>46</v>
      </c>
      <c r="O326" s="35">
        <f t="shared" ref="O326:O334" si="396">U326/R326</f>
        <v>0.79876160990712075</v>
      </c>
      <c r="P326" s="35">
        <f t="shared" ref="P326:P334" si="397">U326/T326</f>
        <v>0.9146908929758476</v>
      </c>
      <c r="Q326" s="35">
        <f t="shared" ref="Q326:Q334" si="398">T326/R326</f>
        <v>0.87325851393188858</v>
      </c>
      <c r="R326" s="20">
        <v>5168</v>
      </c>
      <c r="S326" s="27">
        <f t="shared" si="377"/>
        <v>655</v>
      </c>
      <c r="T326" s="20">
        <v>4513</v>
      </c>
      <c r="U326" s="20">
        <v>4128</v>
      </c>
      <c r="V326" s="20">
        <f t="shared" si="378"/>
        <v>385</v>
      </c>
      <c r="W326" s="20"/>
      <c r="X326" s="20"/>
      <c r="Y326" s="45"/>
      <c r="Z326" s="48"/>
      <c r="AA326" s="35"/>
      <c r="AB326" s="35"/>
      <c r="AC326" s="35"/>
      <c r="AD326" s="20"/>
      <c r="AE326" s="27"/>
      <c r="AF326" s="20"/>
      <c r="AG326" s="20"/>
      <c r="AH326" s="20"/>
      <c r="AI326" s="20"/>
      <c r="AJ326" s="20"/>
      <c r="AK326" s="45">
        <v>2019</v>
      </c>
      <c r="AL326" s="48" t="s">
        <v>46</v>
      </c>
      <c r="AM326" s="35">
        <f t="shared" ref="AM326:AM334" si="399">AS326/AP326</f>
        <v>0.94866732477788751</v>
      </c>
      <c r="AN326" s="35">
        <f t="shared" ref="AN326:AN334" si="400">AS326/AR326</f>
        <v>0.96466572977313791</v>
      </c>
      <c r="AO326" s="35">
        <f t="shared" ref="AO326:AO334" si="401">AR326/AP326</f>
        <v>0.98341559723593286</v>
      </c>
      <c r="AP326" s="20">
        <v>5065</v>
      </c>
      <c r="AQ326" s="27">
        <f t="shared" si="379"/>
        <v>84</v>
      </c>
      <c r="AR326" s="20">
        <v>4981</v>
      </c>
      <c r="AS326" s="20">
        <v>4805</v>
      </c>
      <c r="AT326" s="20">
        <f t="shared" si="380"/>
        <v>176</v>
      </c>
      <c r="AU326" s="20"/>
      <c r="AV326" s="20"/>
      <c r="AW326" s="45">
        <v>2019</v>
      </c>
      <c r="AX326" s="48" t="s">
        <v>46</v>
      </c>
      <c r="AY326" s="35">
        <f t="shared" ref="AY326:AY334" si="402">BE326/BB326</f>
        <v>0.95121951219512191</v>
      </c>
      <c r="AZ326" s="35">
        <f t="shared" ref="AZ326:AZ334" si="403">BE326/BD326</f>
        <v>0.96050587974262258</v>
      </c>
      <c r="BA326" s="35">
        <f t="shared" ref="BA326:BA334" si="404">BD326/BB326</f>
        <v>0.99033179520984405</v>
      </c>
      <c r="BB326" s="20">
        <v>4551</v>
      </c>
      <c r="BC326" s="27">
        <f t="shared" si="381"/>
        <v>44</v>
      </c>
      <c r="BD326" s="20">
        <v>4507</v>
      </c>
      <c r="BE326" s="20">
        <v>4329</v>
      </c>
      <c r="BF326" s="20">
        <f t="shared" si="382"/>
        <v>178</v>
      </c>
      <c r="BG326" s="20"/>
      <c r="BH326" s="20"/>
      <c r="BI326" s="45">
        <v>2019</v>
      </c>
      <c r="BJ326" s="48" t="s">
        <v>46</v>
      </c>
      <c r="BK326" s="35">
        <f t="shared" ref="BK326:BK334" si="405">BQ326/BN326</f>
        <v>0.85626643295354954</v>
      </c>
      <c r="BL326" s="35">
        <f t="shared" ref="BL326:BL334" si="406">BQ326/BP326</f>
        <v>0.9173708920187793</v>
      </c>
      <c r="BM326" s="35">
        <f t="shared" ref="BM326:BM334" si="407">BP326/BN326</f>
        <v>0.9333917616126205</v>
      </c>
      <c r="BN326" s="20">
        <v>2282</v>
      </c>
      <c r="BO326" s="27">
        <f t="shared" si="383"/>
        <v>152</v>
      </c>
      <c r="BP326" s="20">
        <v>2130</v>
      </c>
      <c r="BQ326" s="20">
        <v>1954</v>
      </c>
      <c r="BR326" s="20">
        <f t="shared" si="384"/>
        <v>176</v>
      </c>
      <c r="BS326" s="20"/>
      <c r="BT326" s="20"/>
      <c r="BU326" s="45">
        <v>2019</v>
      </c>
      <c r="BV326" s="48" t="s">
        <v>46</v>
      </c>
      <c r="BW326" s="35">
        <f t="shared" ref="BW326:BW334" si="408">CC326/BZ326</f>
        <v>0.83468559837728196</v>
      </c>
      <c r="BX326" s="35">
        <f t="shared" ref="BX326:BX334" si="409">CC326/CB326</f>
        <v>0.93575895395110853</v>
      </c>
      <c r="BY326" s="35">
        <f t="shared" ref="BY326:BY334" si="410">CB326/BZ326</f>
        <v>0.89198782961460443</v>
      </c>
      <c r="BZ326" s="20">
        <v>1972</v>
      </c>
      <c r="CA326" s="27">
        <f t="shared" si="385"/>
        <v>213</v>
      </c>
      <c r="CB326" s="20">
        <v>1759</v>
      </c>
      <c r="CC326" s="20">
        <v>1646</v>
      </c>
      <c r="CD326" s="20">
        <f t="shared" si="386"/>
        <v>113</v>
      </c>
      <c r="CE326" s="20"/>
      <c r="CF326" s="20"/>
      <c r="CG326" s="45">
        <v>2019</v>
      </c>
      <c r="CH326" s="48" t="s">
        <v>46</v>
      </c>
      <c r="CI326" s="35">
        <f t="shared" ref="CI326:CI334" si="411">CO326/CL326</f>
        <v>0.96835443037974689</v>
      </c>
      <c r="CJ326" s="35">
        <f t="shared" ref="CJ326:CJ334" si="412">CO326/CN326</f>
        <v>0.98076923076923073</v>
      </c>
      <c r="CK326" s="35">
        <f t="shared" ref="CK326:CK334" si="413">CN326/CL326</f>
        <v>0.98734177215189878</v>
      </c>
      <c r="CL326" s="20">
        <v>1106</v>
      </c>
      <c r="CM326" s="27">
        <f t="shared" si="387"/>
        <v>14</v>
      </c>
      <c r="CN326" s="20">
        <v>1092</v>
      </c>
      <c r="CO326" s="20">
        <v>1071</v>
      </c>
      <c r="CP326" s="20">
        <f t="shared" si="388"/>
        <v>21</v>
      </c>
      <c r="CQ326" s="20"/>
      <c r="CR326" s="20"/>
      <c r="CS326" s="45">
        <v>2019</v>
      </c>
      <c r="CT326" s="48" t="s">
        <v>46</v>
      </c>
      <c r="CU326" s="35">
        <f t="shared" ref="CU326:CU327" si="414">DA326/CX326</f>
        <v>0.96666666666666667</v>
      </c>
      <c r="CV326" s="35">
        <f t="shared" ref="CV326:CV327" si="415">DA326/CZ326</f>
        <v>0.97972972972972971</v>
      </c>
      <c r="CW326" s="35">
        <f t="shared" ref="CW326:CW327" si="416">CZ326/CX326</f>
        <v>0.98666666666666669</v>
      </c>
      <c r="CX326" s="20">
        <v>600</v>
      </c>
      <c r="CY326" s="27">
        <f t="shared" si="389"/>
        <v>8</v>
      </c>
      <c r="CZ326" s="20">
        <v>592</v>
      </c>
      <c r="DA326" s="20">
        <v>580</v>
      </c>
      <c r="DB326" s="20">
        <f t="shared" si="390"/>
        <v>12</v>
      </c>
      <c r="DC326" s="20"/>
      <c r="DD326" s="20"/>
      <c r="DE326" s="45">
        <v>2019</v>
      </c>
      <c r="DF326" s="48" t="s">
        <v>46</v>
      </c>
      <c r="DG326" s="35">
        <f t="shared" ref="DG326:DG334" si="417">DM326/DJ326</f>
        <v>0.94856093080220449</v>
      </c>
      <c r="DH326" s="35">
        <f t="shared" ref="DH326:DH334" si="418">DM326/DL326</f>
        <v>0.95205900430239709</v>
      </c>
      <c r="DI326" s="35">
        <f t="shared" ref="DI326:DI334" si="419">DL326/DJ326</f>
        <v>0.99632578077158607</v>
      </c>
      <c r="DJ326" s="20">
        <f>1591+42</f>
        <v>1633</v>
      </c>
      <c r="DK326" s="27">
        <f t="shared" si="395"/>
        <v>6</v>
      </c>
      <c r="DL326" s="20">
        <f>1585+42</f>
        <v>1627</v>
      </c>
      <c r="DM326" s="20">
        <f>1510+39</f>
        <v>1549</v>
      </c>
      <c r="DN326" s="20">
        <f t="shared" si="392"/>
        <v>78</v>
      </c>
      <c r="DO326" s="20"/>
      <c r="DP326" s="20"/>
      <c r="DQ326" s="45">
        <v>2019</v>
      </c>
      <c r="DR326" s="48" t="s">
        <v>46</v>
      </c>
      <c r="DS326" s="35">
        <f t="shared" ref="DS326:DS332" si="420">DY326/DV326</f>
        <v>0.62931034482758619</v>
      </c>
      <c r="DT326" s="35">
        <f t="shared" ref="DT326:DT332" si="421">DY326/DX326</f>
        <v>1</v>
      </c>
      <c r="DU326" s="35">
        <f t="shared" ref="DU326:DU332" si="422">DX326/DV326</f>
        <v>0.62931034482758619</v>
      </c>
      <c r="DV326" s="20">
        <v>232</v>
      </c>
      <c r="DW326" s="27">
        <f t="shared" si="393"/>
        <v>86</v>
      </c>
      <c r="DX326" s="20">
        <v>146</v>
      </c>
      <c r="DY326" s="20">
        <v>146</v>
      </c>
      <c r="DZ326" s="20">
        <f t="shared" si="394"/>
        <v>0</v>
      </c>
      <c r="EA326" s="27"/>
      <c r="EB326" s="27"/>
    </row>
    <row r="327" spans="1:142" s="29" customFormat="1" ht="12.75">
      <c r="A327" s="112">
        <v>2019</v>
      </c>
      <c r="B327" s="113" t="s">
        <v>47</v>
      </c>
      <c r="C327" s="35">
        <f t="shared" ref="C327:C341" si="423">I327/F327</f>
        <v>0.89791391152254596</v>
      </c>
      <c r="D327" s="35">
        <f t="shared" ref="D327:D341" si="424">I327/H327</f>
        <v>0.95650988411724613</v>
      </c>
      <c r="E327" s="35">
        <f t="shared" ref="E327:E341" si="425">H327/F327</f>
        <v>0.93873981485431512</v>
      </c>
      <c r="F32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23441</v>
      </c>
      <c r="G327" s="20">
        <f t="shared" ref="G327:G341" si="426">F327-H327</f>
        <v>1436</v>
      </c>
      <c r="H32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22005</v>
      </c>
      <c r="I32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21048</v>
      </c>
      <c r="J327" s="20">
        <f t="shared" ref="J327:J341" si="427">H327-I327</f>
        <v>957</v>
      </c>
      <c r="K327" s="20"/>
      <c r="L327" s="20"/>
      <c r="M327" s="112">
        <v>2019</v>
      </c>
      <c r="N327" s="113" t="s">
        <v>47</v>
      </c>
      <c r="O327" s="35">
        <f t="shared" si="396"/>
        <v>0.88073052553112186</v>
      </c>
      <c r="P327" s="35">
        <f t="shared" si="397"/>
        <v>0.95494039199838354</v>
      </c>
      <c r="Q327" s="35">
        <f t="shared" si="398"/>
        <v>0.92228848304137157</v>
      </c>
      <c r="R327" s="20">
        <v>5366</v>
      </c>
      <c r="S327" s="27">
        <f t="shared" si="377"/>
        <v>417</v>
      </c>
      <c r="T327" s="20">
        <v>4949</v>
      </c>
      <c r="U327" s="20">
        <v>4726</v>
      </c>
      <c r="V327" s="20">
        <f t="shared" si="378"/>
        <v>223</v>
      </c>
      <c r="W327" s="20"/>
      <c r="X327" s="20"/>
      <c r="Y327" s="112"/>
      <c r="Z327" s="113"/>
      <c r="AA327" s="35"/>
      <c r="AB327" s="35"/>
      <c r="AC327" s="35"/>
      <c r="AD327" s="20"/>
      <c r="AE327" s="27"/>
      <c r="AF327" s="20"/>
      <c r="AG327" s="20"/>
      <c r="AH327" s="20"/>
      <c r="AI327" s="20"/>
      <c r="AJ327" s="20"/>
      <c r="AK327" s="112">
        <v>2019</v>
      </c>
      <c r="AL327" s="113" t="s">
        <v>47</v>
      </c>
      <c r="AM327" s="35">
        <f t="shared" si="399"/>
        <v>0.95625713198934958</v>
      </c>
      <c r="AN327" s="35">
        <f t="shared" si="400"/>
        <v>0.97196984341774595</v>
      </c>
      <c r="AO327" s="35">
        <f t="shared" si="401"/>
        <v>0.98383415747432479</v>
      </c>
      <c r="AP327" s="20">
        <v>5258</v>
      </c>
      <c r="AQ327" s="27">
        <f t="shared" si="379"/>
        <v>85</v>
      </c>
      <c r="AR327" s="20">
        <v>5173</v>
      </c>
      <c r="AS327" s="20">
        <v>5028</v>
      </c>
      <c r="AT327" s="20">
        <f t="shared" si="380"/>
        <v>145</v>
      </c>
      <c r="AU327" s="20"/>
      <c r="AV327" s="20"/>
      <c r="AW327" s="112">
        <v>2019</v>
      </c>
      <c r="AX327" s="113" t="s">
        <v>47</v>
      </c>
      <c r="AY327" s="35">
        <f t="shared" si="402"/>
        <v>0.92239185750636132</v>
      </c>
      <c r="AZ327" s="35">
        <f t="shared" si="403"/>
        <v>0.96260234565169289</v>
      </c>
      <c r="BA327" s="35">
        <f t="shared" si="404"/>
        <v>0.95822731128074634</v>
      </c>
      <c r="BB327" s="20">
        <v>4716</v>
      </c>
      <c r="BC327" s="27">
        <f t="shared" si="381"/>
        <v>197</v>
      </c>
      <c r="BD327" s="20">
        <v>4519</v>
      </c>
      <c r="BE327" s="20">
        <v>4350</v>
      </c>
      <c r="BF327" s="20">
        <f t="shared" si="382"/>
        <v>169</v>
      </c>
      <c r="BG327" s="20"/>
      <c r="BH327" s="20"/>
      <c r="BI327" s="112">
        <v>2019</v>
      </c>
      <c r="BJ327" s="113" t="s">
        <v>47</v>
      </c>
      <c r="BK327" s="35">
        <f t="shared" si="405"/>
        <v>0.82156448202959831</v>
      </c>
      <c r="BL327" s="35">
        <f t="shared" si="406"/>
        <v>0.91998106060606055</v>
      </c>
      <c r="BM327" s="35">
        <f t="shared" si="407"/>
        <v>0.89302325581395348</v>
      </c>
      <c r="BN327" s="20">
        <v>2365</v>
      </c>
      <c r="BO327" s="27">
        <f t="shared" si="383"/>
        <v>253</v>
      </c>
      <c r="BP327" s="20">
        <v>2112</v>
      </c>
      <c r="BQ327" s="20">
        <v>1943</v>
      </c>
      <c r="BR327" s="20">
        <f t="shared" si="384"/>
        <v>169</v>
      </c>
      <c r="BS327" s="20"/>
      <c r="BT327" s="20"/>
      <c r="BU327" s="112">
        <v>2019</v>
      </c>
      <c r="BV327" s="113" t="s">
        <v>47</v>
      </c>
      <c r="BW327" s="35">
        <f t="shared" si="408"/>
        <v>0.82827788649706457</v>
      </c>
      <c r="BX327" s="35">
        <f t="shared" si="409"/>
        <v>0.93226872246696035</v>
      </c>
      <c r="BY327" s="35">
        <f t="shared" si="410"/>
        <v>0.88845401174168293</v>
      </c>
      <c r="BZ327" s="20">
        <v>2044</v>
      </c>
      <c r="CA327" s="27">
        <f t="shared" si="385"/>
        <v>228</v>
      </c>
      <c r="CB327" s="20">
        <v>1816</v>
      </c>
      <c r="CC327" s="20">
        <v>1693</v>
      </c>
      <c r="CD327" s="20">
        <f t="shared" si="386"/>
        <v>123</v>
      </c>
      <c r="CE327" s="20"/>
      <c r="CF327" s="20"/>
      <c r="CG327" s="112">
        <v>2019</v>
      </c>
      <c r="CH327" s="113" t="s">
        <v>47</v>
      </c>
      <c r="CI327" s="35">
        <f t="shared" si="411"/>
        <v>0.97022767075306482</v>
      </c>
      <c r="CJ327" s="35">
        <f t="shared" si="412"/>
        <v>0.98752228163992872</v>
      </c>
      <c r="CK327" s="35">
        <f t="shared" si="413"/>
        <v>0.98248686514886163</v>
      </c>
      <c r="CL327" s="20">
        <v>1142</v>
      </c>
      <c r="CM327" s="27">
        <f t="shared" si="387"/>
        <v>20</v>
      </c>
      <c r="CN327" s="20">
        <v>1122</v>
      </c>
      <c r="CO327" s="20">
        <v>1108</v>
      </c>
      <c r="CP327" s="20">
        <f t="shared" si="388"/>
        <v>14</v>
      </c>
      <c r="CQ327" s="20"/>
      <c r="CR327" s="20"/>
      <c r="CS327" s="112">
        <v>2019</v>
      </c>
      <c r="CT327" s="113" t="s">
        <v>47</v>
      </c>
      <c r="CU327" s="35">
        <f t="shared" si="414"/>
        <v>0.69838709677419353</v>
      </c>
      <c r="CV327" s="35">
        <f t="shared" si="415"/>
        <v>0.9622222222222222</v>
      </c>
      <c r="CW327" s="35">
        <f t="shared" si="416"/>
        <v>0.72580645161290325</v>
      </c>
      <c r="CX327" s="20">
        <v>620</v>
      </c>
      <c r="CY327" s="27">
        <f t="shared" si="389"/>
        <v>170</v>
      </c>
      <c r="CZ327" s="20">
        <v>450</v>
      </c>
      <c r="DA327" s="20">
        <v>433</v>
      </c>
      <c r="DB327" s="20">
        <f t="shared" si="390"/>
        <v>17</v>
      </c>
      <c r="DC327" s="90" t="s">
        <v>70</v>
      </c>
      <c r="DD327" s="20"/>
      <c r="DE327" s="112">
        <v>2019</v>
      </c>
      <c r="DF327" s="113" t="s">
        <v>47</v>
      </c>
      <c r="DG327" s="35">
        <f t="shared" si="417"/>
        <v>0.93676122931442085</v>
      </c>
      <c r="DH327" s="35">
        <f t="shared" si="418"/>
        <v>0.94345238095238093</v>
      </c>
      <c r="DI327" s="35">
        <f t="shared" si="419"/>
        <v>0.99290780141843971</v>
      </c>
      <c r="DJ327" s="20">
        <f>1648+44</f>
        <v>1692</v>
      </c>
      <c r="DK327" s="27">
        <f t="shared" si="395"/>
        <v>12</v>
      </c>
      <c r="DL327" s="20">
        <f>1636+44</f>
        <v>1680</v>
      </c>
      <c r="DM327" s="20">
        <f>1543+42</f>
        <v>1585</v>
      </c>
      <c r="DN327" s="20">
        <f t="shared" si="392"/>
        <v>95</v>
      </c>
      <c r="DO327" s="20"/>
      <c r="DP327" s="20"/>
      <c r="DQ327" s="112">
        <v>2019</v>
      </c>
      <c r="DR327" s="113" t="s">
        <v>47</v>
      </c>
      <c r="DS327" s="35">
        <f t="shared" si="420"/>
        <v>0.76470588235294112</v>
      </c>
      <c r="DT327" s="35">
        <f t="shared" si="421"/>
        <v>0.98913043478260865</v>
      </c>
      <c r="DU327" s="35">
        <f t="shared" si="422"/>
        <v>0.77310924369747902</v>
      </c>
      <c r="DV327" s="20">
        <v>238</v>
      </c>
      <c r="DW327" s="27">
        <f t="shared" si="393"/>
        <v>54</v>
      </c>
      <c r="DX327" s="20">
        <v>184</v>
      </c>
      <c r="DY327" s="20">
        <v>182</v>
      </c>
      <c r="DZ327" s="20">
        <f t="shared" si="394"/>
        <v>2</v>
      </c>
      <c r="EA327" s="27"/>
      <c r="EB327" s="27"/>
    </row>
    <row r="328" spans="1:142" s="29" customFormat="1" ht="12.75">
      <c r="A328" s="112">
        <v>2019</v>
      </c>
      <c r="B328" s="113" t="s">
        <v>48</v>
      </c>
      <c r="C328" s="35">
        <f t="shared" si="423"/>
        <v>0.8645184913950934</v>
      </c>
      <c r="D328" s="35">
        <f t="shared" si="424"/>
        <v>0.92838535266650279</v>
      </c>
      <c r="E328" s="35">
        <f t="shared" si="425"/>
        <v>0.9312065177590626</v>
      </c>
      <c r="F32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21848</v>
      </c>
      <c r="G328" s="20">
        <f t="shared" si="426"/>
        <v>1503</v>
      </c>
      <c r="H32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20345</v>
      </c>
      <c r="I32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18888</v>
      </c>
      <c r="J328" s="20">
        <f t="shared" si="427"/>
        <v>1457</v>
      </c>
      <c r="K328" s="20"/>
      <c r="L328" s="20"/>
      <c r="M328" s="112">
        <v>2019</v>
      </c>
      <c r="N328" s="113" t="s">
        <v>48</v>
      </c>
      <c r="O328" s="35">
        <f t="shared" si="396"/>
        <v>0.84442270058708413</v>
      </c>
      <c r="P328" s="35">
        <f t="shared" si="397"/>
        <v>0.90746582544689802</v>
      </c>
      <c r="Q328" s="35">
        <f t="shared" si="398"/>
        <v>0.93052837573385516</v>
      </c>
      <c r="R328" s="20">
        <v>5110</v>
      </c>
      <c r="S328" s="27">
        <f t="shared" si="377"/>
        <v>355</v>
      </c>
      <c r="T328" s="20">
        <v>4755</v>
      </c>
      <c r="U328" s="20">
        <v>4315</v>
      </c>
      <c r="V328" s="20">
        <f t="shared" si="378"/>
        <v>440</v>
      </c>
      <c r="W328" s="20"/>
      <c r="X328" s="20"/>
      <c r="Y328" s="112"/>
      <c r="Z328" s="113"/>
      <c r="AA328" s="35"/>
      <c r="AB328" s="35"/>
      <c r="AC328" s="35"/>
      <c r="AD328" s="20"/>
      <c r="AE328" s="27"/>
      <c r="AF328" s="20"/>
      <c r="AG328" s="20"/>
      <c r="AH328" s="20"/>
      <c r="AI328" s="20"/>
      <c r="AJ328" s="20"/>
      <c r="AK328" s="112">
        <v>2019</v>
      </c>
      <c r="AL328" s="113" t="s">
        <v>48</v>
      </c>
      <c r="AM328" s="35">
        <f t="shared" si="399"/>
        <v>0.89321357285429137</v>
      </c>
      <c r="AN328" s="35">
        <f t="shared" si="400"/>
        <v>0.94508975712777188</v>
      </c>
      <c r="AO328" s="35">
        <f t="shared" si="401"/>
        <v>0.94510978043912175</v>
      </c>
      <c r="AP328" s="20">
        <v>5010</v>
      </c>
      <c r="AQ328" s="27">
        <f t="shared" si="379"/>
        <v>275</v>
      </c>
      <c r="AR328" s="20">
        <v>4735</v>
      </c>
      <c r="AS328" s="20">
        <v>4475</v>
      </c>
      <c r="AT328" s="20">
        <f t="shared" si="380"/>
        <v>260</v>
      </c>
      <c r="AU328" s="20"/>
      <c r="AV328" s="20"/>
      <c r="AW328" s="112">
        <v>2019</v>
      </c>
      <c r="AX328" s="113" t="s">
        <v>48</v>
      </c>
      <c r="AY328" s="35">
        <f t="shared" si="402"/>
        <v>0.87373068432671086</v>
      </c>
      <c r="AZ328" s="35">
        <f t="shared" si="403"/>
        <v>0.94961612284069097</v>
      </c>
      <c r="BA328" s="35">
        <f t="shared" si="404"/>
        <v>0.9200883002207505</v>
      </c>
      <c r="BB328" s="20">
        <v>4530</v>
      </c>
      <c r="BC328" s="27">
        <f t="shared" si="381"/>
        <v>362</v>
      </c>
      <c r="BD328" s="20">
        <v>4168</v>
      </c>
      <c r="BE328" s="20">
        <v>3958</v>
      </c>
      <c r="BF328" s="20">
        <f t="shared" si="382"/>
        <v>210</v>
      </c>
      <c r="BG328" s="20"/>
      <c r="BH328" s="20"/>
      <c r="BI328" s="112">
        <v>2019</v>
      </c>
      <c r="BJ328" s="113" t="s">
        <v>48</v>
      </c>
      <c r="BK328" s="35">
        <f t="shared" si="405"/>
        <v>0.83941926968763747</v>
      </c>
      <c r="BL328" s="35">
        <f t="shared" si="406"/>
        <v>0.90469416785206258</v>
      </c>
      <c r="BM328" s="35">
        <f t="shared" si="407"/>
        <v>0.92784865816102069</v>
      </c>
      <c r="BN328" s="20">
        <v>2273</v>
      </c>
      <c r="BO328" s="27">
        <f t="shared" si="383"/>
        <v>164</v>
      </c>
      <c r="BP328" s="20">
        <v>2109</v>
      </c>
      <c r="BQ328" s="20">
        <v>1908</v>
      </c>
      <c r="BR328" s="20">
        <f t="shared" si="384"/>
        <v>201</v>
      </c>
      <c r="BS328" s="20"/>
      <c r="BT328" s="20"/>
      <c r="BU328" s="112">
        <v>2019</v>
      </c>
      <c r="BV328" s="113" t="s">
        <v>48</v>
      </c>
      <c r="BW328" s="35">
        <f t="shared" si="408"/>
        <v>0.82499999999999996</v>
      </c>
      <c r="BX328" s="35">
        <f t="shared" si="409"/>
        <v>0.91201353637901861</v>
      </c>
      <c r="BY328" s="35">
        <f t="shared" si="410"/>
        <v>0.9045918367346939</v>
      </c>
      <c r="BZ328" s="20">
        <v>1960</v>
      </c>
      <c r="CA328" s="27">
        <f t="shared" si="385"/>
        <v>187</v>
      </c>
      <c r="CB328" s="20">
        <v>1773</v>
      </c>
      <c r="CC328" s="20">
        <v>1617</v>
      </c>
      <c r="CD328" s="20">
        <f t="shared" si="386"/>
        <v>156</v>
      </c>
      <c r="CE328" s="20"/>
      <c r="CF328" s="20"/>
      <c r="CG328" s="112">
        <v>2019</v>
      </c>
      <c r="CH328" s="113" t="s">
        <v>48</v>
      </c>
      <c r="CI328" s="35">
        <f t="shared" si="411"/>
        <v>0.93484162895927603</v>
      </c>
      <c r="CJ328" s="35">
        <f t="shared" si="412"/>
        <v>0.97821969696969702</v>
      </c>
      <c r="CK328" s="35">
        <f t="shared" si="413"/>
        <v>0.95565610859728511</v>
      </c>
      <c r="CL328" s="20">
        <v>1105</v>
      </c>
      <c r="CM328" s="27">
        <f t="shared" si="387"/>
        <v>49</v>
      </c>
      <c r="CN328" s="20">
        <v>1056</v>
      </c>
      <c r="CO328" s="20">
        <v>1033</v>
      </c>
      <c r="CP328" s="20">
        <f t="shared" si="388"/>
        <v>23</v>
      </c>
      <c r="CQ328" s="20"/>
      <c r="CR328" s="20"/>
      <c r="CS328" s="112">
        <v>2019</v>
      </c>
      <c r="CT328" s="113" t="s">
        <v>48</v>
      </c>
      <c r="CU328" s="35"/>
      <c r="CV328" s="35"/>
      <c r="CW328" s="35"/>
      <c r="CX328" s="20"/>
      <c r="CY328" s="27"/>
      <c r="CZ328" s="20"/>
      <c r="DA328" s="20"/>
      <c r="DB328" s="20"/>
      <c r="DC328" s="90" t="s">
        <v>70</v>
      </c>
      <c r="DD328" s="20"/>
      <c r="DE328" s="112">
        <v>2019</v>
      </c>
      <c r="DF328" s="113" t="s">
        <v>48</v>
      </c>
      <c r="DG328" s="35">
        <f t="shared" si="417"/>
        <v>0.84506172839506177</v>
      </c>
      <c r="DH328" s="35">
        <f t="shared" si="418"/>
        <v>0.89418680600914435</v>
      </c>
      <c r="DI328" s="35">
        <f t="shared" si="419"/>
        <v>0.94506172839506175</v>
      </c>
      <c r="DJ328" s="20">
        <f>1580+40</f>
        <v>1620</v>
      </c>
      <c r="DK328" s="27">
        <f t="shared" si="395"/>
        <v>89</v>
      </c>
      <c r="DL328" s="20">
        <f>1494+37</f>
        <v>1531</v>
      </c>
      <c r="DM328" s="20">
        <f>1334+35</f>
        <v>1369</v>
      </c>
      <c r="DN328" s="20">
        <f t="shared" si="392"/>
        <v>162</v>
      </c>
      <c r="DO328" s="20"/>
      <c r="DP328" s="20"/>
      <c r="DQ328" s="112">
        <v>2019</v>
      </c>
      <c r="DR328" s="113" t="s">
        <v>48</v>
      </c>
      <c r="DS328" s="35">
        <f t="shared" si="420"/>
        <v>0.88749999999999996</v>
      </c>
      <c r="DT328" s="35">
        <f t="shared" si="421"/>
        <v>0.97706422018348627</v>
      </c>
      <c r="DU328" s="35">
        <f t="shared" si="422"/>
        <v>0.90833333333333333</v>
      </c>
      <c r="DV328" s="20">
        <v>240</v>
      </c>
      <c r="DW328" s="27">
        <f t="shared" si="393"/>
        <v>22</v>
      </c>
      <c r="DX328" s="20">
        <v>218</v>
      </c>
      <c r="DY328" s="20">
        <v>213</v>
      </c>
      <c r="DZ328" s="20">
        <f t="shared" si="394"/>
        <v>5</v>
      </c>
      <c r="EA328" s="27"/>
      <c r="EB328" s="27"/>
    </row>
    <row r="329" spans="1:142" s="29" customFormat="1" ht="12.75">
      <c r="A329" s="112">
        <v>2019</v>
      </c>
      <c r="B329" s="113" t="s">
        <v>49</v>
      </c>
      <c r="C329" s="35">
        <f t="shared" si="423"/>
        <v>0.87255560030429136</v>
      </c>
      <c r="D329" s="35">
        <f t="shared" si="424"/>
        <v>0.9341733339721171</v>
      </c>
      <c r="E329" s="35">
        <f t="shared" si="425"/>
        <v>0.93404036335973506</v>
      </c>
      <c r="F32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22347</v>
      </c>
      <c r="G329" s="20">
        <f t="shared" si="426"/>
        <v>1474</v>
      </c>
      <c r="H32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20873</v>
      </c>
      <c r="I32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19499</v>
      </c>
      <c r="J329" s="20">
        <f t="shared" si="427"/>
        <v>1374</v>
      </c>
      <c r="K329" s="20"/>
      <c r="L329" s="20"/>
      <c r="M329" s="112">
        <v>2019</v>
      </c>
      <c r="N329" s="113" t="s">
        <v>49</v>
      </c>
      <c r="O329" s="35">
        <f t="shared" si="396"/>
        <v>0.83469467133411124</v>
      </c>
      <c r="P329" s="35">
        <f t="shared" si="397"/>
        <v>0.90932203389830513</v>
      </c>
      <c r="Q329" s="35">
        <f t="shared" si="398"/>
        <v>0.91793076623881753</v>
      </c>
      <c r="R329" s="20">
        <v>5142</v>
      </c>
      <c r="S329" s="27">
        <f t="shared" si="377"/>
        <v>422</v>
      </c>
      <c r="T329" s="20">
        <v>4720</v>
      </c>
      <c r="U329" s="20">
        <v>4292</v>
      </c>
      <c r="V329" s="20">
        <f t="shared" si="378"/>
        <v>428</v>
      </c>
      <c r="W329" s="20"/>
      <c r="X329" s="20"/>
      <c r="Y329" s="112"/>
      <c r="Z329" s="113"/>
      <c r="AA329" s="35"/>
      <c r="AB329" s="35"/>
      <c r="AC329" s="35"/>
      <c r="AD329" s="20"/>
      <c r="AE329" s="27"/>
      <c r="AF329" s="20"/>
      <c r="AG329" s="20"/>
      <c r="AH329" s="20"/>
      <c r="AI329" s="20"/>
      <c r="AJ329" s="20"/>
      <c r="AK329" s="112">
        <v>2019</v>
      </c>
      <c r="AL329" s="113" t="s">
        <v>49</v>
      </c>
      <c r="AM329" s="35">
        <f t="shared" si="399"/>
        <v>0.8967780429594272</v>
      </c>
      <c r="AN329" s="35">
        <f t="shared" si="400"/>
        <v>0.95006321112515801</v>
      </c>
      <c r="AO329" s="35">
        <f t="shared" si="401"/>
        <v>0.94391408114558473</v>
      </c>
      <c r="AP329" s="20">
        <v>5028</v>
      </c>
      <c r="AQ329" s="27">
        <f t="shared" si="379"/>
        <v>282</v>
      </c>
      <c r="AR329" s="20">
        <v>4746</v>
      </c>
      <c r="AS329" s="20">
        <v>4509</v>
      </c>
      <c r="AT329" s="20">
        <f t="shared" si="380"/>
        <v>237</v>
      </c>
      <c r="AU329" s="20"/>
      <c r="AV329" s="20"/>
      <c r="AW329" s="112">
        <v>2019</v>
      </c>
      <c r="AX329" s="113" t="s">
        <v>49</v>
      </c>
      <c r="AY329" s="35">
        <f t="shared" si="402"/>
        <v>0.88994800693240905</v>
      </c>
      <c r="AZ329" s="35">
        <f t="shared" si="403"/>
        <v>0.93854238062599959</v>
      </c>
      <c r="BA329" s="35">
        <f t="shared" si="404"/>
        <v>0.9482235701906413</v>
      </c>
      <c r="BB329" s="20">
        <v>4616</v>
      </c>
      <c r="BC329" s="27">
        <f t="shared" si="381"/>
        <v>239</v>
      </c>
      <c r="BD329" s="20">
        <v>4377</v>
      </c>
      <c r="BE329" s="20">
        <v>4108</v>
      </c>
      <c r="BF329" s="20">
        <f t="shared" si="382"/>
        <v>269</v>
      </c>
      <c r="BG329" s="20"/>
      <c r="BH329" s="20"/>
      <c r="BI329" s="112">
        <v>2019</v>
      </c>
      <c r="BJ329" s="113" t="s">
        <v>49</v>
      </c>
      <c r="BK329" s="35">
        <f t="shared" si="405"/>
        <v>0.83897268650631884</v>
      </c>
      <c r="BL329" s="35">
        <f t="shared" si="406"/>
        <v>0.9183400267737617</v>
      </c>
      <c r="BM329" s="35">
        <f t="shared" si="407"/>
        <v>0.9135752140236445</v>
      </c>
      <c r="BN329" s="20">
        <v>2453</v>
      </c>
      <c r="BO329" s="27">
        <f t="shared" si="383"/>
        <v>212</v>
      </c>
      <c r="BP329" s="20">
        <v>2241</v>
      </c>
      <c r="BQ329" s="20">
        <v>2058</v>
      </c>
      <c r="BR329" s="20">
        <f t="shared" si="384"/>
        <v>183</v>
      </c>
      <c r="BS329" s="20"/>
      <c r="BT329" s="20"/>
      <c r="BU329" s="112">
        <v>2019</v>
      </c>
      <c r="BV329" s="113" t="s">
        <v>49</v>
      </c>
      <c r="BW329" s="35">
        <f t="shared" si="408"/>
        <v>0.80125725338491294</v>
      </c>
      <c r="BX329" s="35">
        <f t="shared" si="409"/>
        <v>0.92157953281423799</v>
      </c>
      <c r="BY329" s="35">
        <f t="shared" si="410"/>
        <v>0.86943907156673117</v>
      </c>
      <c r="BZ329" s="20">
        <v>2068</v>
      </c>
      <c r="CA329" s="27">
        <f t="shared" si="385"/>
        <v>270</v>
      </c>
      <c r="CB329" s="20">
        <v>1798</v>
      </c>
      <c r="CC329" s="20">
        <v>1657</v>
      </c>
      <c r="CD329" s="20">
        <f t="shared" si="386"/>
        <v>141</v>
      </c>
      <c r="CE329" s="20"/>
      <c r="CF329" s="20"/>
      <c r="CG329" s="112">
        <v>2019</v>
      </c>
      <c r="CH329" s="113" t="s">
        <v>49</v>
      </c>
      <c r="CI329" s="35">
        <f t="shared" si="411"/>
        <v>0.98510078878177043</v>
      </c>
      <c r="CJ329" s="35">
        <f t="shared" si="412"/>
        <v>0.99293286219081267</v>
      </c>
      <c r="CK329" s="35">
        <f t="shared" si="413"/>
        <v>0.99211218229623133</v>
      </c>
      <c r="CL329" s="20">
        <v>1141</v>
      </c>
      <c r="CM329" s="27">
        <f t="shared" si="387"/>
        <v>9</v>
      </c>
      <c r="CN329" s="20">
        <v>1132</v>
      </c>
      <c r="CO329" s="20">
        <v>1124</v>
      </c>
      <c r="CP329" s="20">
        <f t="shared" si="388"/>
        <v>8</v>
      </c>
      <c r="CQ329" s="20"/>
      <c r="CR329" s="20"/>
      <c r="CS329" s="112">
        <v>2019</v>
      </c>
      <c r="CT329" s="113" t="s">
        <v>49</v>
      </c>
      <c r="CU329" s="35"/>
      <c r="CV329" s="35"/>
      <c r="CW329" s="35"/>
      <c r="CX329" s="20"/>
      <c r="CY329" s="27"/>
      <c r="CZ329" s="20"/>
      <c r="DA329" s="20"/>
      <c r="DB329" s="20"/>
      <c r="DC329" s="90" t="s">
        <v>70</v>
      </c>
      <c r="DD329" s="20"/>
      <c r="DE329" s="112">
        <v>2019</v>
      </c>
      <c r="DF329" s="113" t="s">
        <v>49</v>
      </c>
      <c r="DG329" s="35">
        <f t="shared" si="417"/>
        <v>0.91873862947240748</v>
      </c>
      <c r="DH329" s="35">
        <f t="shared" si="418"/>
        <v>0.93924364538127714</v>
      </c>
      <c r="DI329" s="35">
        <f t="shared" si="419"/>
        <v>0.97816858702243781</v>
      </c>
      <c r="DJ329" s="20">
        <f>1611+38</f>
        <v>1649</v>
      </c>
      <c r="DK329" s="27">
        <f t="shared" si="395"/>
        <v>36</v>
      </c>
      <c r="DL329" s="20">
        <f>1575+38</f>
        <v>1613</v>
      </c>
      <c r="DM329" s="20">
        <f>1481+34</f>
        <v>1515</v>
      </c>
      <c r="DN329" s="20">
        <f t="shared" si="392"/>
        <v>98</v>
      </c>
      <c r="DO329" s="20"/>
      <c r="DP329" s="20"/>
      <c r="DQ329" s="112">
        <v>2019</v>
      </c>
      <c r="DR329" s="113" t="s">
        <v>49</v>
      </c>
      <c r="DS329" s="35">
        <f t="shared" si="420"/>
        <v>0.94399999999999995</v>
      </c>
      <c r="DT329" s="35">
        <f t="shared" si="421"/>
        <v>0.95934959349593496</v>
      </c>
      <c r="DU329" s="35">
        <f t="shared" si="422"/>
        <v>0.98399999999999999</v>
      </c>
      <c r="DV329" s="20">
        <v>250</v>
      </c>
      <c r="DW329" s="27">
        <f t="shared" si="393"/>
        <v>4</v>
      </c>
      <c r="DX329" s="20">
        <v>246</v>
      </c>
      <c r="DY329" s="20">
        <v>236</v>
      </c>
      <c r="DZ329" s="20">
        <f t="shared" si="394"/>
        <v>10</v>
      </c>
      <c r="EA329" s="27"/>
      <c r="EB329" s="27"/>
    </row>
    <row r="330" spans="1:142" s="29" customFormat="1" ht="12.75">
      <c r="A330" s="114">
        <v>2020</v>
      </c>
      <c r="B330" s="115" t="s">
        <v>38</v>
      </c>
      <c r="C330" s="35">
        <f t="shared" si="423"/>
        <v>0.933044044261228</v>
      </c>
      <c r="D330" s="35">
        <f t="shared" si="424"/>
        <v>0.96746906636670416</v>
      </c>
      <c r="E330" s="35">
        <f t="shared" si="425"/>
        <v>0.96441744413104791</v>
      </c>
      <c r="F33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23045</v>
      </c>
      <c r="G330" s="20">
        <f t="shared" si="426"/>
        <v>820</v>
      </c>
      <c r="H33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22225</v>
      </c>
      <c r="I33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21502</v>
      </c>
      <c r="J330" s="20">
        <f t="shared" si="427"/>
        <v>723</v>
      </c>
      <c r="K330" s="20"/>
      <c r="L330" s="20"/>
      <c r="M330" s="114">
        <v>2020</v>
      </c>
      <c r="N330" s="115" t="s">
        <v>38</v>
      </c>
      <c r="O330" s="35">
        <f t="shared" si="396"/>
        <v>0.91967946328736494</v>
      </c>
      <c r="P330" s="35">
        <f t="shared" si="397"/>
        <v>0.9588109578395182</v>
      </c>
      <c r="Q330" s="35">
        <f t="shared" si="398"/>
        <v>0.95918747670518079</v>
      </c>
      <c r="R330" s="20">
        <v>5366</v>
      </c>
      <c r="S330" s="27">
        <f t="shared" si="377"/>
        <v>219</v>
      </c>
      <c r="T330" s="20">
        <v>5147</v>
      </c>
      <c r="U330" s="20">
        <v>4935</v>
      </c>
      <c r="V330" s="20">
        <f t="shared" si="378"/>
        <v>212</v>
      </c>
      <c r="W330" s="20"/>
      <c r="X330" s="20"/>
      <c r="Y330" s="114"/>
      <c r="Z330" s="115"/>
      <c r="AA330" s="35"/>
      <c r="AB330" s="35"/>
      <c r="AC330" s="35"/>
      <c r="AD330" s="20"/>
      <c r="AE330" s="27"/>
      <c r="AF330" s="20"/>
      <c r="AG330" s="20"/>
      <c r="AH330" s="20"/>
      <c r="AI330" s="20"/>
      <c r="AJ330" s="20"/>
      <c r="AK330" s="114">
        <v>2020</v>
      </c>
      <c r="AL330" s="115" t="s">
        <v>38</v>
      </c>
      <c r="AM330" s="35">
        <f t="shared" si="399"/>
        <v>0.95339954163483576</v>
      </c>
      <c r="AN330" s="35">
        <f t="shared" si="400"/>
        <v>0.97652582159624413</v>
      </c>
      <c r="AO330" s="35">
        <f t="shared" si="401"/>
        <v>0.97631779984721156</v>
      </c>
      <c r="AP330" s="20">
        <v>5236</v>
      </c>
      <c r="AQ330" s="27">
        <f t="shared" si="379"/>
        <v>124</v>
      </c>
      <c r="AR330" s="20">
        <v>5112</v>
      </c>
      <c r="AS330" s="20">
        <v>4992</v>
      </c>
      <c r="AT330" s="20">
        <f t="shared" si="380"/>
        <v>120</v>
      </c>
      <c r="AU330" s="20"/>
      <c r="AV330" s="20"/>
      <c r="AW330" s="114">
        <v>2020</v>
      </c>
      <c r="AX330" s="115" t="s">
        <v>38</v>
      </c>
      <c r="AY330" s="35">
        <f t="shared" si="402"/>
        <v>0.92832909245122985</v>
      </c>
      <c r="AZ330" s="35">
        <f t="shared" si="403"/>
        <v>0.96772767462422637</v>
      </c>
      <c r="BA330" s="35">
        <f t="shared" si="404"/>
        <v>0.95928753180661575</v>
      </c>
      <c r="BB330" s="20">
        <v>4716</v>
      </c>
      <c r="BC330" s="27">
        <f t="shared" si="381"/>
        <v>192</v>
      </c>
      <c r="BD330" s="20">
        <v>4524</v>
      </c>
      <c r="BE330" s="20">
        <v>4378</v>
      </c>
      <c r="BF330" s="20">
        <f t="shared" si="382"/>
        <v>146</v>
      </c>
      <c r="BG330" s="20"/>
      <c r="BH330" s="20"/>
      <c r="BI330" s="114">
        <v>2020</v>
      </c>
      <c r="BJ330" s="115" t="s">
        <v>38</v>
      </c>
      <c r="BK330" s="35">
        <f t="shared" si="405"/>
        <v>0.91385470424771731</v>
      </c>
      <c r="BL330" s="35">
        <f t="shared" si="406"/>
        <v>0.96519916142557649</v>
      </c>
      <c r="BM330" s="35">
        <f t="shared" si="407"/>
        <v>0.94680428741564115</v>
      </c>
      <c r="BN330" s="20">
        <v>2519</v>
      </c>
      <c r="BO330" s="27">
        <f t="shared" si="383"/>
        <v>134</v>
      </c>
      <c r="BP330" s="20">
        <v>2385</v>
      </c>
      <c r="BQ330" s="20">
        <v>2302</v>
      </c>
      <c r="BR330" s="20">
        <f t="shared" si="384"/>
        <v>83</v>
      </c>
      <c r="BS330" s="20"/>
      <c r="BT330" s="20"/>
      <c r="BU330" s="114">
        <v>2020</v>
      </c>
      <c r="BV330" s="115" t="s">
        <v>38</v>
      </c>
      <c r="BW330" s="35">
        <f t="shared" si="408"/>
        <v>0.90150093808630394</v>
      </c>
      <c r="BX330" s="35">
        <f t="shared" si="409"/>
        <v>0.96196196196196193</v>
      </c>
      <c r="BY330" s="35">
        <f t="shared" si="410"/>
        <v>0.93714821763602252</v>
      </c>
      <c r="BZ330" s="20">
        <v>2132</v>
      </c>
      <c r="CA330" s="27">
        <f t="shared" si="385"/>
        <v>134</v>
      </c>
      <c r="CB330" s="20">
        <v>1998</v>
      </c>
      <c r="CC330" s="20">
        <v>1922</v>
      </c>
      <c r="CD330" s="20">
        <f t="shared" si="386"/>
        <v>76</v>
      </c>
      <c r="CE330" s="20"/>
      <c r="CF330" s="20"/>
      <c r="CG330" s="114">
        <v>2020</v>
      </c>
      <c r="CH330" s="115" t="s">
        <v>38</v>
      </c>
      <c r="CI330" s="35">
        <f t="shared" si="411"/>
        <v>0.98774080560420319</v>
      </c>
      <c r="CJ330" s="35">
        <f t="shared" si="412"/>
        <v>0.99470899470899465</v>
      </c>
      <c r="CK330" s="35">
        <f t="shared" si="413"/>
        <v>0.99299474605954463</v>
      </c>
      <c r="CL330" s="20">
        <v>1142</v>
      </c>
      <c r="CM330" s="27">
        <f t="shared" si="387"/>
        <v>8</v>
      </c>
      <c r="CN330" s="20">
        <v>1134</v>
      </c>
      <c r="CO330" s="20">
        <v>1128</v>
      </c>
      <c r="CP330" s="20">
        <f t="shared" si="388"/>
        <v>6</v>
      </c>
      <c r="CQ330" s="20"/>
      <c r="CR330" s="20"/>
      <c r="CS330" s="114">
        <v>2020</v>
      </c>
      <c r="CT330" s="115" t="s">
        <v>38</v>
      </c>
      <c r="CU330" s="35"/>
      <c r="CV330" s="35"/>
      <c r="CW330" s="35"/>
      <c r="CX330" s="20"/>
      <c r="CY330" s="27"/>
      <c r="CZ330" s="20"/>
      <c r="DA330" s="20"/>
      <c r="DB330" s="20"/>
      <c r="DC330" s="90" t="s">
        <v>70</v>
      </c>
      <c r="DD330" s="20"/>
      <c r="DE330" s="114">
        <v>2020</v>
      </c>
      <c r="DF330" s="115" t="s">
        <v>38</v>
      </c>
      <c r="DG330" s="35">
        <f t="shared" si="417"/>
        <v>0.95567375886524819</v>
      </c>
      <c r="DH330" s="35">
        <f t="shared" si="418"/>
        <v>0.96078431372549022</v>
      </c>
      <c r="DI330" s="35">
        <f t="shared" si="419"/>
        <v>0.99468085106382975</v>
      </c>
      <c r="DJ330" s="20">
        <f>1648+44</f>
        <v>1692</v>
      </c>
      <c r="DK330" s="27">
        <f t="shared" si="395"/>
        <v>9</v>
      </c>
      <c r="DL330" s="20">
        <f>1640+43</f>
        <v>1683</v>
      </c>
      <c r="DM330" s="20">
        <f>1575+42</f>
        <v>1617</v>
      </c>
      <c r="DN330" s="20">
        <f t="shared" si="392"/>
        <v>66</v>
      </c>
      <c r="DO330" s="20"/>
      <c r="DP330" s="20"/>
      <c r="DQ330" s="114">
        <v>2020</v>
      </c>
      <c r="DR330" s="115" t="s">
        <v>38</v>
      </c>
      <c r="DS330" s="35">
        <f t="shared" si="420"/>
        <v>0.94214876033057848</v>
      </c>
      <c r="DT330" s="35">
        <f t="shared" si="421"/>
        <v>0.94214876033057848</v>
      </c>
      <c r="DU330" s="35">
        <f t="shared" si="422"/>
        <v>1</v>
      </c>
      <c r="DV330" s="20">
        <v>242</v>
      </c>
      <c r="DW330" s="27">
        <f t="shared" si="393"/>
        <v>0</v>
      </c>
      <c r="DX330" s="20">
        <v>242</v>
      </c>
      <c r="DY330" s="20">
        <v>228</v>
      </c>
      <c r="DZ330" s="20">
        <f t="shared" si="394"/>
        <v>14</v>
      </c>
      <c r="EA330" s="27"/>
      <c r="EB330" s="27"/>
    </row>
    <row r="331" spans="1:142" s="29" customFormat="1" ht="12.75">
      <c r="A331" s="114">
        <v>2020</v>
      </c>
      <c r="B331" s="115" t="s">
        <v>39</v>
      </c>
      <c r="C331" s="35">
        <f t="shared" si="423"/>
        <v>0.90090996168582371</v>
      </c>
      <c r="D331" s="35">
        <f t="shared" si="424"/>
        <v>0.9372228588510787</v>
      </c>
      <c r="E331" s="35">
        <f t="shared" si="425"/>
        <v>0.96125478927203067</v>
      </c>
      <c r="F33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20880</v>
      </c>
      <c r="G331" s="20">
        <f t="shared" si="426"/>
        <v>809</v>
      </c>
      <c r="H33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20071</v>
      </c>
      <c r="I33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18811</v>
      </c>
      <c r="J331" s="20">
        <f t="shared" si="427"/>
        <v>1260</v>
      </c>
      <c r="K331" s="20"/>
      <c r="L331" s="20"/>
      <c r="M331" s="114">
        <v>2020</v>
      </c>
      <c r="N331" s="115" t="s">
        <v>39</v>
      </c>
      <c r="O331" s="35">
        <f t="shared" si="396"/>
        <v>0.89302809573361086</v>
      </c>
      <c r="P331" s="35">
        <f t="shared" si="397"/>
        <v>0.92418694809390478</v>
      </c>
      <c r="Q331" s="35">
        <f t="shared" si="398"/>
        <v>0.96628511966701358</v>
      </c>
      <c r="R331" s="20">
        <v>4805</v>
      </c>
      <c r="S331" s="27">
        <f t="shared" si="377"/>
        <v>162</v>
      </c>
      <c r="T331" s="20">
        <v>4643</v>
      </c>
      <c r="U331" s="20">
        <v>4291</v>
      </c>
      <c r="V331" s="20">
        <f t="shared" si="378"/>
        <v>352</v>
      </c>
      <c r="W331" s="20"/>
      <c r="X331" s="20"/>
      <c r="Y331" s="114"/>
      <c r="Z331" s="115"/>
      <c r="AA331" s="35"/>
      <c r="AB331" s="35"/>
      <c r="AC331" s="35"/>
      <c r="AD331" s="20"/>
      <c r="AE331" s="27"/>
      <c r="AF331" s="20"/>
      <c r="AG331" s="20"/>
      <c r="AH331" s="20"/>
      <c r="AI331" s="20"/>
      <c r="AJ331" s="20"/>
      <c r="AK331" s="114">
        <v>2020</v>
      </c>
      <c r="AL331" s="115" t="s">
        <v>39</v>
      </c>
      <c r="AM331" s="35">
        <f t="shared" si="399"/>
        <v>0.92571306939123033</v>
      </c>
      <c r="AN331" s="35">
        <f t="shared" si="400"/>
        <v>0.94297484822202948</v>
      </c>
      <c r="AO331" s="35">
        <f t="shared" si="401"/>
        <v>0.98169433801617711</v>
      </c>
      <c r="AP331" s="20">
        <v>4698</v>
      </c>
      <c r="AQ331" s="27">
        <f t="shared" si="379"/>
        <v>86</v>
      </c>
      <c r="AR331" s="20">
        <v>4612</v>
      </c>
      <c r="AS331" s="20">
        <v>4349</v>
      </c>
      <c r="AT331" s="20">
        <f t="shared" si="380"/>
        <v>263</v>
      </c>
      <c r="AU331" s="20"/>
      <c r="AV331" s="20"/>
      <c r="AW331" s="114">
        <v>2020</v>
      </c>
      <c r="AX331" s="115" t="s">
        <v>39</v>
      </c>
      <c r="AY331" s="35">
        <f t="shared" si="402"/>
        <v>0.91831051288001853</v>
      </c>
      <c r="AZ331" s="35">
        <f t="shared" si="403"/>
        <v>0.93879003558718865</v>
      </c>
      <c r="BA331" s="35">
        <f t="shared" si="404"/>
        <v>0.97818519378045954</v>
      </c>
      <c r="BB331" s="20">
        <v>4309</v>
      </c>
      <c r="BC331" s="27">
        <f t="shared" si="381"/>
        <v>94</v>
      </c>
      <c r="BD331" s="20">
        <v>4215</v>
      </c>
      <c r="BE331" s="20">
        <v>3957</v>
      </c>
      <c r="BF331" s="20">
        <f t="shared" si="382"/>
        <v>258</v>
      </c>
      <c r="BG331" s="20"/>
      <c r="BH331" s="20"/>
      <c r="BI331" s="114">
        <v>2020</v>
      </c>
      <c r="BJ331" s="115" t="s">
        <v>39</v>
      </c>
      <c r="BK331" s="35">
        <f t="shared" si="405"/>
        <v>0.88432998690528153</v>
      </c>
      <c r="BL331" s="35">
        <f t="shared" si="406"/>
        <v>0.92935779816513764</v>
      </c>
      <c r="BM331" s="35">
        <f t="shared" si="407"/>
        <v>0.95154954168485373</v>
      </c>
      <c r="BN331" s="20">
        <v>2291</v>
      </c>
      <c r="BO331" s="27">
        <f t="shared" si="383"/>
        <v>111</v>
      </c>
      <c r="BP331" s="20">
        <v>2180</v>
      </c>
      <c r="BQ331" s="20">
        <v>2026</v>
      </c>
      <c r="BR331" s="20">
        <f t="shared" si="384"/>
        <v>154</v>
      </c>
      <c r="BS331" s="20"/>
      <c r="BT331" s="20"/>
      <c r="BU331" s="114">
        <v>2020</v>
      </c>
      <c r="BV331" s="115" t="s">
        <v>39</v>
      </c>
      <c r="BW331" s="35">
        <f t="shared" si="408"/>
        <v>0.79347826086956519</v>
      </c>
      <c r="BX331" s="35">
        <f t="shared" si="409"/>
        <v>0.92572463768115942</v>
      </c>
      <c r="BY331" s="35">
        <f t="shared" si="410"/>
        <v>0.8571428571428571</v>
      </c>
      <c r="BZ331" s="20">
        <v>1932</v>
      </c>
      <c r="CA331" s="27">
        <f t="shared" si="385"/>
        <v>276</v>
      </c>
      <c r="CB331" s="20">
        <v>1656</v>
      </c>
      <c r="CC331" s="20">
        <v>1533</v>
      </c>
      <c r="CD331" s="20">
        <f t="shared" si="386"/>
        <v>123</v>
      </c>
      <c r="CE331" s="20"/>
      <c r="CF331" s="20"/>
      <c r="CG331" s="114">
        <v>2020</v>
      </c>
      <c r="CH331" s="115" t="s">
        <v>39</v>
      </c>
      <c r="CI331" s="35">
        <f t="shared" si="411"/>
        <v>0.94376757263355204</v>
      </c>
      <c r="CJ331" s="35">
        <f t="shared" si="412"/>
        <v>0.98435972629521018</v>
      </c>
      <c r="CK331" s="35">
        <f t="shared" si="413"/>
        <v>0.95876288659793818</v>
      </c>
      <c r="CL331" s="20">
        <v>1067</v>
      </c>
      <c r="CM331" s="27">
        <f t="shared" si="387"/>
        <v>44</v>
      </c>
      <c r="CN331" s="20">
        <v>1023</v>
      </c>
      <c r="CO331" s="20">
        <v>1007</v>
      </c>
      <c r="CP331" s="20">
        <f t="shared" si="388"/>
        <v>16</v>
      </c>
      <c r="CQ331" s="20"/>
      <c r="CR331" s="20"/>
      <c r="CS331" s="114">
        <v>2020</v>
      </c>
      <c r="CT331" s="115" t="s">
        <v>39</v>
      </c>
      <c r="CU331" s="35"/>
      <c r="CV331" s="35"/>
      <c r="CW331" s="35"/>
      <c r="CX331" s="20"/>
      <c r="CY331" s="27"/>
      <c r="CZ331" s="20"/>
      <c r="DA331" s="20"/>
      <c r="DB331" s="20"/>
      <c r="DC331" s="90" t="s">
        <v>70</v>
      </c>
      <c r="DD331" s="20"/>
      <c r="DE331" s="114">
        <v>2020</v>
      </c>
      <c r="DF331" s="115" t="s">
        <v>39</v>
      </c>
      <c r="DG331" s="35">
        <f t="shared" si="417"/>
        <v>0.9196891191709845</v>
      </c>
      <c r="DH331" s="35">
        <f t="shared" si="418"/>
        <v>0.94164456233421756</v>
      </c>
      <c r="DI331" s="35">
        <f t="shared" si="419"/>
        <v>0.97668393782383423</v>
      </c>
      <c r="DJ331" s="20">
        <f>1508+36</f>
        <v>1544</v>
      </c>
      <c r="DK331" s="27">
        <f t="shared" si="395"/>
        <v>36</v>
      </c>
      <c r="DL331" s="20">
        <f>1473+35</f>
        <v>1508</v>
      </c>
      <c r="DM331" s="20">
        <f>1389+31</f>
        <v>1420</v>
      </c>
      <c r="DN331" s="20">
        <f t="shared" si="392"/>
        <v>88</v>
      </c>
      <c r="DO331" s="20"/>
      <c r="DP331" s="20"/>
      <c r="DQ331" s="114">
        <v>2020</v>
      </c>
      <c r="DR331" s="115" t="s">
        <v>39</v>
      </c>
      <c r="DS331" s="35">
        <f t="shared" si="420"/>
        <v>0.97435897435897434</v>
      </c>
      <c r="DT331" s="35">
        <f t="shared" si="421"/>
        <v>0.97435897435897434</v>
      </c>
      <c r="DU331" s="35">
        <f t="shared" si="422"/>
        <v>1</v>
      </c>
      <c r="DV331" s="20">
        <v>234</v>
      </c>
      <c r="DW331" s="27">
        <f t="shared" si="393"/>
        <v>0</v>
      </c>
      <c r="DX331" s="20">
        <v>234</v>
      </c>
      <c r="DY331" s="20">
        <v>228</v>
      </c>
      <c r="DZ331" s="20">
        <f t="shared" si="394"/>
        <v>6</v>
      </c>
      <c r="EA331" s="27"/>
      <c r="EB331" s="27"/>
    </row>
    <row r="332" spans="1:142" s="29" customFormat="1" ht="12.75">
      <c r="A332" s="114">
        <v>2020</v>
      </c>
      <c r="B332" s="115" t="s">
        <v>40</v>
      </c>
      <c r="C332" s="35">
        <f t="shared" si="423"/>
        <v>0.81419453663517993</v>
      </c>
      <c r="D332" s="35">
        <f t="shared" si="424"/>
        <v>0.94210090984284534</v>
      </c>
      <c r="E332" s="35">
        <f t="shared" si="425"/>
        <v>0.86423283124840444</v>
      </c>
      <c r="F332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19585</v>
      </c>
      <c r="G332" s="20">
        <f t="shared" si="426"/>
        <v>2659</v>
      </c>
      <c r="H332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16926</v>
      </c>
      <c r="I332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15946</v>
      </c>
      <c r="J332" s="20">
        <f t="shared" si="427"/>
        <v>980</v>
      </c>
      <c r="K332" s="20"/>
      <c r="L332" s="20"/>
      <c r="M332" s="114">
        <v>2020</v>
      </c>
      <c r="N332" s="115" t="s">
        <v>40</v>
      </c>
      <c r="O332" s="35">
        <f t="shared" si="396"/>
        <v>0.8143921751280857</v>
      </c>
      <c r="P332" s="35">
        <f t="shared" si="397"/>
        <v>0.93178790301092462</v>
      </c>
      <c r="Q332" s="35">
        <f t="shared" si="398"/>
        <v>0.8740102468560782</v>
      </c>
      <c r="R332" s="20">
        <v>4294</v>
      </c>
      <c r="S332" s="27">
        <f t="shared" si="377"/>
        <v>541</v>
      </c>
      <c r="T332" s="20">
        <v>3753</v>
      </c>
      <c r="U332" s="20">
        <v>3497</v>
      </c>
      <c r="V332" s="20">
        <f t="shared" si="378"/>
        <v>256</v>
      </c>
      <c r="W332" s="20"/>
      <c r="X332" s="20"/>
      <c r="Y332" s="114"/>
      <c r="Z332" s="115"/>
      <c r="AA332" s="35"/>
      <c r="AB332" s="35"/>
      <c r="AC332" s="35"/>
      <c r="AD332" s="20"/>
      <c r="AE332" s="27"/>
      <c r="AF332" s="20"/>
      <c r="AG332" s="20"/>
      <c r="AH332" s="20"/>
      <c r="AI332" s="20"/>
      <c r="AJ332" s="20"/>
      <c r="AK332" s="114">
        <v>2020</v>
      </c>
      <c r="AL332" s="115" t="s">
        <v>40</v>
      </c>
      <c r="AM332" s="35">
        <f t="shared" si="399"/>
        <v>0.84236569274269557</v>
      </c>
      <c r="AN332" s="35">
        <f t="shared" si="400"/>
        <v>0.94476744186046513</v>
      </c>
      <c r="AO332" s="35">
        <f t="shared" si="401"/>
        <v>0.89161168708765315</v>
      </c>
      <c r="AP332" s="20">
        <v>4244</v>
      </c>
      <c r="AQ332" s="27">
        <f t="shared" si="379"/>
        <v>460</v>
      </c>
      <c r="AR332" s="20">
        <v>3784</v>
      </c>
      <c r="AS332" s="20">
        <v>3575</v>
      </c>
      <c r="AT332" s="20">
        <f t="shared" si="380"/>
        <v>209</v>
      </c>
      <c r="AU332" s="20"/>
      <c r="AV332" s="20"/>
      <c r="AW332" s="114">
        <v>2020</v>
      </c>
      <c r="AX332" s="115" t="s">
        <v>40</v>
      </c>
      <c r="AY332" s="35">
        <f t="shared" si="402"/>
        <v>0.81853281853281856</v>
      </c>
      <c r="AZ332" s="35">
        <f t="shared" si="403"/>
        <v>0.93186813186813189</v>
      </c>
      <c r="BA332" s="35">
        <f t="shared" si="404"/>
        <v>0.8783783783783784</v>
      </c>
      <c r="BB332" s="20">
        <v>4144</v>
      </c>
      <c r="BC332" s="27">
        <f t="shared" si="381"/>
        <v>504</v>
      </c>
      <c r="BD332" s="20">
        <v>3640</v>
      </c>
      <c r="BE332" s="20">
        <v>3392</v>
      </c>
      <c r="BF332" s="20">
        <f t="shared" si="382"/>
        <v>248</v>
      </c>
      <c r="BG332" s="20"/>
      <c r="BH332" s="20"/>
      <c r="BI332" s="114">
        <v>2020</v>
      </c>
      <c r="BJ332" s="115" t="s">
        <v>40</v>
      </c>
      <c r="BK332" s="35">
        <f t="shared" si="405"/>
        <v>0.81699953553181603</v>
      </c>
      <c r="BL332" s="35">
        <f t="shared" si="406"/>
        <v>0.94671689989235741</v>
      </c>
      <c r="BM332" s="35">
        <f t="shared" si="407"/>
        <v>0.86298188574082679</v>
      </c>
      <c r="BN332" s="20">
        <v>2153</v>
      </c>
      <c r="BO332" s="27">
        <f t="shared" si="383"/>
        <v>295</v>
      </c>
      <c r="BP332" s="20">
        <v>1858</v>
      </c>
      <c r="BQ332" s="20">
        <v>1759</v>
      </c>
      <c r="BR332" s="20">
        <f t="shared" si="384"/>
        <v>99</v>
      </c>
      <c r="BS332" s="20"/>
      <c r="BT332" s="20"/>
      <c r="BU332" s="114">
        <v>2020</v>
      </c>
      <c r="BV332" s="115" t="s">
        <v>40</v>
      </c>
      <c r="BW332" s="35">
        <f t="shared" si="408"/>
        <v>0.76379690949227375</v>
      </c>
      <c r="BX332" s="35">
        <f t="shared" si="409"/>
        <v>0.93073301950235376</v>
      </c>
      <c r="BY332" s="35">
        <f t="shared" si="410"/>
        <v>0.82064017660044153</v>
      </c>
      <c r="BZ332" s="20">
        <v>1812</v>
      </c>
      <c r="CA332" s="27">
        <f t="shared" si="385"/>
        <v>325</v>
      </c>
      <c r="CB332" s="20">
        <v>1487</v>
      </c>
      <c r="CC332" s="20">
        <v>1384</v>
      </c>
      <c r="CD332" s="20">
        <f t="shared" si="386"/>
        <v>103</v>
      </c>
      <c r="CE332" s="20"/>
      <c r="CF332" s="20"/>
      <c r="CG332" s="114">
        <v>2020</v>
      </c>
      <c r="CH332" s="115" t="s">
        <v>40</v>
      </c>
      <c r="CI332" s="35">
        <f t="shared" si="411"/>
        <v>0.84540636042402828</v>
      </c>
      <c r="CJ332" s="35">
        <f t="shared" si="412"/>
        <v>0.98355601233299073</v>
      </c>
      <c r="CK332" s="35">
        <f t="shared" si="413"/>
        <v>0.85954063604240283</v>
      </c>
      <c r="CL332" s="20">
        <v>1132</v>
      </c>
      <c r="CM332" s="27">
        <f t="shared" si="387"/>
        <v>159</v>
      </c>
      <c r="CN332" s="20">
        <v>973</v>
      </c>
      <c r="CO332" s="20">
        <v>957</v>
      </c>
      <c r="CP332" s="20">
        <f t="shared" si="388"/>
        <v>16</v>
      </c>
      <c r="CQ332" s="20"/>
      <c r="CR332" s="20"/>
      <c r="CS332" s="114">
        <v>2020</v>
      </c>
      <c r="CT332" s="115" t="s">
        <v>40</v>
      </c>
      <c r="CU332" s="35"/>
      <c r="CV332" s="35"/>
      <c r="CW332" s="35"/>
      <c r="CX332" s="20"/>
      <c r="CY332" s="27"/>
      <c r="CZ332" s="20"/>
      <c r="DA332" s="20"/>
      <c r="DB332" s="20"/>
      <c r="DC332" s="90" t="s">
        <v>70</v>
      </c>
      <c r="DD332" s="20"/>
      <c r="DE332" s="114">
        <v>2020</v>
      </c>
      <c r="DF332" s="115" t="s">
        <v>40</v>
      </c>
      <c r="DG332" s="35">
        <f t="shared" si="417"/>
        <v>0.80813953488372092</v>
      </c>
      <c r="DH332" s="35">
        <f t="shared" si="418"/>
        <v>0.96453353893600613</v>
      </c>
      <c r="DI332" s="35">
        <f t="shared" si="419"/>
        <v>0.83785529715762275</v>
      </c>
      <c r="DJ332" s="20">
        <f>1520+28</f>
        <v>1548</v>
      </c>
      <c r="DK332" s="27">
        <f t="shared" si="395"/>
        <v>251</v>
      </c>
      <c r="DL332" s="20">
        <f>1269+28</f>
        <v>1297</v>
      </c>
      <c r="DM332" s="20">
        <f>1226+25</f>
        <v>1251</v>
      </c>
      <c r="DN332" s="20">
        <f t="shared" si="392"/>
        <v>46</v>
      </c>
      <c r="DO332" s="110" t="s">
        <v>90</v>
      </c>
      <c r="DP332" s="20"/>
      <c r="DQ332" s="114">
        <v>2020</v>
      </c>
      <c r="DR332" s="115" t="s">
        <v>40</v>
      </c>
      <c r="DS332" s="35">
        <f t="shared" si="420"/>
        <v>0.50775193798449614</v>
      </c>
      <c r="DT332" s="35">
        <f t="shared" si="421"/>
        <v>0.97761194029850751</v>
      </c>
      <c r="DU332" s="35">
        <f t="shared" si="422"/>
        <v>0.51937984496124034</v>
      </c>
      <c r="DV332" s="20">
        <v>258</v>
      </c>
      <c r="DW332" s="27">
        <f t="shared" si="393"/>
        <v>124</v>
      </c>
      <c r="DX332" s="20">
        <v>134</v>
      </c>
      <c r="DY332" s="20">
        <v>131</v>
      </c>
      <c r="DZ332" s="20">
        <f t="shared" si="394"/>
        <v>3</v>
      </c>
      <c r="EA332" s="90" t="s">
        <v>74</v>
      </c>
      <c r="EB332" s="27"/>
    </row>
    <row r="333" spans="1:142" s="29" customFormat="1" ht="12.75">
      <c r="A333" s="114">
        <v>2020</v>
      </c>
      <c r="B333" s="115" t="s">
        <v>41</v>
      </c>
      <c r="C333" s="35">
        <f t="shared" si="423"/>
        <v>0.80574926803300506</v>
      </c>
      <c r="D333" s="35">
        <f t="shared" si="424"/>
        <v>0.98266571447120687</v>
      </c>
      <c r="E333" s="35">
        <f t="shared" si="425"/>
        <v>0.81996273622571203</v>
      </c>
      <c r="F333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18785</v>
      </c>
      <c r="G333" s="20">
        <f t="shared" si="426"/>
        <v>3382</v>
      </c>
      <c r="H333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15403</v>
      </c>
      <c r="I333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15136</v>
      </c>
      <c r="J333" s="20">
        <f t="shared" si="427"/>
        <v>267</v>
      </c>
      <c r="K333" s="20"/>
      <c r="L333" s="20"/>
      <c r="M333" s="114">
        <v>2020</v>
      </c>
      <c r="N333" s="115" t="s">
        <v>41</v>
      </c>
      <c r="O333" s="35">
        <f t="shared" si="396"/>
        <v>0.86485218207414361</v>
      </c>
      <c r="P333" s="35">
        <f t="shared" si="397"/>
        <v>0.98556149732620324</v>
      </c>
      <c r="Q333" s="35">
        <f t="shared" si="398"/>
        <v>0.87752229000469262</v>
      </c>
      <c r="R333" s="20">
        <v>4262</v>
      </c>
      <c r="S333" s="27">
        <f t="shared" si="377"/>
        <v>522</v>
      </c>
      <c r="T333" s="20">
        <v>3740</v>
      </c>
      <c r="U333" s="20">
        <v>3686</v>
      </c>
      <c r="V333" s="20">
        <f t="shared" si="378"/>
        <v>54</v>
      </c>
      <c r="W333" s="20"/>
      <c r="X333" s="20"/>
      <c r="Y333" s="114"/>
      <c r="Z333" s="115"/>
      <c r="AA333" s="35"/>
      <c r="AB333" s="35"/>
      <c r="AC333" s="35"/>
      <c r="AD333" s="20"/>
      <c r="AE333" s="27"/>
      <c r="AF333" s="20"/>
      <c r="AG333" s="20"/>
      <c r="AH333" s="20"/>
      <c r="AI333" s="20"/>
      <c r="AJ333" s="20"/>
      <c r="AK333" s="114">
        <v>2020</v>
      </c>
      <c r="AL333" s="115" t="s">
        <v>41</v>
      </c>
      <c r="AM333" s="35">
        <f t="shared" si="399"/>
        <v>0.86810836501901145</v>
      </c>
      <c r="AN333" s="35">
        <f t="shared" si="400"/>
        <v>0.98014488865038907</v>
      </c>
      <c r="AO333" s="35">
        <f t="shared" si="401"/>
        <v>0.88569391634980987</v>
      </c>
      <c r="AP333" s="20">
        <v>4208</v>
      </c>
      <c r="AQ333" s="27">
        <f t="shared" si="379"/>
        <v>481</v>
      </c>
      <c r="AR333" s="20">
        <v>3727</v>
      </c>
      <c r="AS333" s="20">
        <v>3653</v>
      </c>
      <c r="AT333" s="20">
        <f t="shared" si="380"/>
        <v>74</v>
      </c>
      <c r="AU333" s="20"/>
      <c r="AV333" s="20"/>
      <c r="AW333" s="114">
        <v>2020</v>
      </c>
      <c r="AX333" s="115" t="s">
        <v>41</v>
      </c>
      <c r="AY333" s="35">
        <f t="shared" si="402"/>
        <v>0.87358304583538693</v>
      </c>
      <c r="AZ333" s="35">
        <f t="shared" si="403"/>
        <v>0.97712238147739805</v>
      </c>
      <c r="BA333" s="35">
        <f t="shared" si="404"/>
        <v>0.89403647116806306</v>
      </c>
      <c r="BB333" s="20">
        <v>4058</v>
      </c>
      <c r="BC333" s="27">
        <f t="shared" si="381"/>
        <v>430</v>
      </c>
      <c r="BD333" s="20">
        <v>3628</v>
      </c>
      <c r="BE333" s="20">
        <v>3545</v>
      </c>
      <c r="BF333" s="20">
        <f t="shared" si="382"/>
        <v>83</v>
      </c>
      <c r="BG333" s="20"/>
      <c r="BH333" s="20"/>
      <c r="BI333" s="114">
        <v>2020</v>
      </c>
      <c r="BJ333" s="115" t="s">
        <v>41</v>
      </c>
      <c r="BK333" s="35">
        <f t="shared" si="405"/>
        <v>0.88085106382978728</v>
      </c>
      <c r="BL333" s="35">
        <f t="shared" si="406"/>
        <v>0.98623610375860249</v>
      </c>
      <c r="BM333" s="35">
        <f t="shared" si="407"/>
        <v>0.89314420803782502</v>
      </c>
      <c r="BN333" s="20">
        <v>2115</v>
      </c>
      <c r="BO333" s="27">
        <f t="shared" si="383"/>
        <v>226</v>
      </c>
      <c r="BP333" s="20">
        <v>1889</v>
      </c>
      <c r="BQ333" s="20">
        <v>1863</v>
      </c>
      <c r="BR333" s="20">
        <f t="shared" si="384"/>
        <v>26</v>
      </c>
      <c r="BS333" s="20"/>
      <c r="BT333" s="20"/>
      <c r="BU333" s="114">
        <v>2020</v>
      </c>
      <c r="BV333" s="115" t="s">
        <v>41</v>
      </c>
      <c r="BW333" s="35">
        <f t="shared" si="408"/>
        <v>0.85874439461883412</v>
      </c>
      <c r="BX333" s="35">
        <f t="shared" si="409"/>
        <v>0.98966408268733852</v>
      </c>
      <c r="BY333" s="35">
        <f t="shared" si="410"/>
        <v>0.86771300448430488</v>
      </c>
      <c r="BZ333" s="20">
        <v>1784</v>
      </c>
      <c r="CA333" s="27">
        <f t="shared" si="385"/>
        <v>236</v>
      </c>
      <c r="CB333" s="20">
        <v>1548</v>
      </c>
      <c r="CC333" s="20">
        <v>1532</v>
      </c>
      <c r="CD333" s="20">
        <f t="shared" si="386"/>
        <v>16</v>
      </c>
      <c r="CE333" s="20"/>
      <c r="CF333" s="20"/>
      <c r="CG333" s="114">
        <v>2020</v>
      </c>
      <c r="CH333" s="115" t="s">
        <v>41</v>
      </c>
      <c r="CI333" s="35">
        <f t="shared" si="411"/>
        <v>0.46253469010175763</v>
      </c>
      <c r="CJ333" s="35">
        <f t="shared" si="412"/>
        <v>0.98814229249011853</v>
      </c>
      <c r="CK333" s="35">
        <f t="shared" si="413"/>
        <v>0.46808510638297873</v>
      </c>
      <c r="CL333" s="20">
        <v>1081</v>
      </c>
      <c r="CM333" s="27">
        <f t="shared" si="387"/>
        <v>575</v>
      </c>
      <c r="CN333" s="20">
        <v>506</v>
      </c>
      <c r="CO333" s="20">
        <v>500</v>
      </c>
      <c r="CP333" s="20">
        <f t="shared" si="388"/>
        <v>6</v>
      </c>
      <c r="CQ333" s="20"/>
      <c r="CR333" s="20"/>
      <c r="CS333" s="114">
        <v>2020</v>
      </c>
      <c r="CT333" s="115" t="s">
        <v>41</v>
      </c>
      <c r="CU333" s="35"/>
      <c r="CV333" s="35"/>
      <c r="CW333" s="35"/>
      <c r="CX333" s="20"/>
      <c r="CY333" s="27"/>
      <c r="CZ333" s="20"/>
      <c r="DA333" s="20"/>
      <c r="DB333" s="20"/>
      <c r="DC333" s="90" t="s">
        <v>70</v>
      </c>
      <c r="DD333" s="20"/>
      <c r="DE333" s="114">
        <v>2020</v>
      </c>
      <c r="DF333" s="115" t="s">
        <v>41</v>
      </c>
      <c r="DG333" s="35">
        <f t="shared" si="417"/>
        <v>0.27956147220046984</v>
      </c>
      <c r="DH333" s="35">
        <f t="shared" si="418"/>
        <v>0.9780821917808219</v>
      </c>
      <c r="DI333" s="35">
        <f t="shared" si="419"/>
        <v>0.28582615505090053</v>
      </c>
      <c r="DJ333" s="20">
        <f>1275+2</f>
        <v>1277</v>
      </c>
      <c r="DK333" s="27">
        <f t="shared" si="395"/>
        <v>912</v>
      </c>
      <c r="DL333" s="20">
        <v>365</v>
      </c>
      <c r="DM333" s="20">
        <v>357</v>
      </c>
      <c r="DN333" s="20">
        <f t="shared" si="392"/>
        <v>8</v>
      </c>
      <c r="DO333" s="110" t="s">
        <v>90</v>
      </c>
      <c r="DP333" s="20"/>
      <c r="DQ333" s="114">
        <v>2020</v>
      </c>
      <c r="DR333" s="115" t="s">
        <v>41</v>
      </c>
      <c r="DS333" s="35"/>
      <c r="DT333" s="35"/>
      <c r="DU333" s="35"/>
      <c r="DV333" s="20"/>
      <c r="DW333" s="27"/>
      <c r="DX333" s="20"/>
      <c r="DY333" s="20"/>
      <c r="DZ333" s="20"/>
      <c r="EA333" s="90" t="s">
        <v>74</v>
      </c>
      <c r="EB333" s="27"/>
    </row>
    <row r="334" spans="1:142" s="29" customFormat="1" ht="12.75">
      <c r="A334" s="116">
        <v>2020</v>
      </c>
      <c r="B334" s="117" t="s">
        <v>42</v>
      </c>
      <c r="C334" s="35">
        <f t="shared" si="423"/>
        <v>0.85879951758048056</v>
      </c>
      <c r="D334" s="35">
        <f t="shared" si="424"/>
        <v>0.98552113275843711</v>
      </c>
      <c r="E334" s="35">
        <f t="shared" si="425"/>
        <v>0.87141664347342052</v>
      </c>
      <c r="F334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21558</v>
      </c>
      <c r="G334" s="20">
        <f t="shared" si="426"/>
        <v>2772</v>
      </c>
      <c r="H334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18786</v>
      </c>
      <c r="I334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18514</v>
      </c>
      <c r="J334" s="20">
        <f t="shared" si="427"/>
        <v>272</v>
      </c>
      <c r="K334" s="20"/>
      <c r="L334" s="20"/>
      <c r="M334" s="116">
        <v>2020</v>
      </c>
      <c r="N334" s="117" t="s">
        <v>42</v>
      </c>
      <c r="O334" s="35">
        <f t="shared" si="396"/>
        <v>0.91869599371563238</v>
      </c>
      <c r="P334" s="35">
        <f t="shared" si="397"/>
        <v>0.98712808609411273</v>
      </c>
      <c r="Q334" s="35">
        <f t="shared" si="398"/>
        <v>0.93067556952081698</v>
      </c>
      <c r="R334" s="20">
        <v>5092</v>
      </c>
      <c r="S334" s="27">
        <f t="shared" si="377"/>
        <v>353</v>
      </c>
      <c r="T334" s="20">
        <v>4739</v>
      </c>
      <c r="U334" s="20">
        <v>4678</v>
      </c>
      <c r="V334" s="20">
        <f t="shared" si="378"/>
        <v>61</v>
      </c>
      <c r="W334" s="20"/>
      <c r="X334" s="20"/>
      <c r="Y334" s="116"/>
      <c r="Z334" s="117"/>
      <c r="AA334" s="35"/>
      <c r="AB334" s="35"/>
      <c r="AC334" s="35"/>
      <c r="AD334" s="20"/>
      <c r="AE334" s="27"/>
      <c r="AF334" s="20"/>
      <c r="AG334" s="20"/>
      <c r="AH334" s="20"/>
      <c r="AI334" s="20"/>
      <c r="AJ334" s="20"/>
      <c r="AK334" s="116">
        <v>2020</v>
      </c>
      <c r="AL334" s="117" t="s">
        <v>42</v>
      </c>
      <c r="AM334" s="35">
        <f t="shared" si="399"/>
        <v>0.91208350060216781</v>
      </c>
      <c r="AN334" s="35">
        <f t="shared" si="400"/>
        <v>0.98142548596112311</v>
      </c>
      <c r="AO334" s="35">
        <f t="shared" si="401"/>
        <v>0.92934564431955036</v>
      </c>
      <c r="AP334" s="20">
        <v>4982</v>
      </c>
      <c r="AQ334" s="27">
        <f t="shared" si="379"/>
        <v>352</v>
      </c>
      <c r="AR334" s="20">
        <v>4630</v>
      </c>
      <c r="AS334" s="20">
        <v>4544</v>
      </c>
      <c r="AT334" s="20">
        <f t="shared" si="380"/>
        <v>86</v>
      </c>
      <c r="AU334" s="20"/>
      <c r="AV334" s="20"/>
      <c r="AW334" s="116">
        <v>2020</v>
      </c>
      <c r="AX334" s="117" t="s">
        <v>42</v>
      </c>
      <c r="AY334" s="35">
        <f t="shared" si="402"/>
        <v>0.92907027498908779</v>
      </c>
      <c r="AZ334" s="35">
        <f t="shared" si="403"/>
        <v>0.98862052949372969</v>
      </c>
      <c r="BA334" s="35">
        <f t="shared" si="404"/>
        <v>0.93976429506765602</v>
      </c>
      <c r="BB334" s="20">
        <v>4582</v>
      </c>
      <c r="BC334" s="27">
        <f t="shared" si="381"/>
        <v>276</v>
      </c>
      <c r="BD334" s="20">
        <v>4306</v>
      </c>
      <c r="BE334" s="20">
        <v>4257</v>
      </c>
      <c r="BF334" s="20">
        <f t="shared" si="382"/>
        <v>49</v>
      </c>
      <c r="BG334" s="20"/>
      <c r="BH334" s="20"/>
      <c r="BI334" s="116">
        <v>2020</v>
      </c>
      <c r="BJ334" s="117" t="s">
        <v>42</v>
      </c>
      <c r="BK334" s="35">
        <f t="shared" si="405"/>
        <v>0.91529605263157898</v>
      </c>
      <c r="BL334" s="35">
        <f t="shared" si="406"/>
        <v>0.98582816651904337</v>
      </c>
      <c r="BM334" s="35">
        <f t="shared" si="407"/>
        <v>0.92845394736842102</v>
      </c>
      <c r="BN334" s="20">
        <v>2432</v>
      </c>
      <c r="BO334" s="27">
        <f t="shared" si="383"/>
        <v>174</v>
      </c>
      <c r="BP334" s="20">
        <v>2258</v>
      </c>
      <c r="BQ334" s="20">
        <v>2226</v>
      </c>
      <c r="BR334" s="20">
        <f t="shared" si="384"/>
        <v>32</v>
      </c>
      <c r="BS334" s="20"/>
      <c r="BT334" s="20"/>
      <c r="BU334" s="116">
        <v>2020</v>
      </c>
      <c r="BV334" s="117" t="s">
        <v>42</v>
      </c>
      <c r="BW334" s="35">
        <f t="shared" si="408"/>
        <v>0.92397660818713445</v>
      </c>
      <c r="BX334" s="35">
        <f t="shared" si="409"/>
        <v>0.98698594482040602</v>
      </c>
      <c r="BY334" s="35">
        <f t="shared" si="410"/>
        <v>0.93615984405458086</v>
      </c>
      <c r="BZ334" s="20">
        <v>2052</v>
      </c>
      <c r="CA334" s="27">
        <f t="shared" si="385"/>
        <v>131</v>
      </c>
      <c r="CB334" s="20">
        <v>1921</v>
      </c>
      <c r="CC334" s="20">
        <v>1896</v>
      </c>
      <c r="CD334" s="20">
        <f t="shared" si="386"/>
        <v>25</v>
      </c>
      <c r="CE334" s="20"/>
      <c r="CF334" s="20"/>
      <c r="CG334" s="116">
        <v>2020</v>
      </c>
      <c r="CH334" s="117" t="s">
        <v>42</v>
      </c>
      <c r="CI334" s="35">
        <f t="shared" si="411"/>
        <v>0.49641577060931902</v>
      </c>
      <c r="CJ334" s="35">
        <f t="shared" si="412"/>
        <v>0.99461400359066432</v>
      </c>
      <c r="CK334" s="35">
        <f t="shared" si="413"/>
        <v>0.49910394265232977</v>
      </c>
      <c r="CL334" s="20">
        <v>1116</v>
      </c>
      <c r="CM334" s="27">
        <f t="shared" si="387"/>
        <v>559</v>
      </c>
      <c r="CN334" s="20">
        <v>557</v>
      </c>
      <c r="CO334" s="20">
        <v>554</v>
      </c>
      <c r="CP334" s="20">
        <f t="shared" si="388"/>
        <v>3</v>
      </c>
      <c r="CQ334" s="20"/>
      <c r="CR334" s="20"/>
      <c r="CS334" s="116">
        <v>2020</v>
      </c>
      <c r="CT334" s="117" t="s">
        <v>42</v>
      </c>
      <c r="CU334" s="35"/>
      <c r="CV334" s="35"/>
      <c r="CW334" s="35"/>
      <c r="CX334" s="20"/>
      <c r="CY334" s="27"/>
      <c r="CZ334" s="20"/>
      <c r="DA334" s="20"/>
      <c r="DB334" s="20"/>
      <c r="DC334" s="90" t="s">
        <v>70</v>
      </c>
      <c r="DD334" s="20"/>
      <c r="DE334" s="116">
        <v>2020</v>
      </c>
      <c r="DF334" s="117" t="s">
        <v>42</v>
      </c>
      <c r="DG334" s="35">
        <f t="shared" si="417"/>
        <v>0.27572964669738864</v>
      </c>
      <c r="DH334" s="35">
        <f t="shared" si="418"/>
        <v>0.95733333333333337</v>
      </c>
      <c r="DI334" s="35">
        <f t="shared" si="419"/>
        <v>0.28801843317972348</v>
      </c>
      <c r="DJ334" s="20">
        <v>1302</v>
      </c>
      <c r="DK334" s="27">
        <f t="shared" si="395"/>
        <v>927</v>
      </c>
      <c r="DL334" s="20">
        <v>375</v>
      </c>
      <c r="DM334" s="20">
        <v>359</v>
      </c>
      <c r="DN334" s="20">
        <f t="shared" si="392"/>
        <v>16</v>
      </c>
      <c r="DO334" s="110" t="s">
        <v>90</v>
      </c>
      <c r="DP334" s="20"/>
      <c r="DQ334" s="116">
        <v>2020</v>
      </c>
      <c r="DR334" s="117" t="s">
        <v>42</v>
      </c>
      <c r="DS334" s="35"/>
      <c r="DT334" s="35"/>
      <c r="DU334" s="35"/>
      <c r="DV334" s="20"/>
      <c r="DW334" s="27"/>
      <c r="DX334" s="20"/>
      <c r="DY334" s="20"/>
      <c r="DZ334" s="20"/>
      <c r="EA334" s="90" t="s">
        <v>74</v>
      </c>
      <c r="EB334" s="27"/>
    </row>
    <row r="335" spans="1:142">
      <c r="A335" s="114">
        <v>2020</v>
      </c>
      <c r="B335" s="115" t="s">
        <v>43</v>
      </c>
      <c r="C335" s="35">
        <f t="shared" si="423"/>
        <v>0.87770153573262377</v>
      </c>
      <c r="D335" s="35">
        <f t="shared" si="424"/>
        <v>0.98506915339480305</v>
      </c>
      <c r="E335" s="35">
        <f t="shared" si="425"/>
        <v>0.89100499463193761</v>
      </c>
      <c r="F335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21423</v>
      </c>
      <c r="G335" s="20">
        <f t="shared" si="426"/>
        <v>2335</v>
      </c>
      <c r="H335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19088</v>
      </c>
      <c r="I335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18803</v>
      </c>
      <c r="J335" s="20">
        <f t="shared" si="427"/>
        <v>285</v>
      </c>
      <c r="K335" s="59"/>
      <c r="M335" s="114">
        <v>2020</v>
      </c>
      <c r="N335" s="115" t="s">
        <v>43</v>
      </c>
      <c r="O335" s="58">
        <f t="shared" ref="O335:O341" si="428">U335/R335</f>
        <v>0.9392340758108636</v>
      </c>
      <c r="P335" s="58">
        <f t="shared" ref="P335:P341" si="429">U335/T335</f>
        <v>0.98625359048009853</v>
      </c>
      <c r="Q335" s="58">
        <f t="shared" ref="Q335:Q341" si="430">T335/R335</f>
        <v>0.95232512700273542</v>
      </c>
      <c r="R335" s="59">
        <v>5118</v>
      </c>
      <c r="S335" s="56">
        <f t="shared" ref="S335:S341" si="431">R335-T335</f>
        <v>244</v>
      </c>
      <c r="T335" s="59">
        <v>4874</v>
      </c>
      <c r="U335" s="59">
        <v>4807</v>
      </c>
      <c r="V335" s="59">
        <f t="shared" ref="V335:V341" si="432">T335-U335</f>
        <v>67</v>
      </c>
      <c r="W335" s="59"/>
      <c r="X335" s="59"/>
      <c r="Y335" s="114"/>
      <c r="Z335" s="115"/>
      <c r="AA335" s="58"/>
      <c r="AB335" s="58"/>
      <c r="AC335" s="58"/>
      <c r="AD335" s="59"/>
      <c r="AE335" s="56"/>
      <c r="AF335" s="59"/>
      <c r="AG335" s="59"/>
      <c r="AH335" s="59"/>
      <c r="AI335" s="59"/>
      <c r="AK335" s="114">
        <v>2020</v>
      </c>
      <c r="AL335" s="115" t="s">
        <v>43</v>
      </c>
      <c r="AM335" s="58">
        <f t="shared" ref="AM335:AM341" si="433">AS335/AP335</f>
        <v>0.95078031212484992</v>
      </c>
      <c r="AN335" s="58">
        <f t="shared" ref="AN335:AN341" si="434">AS335/AR335</f>
        <v>0.98773643733111616</v>
      </c>
      <c r="AO335" s="58">
        <f t="shared" ref="AO335:AO341" si="435">AR335/AP335</f>
        <v>0.9625850340136054</v>
      </c>
      <c r="AP335" s="59">
        <v>4998</v>
      </c>
      <c r="AQ335" s="56">
        <f t="shared" ref="AQ335:AQ341" si="436">AP335-AR335</f>
        <v>187</v>
      </c>
      <c r="AR335" s="59">
        <v>4811</v>
      </c>
      <c r="AS335" s="59">
        <v>4752</v>
      </c>
      <c r="AT335" s="59">
        <f t="shared" ref="AT335:AT341" si="437">AR335-AS335</f>
        <v>59</v>
      </c>
      <c r="AU335" s="59"/>
      <c r="AW335" s="114">
        <v>2020</v>
      </c>
      <c r="AX335" s="115" t="s">
        <v>43</v>
      </c>
      <c r="AY335" s="58">
        <f t="shared" ref="AY335:AY341" si="438">BE335/BB335</f>
        <v>0.95064187693669766</v>
      </c>
      <c r="AZ335" s="58">
        <f t="shared" ref="AZ335:AZ341" si="439">BE335/BD335</f>
        <v>0.98464007336084369</v>
      </c>
      <c r="BA335" s="58">
        <f t="shared" ref="BA335:BA341" si="440">BD335/BB335</f>
        <v>0.96547144754316072</v>
      </c>
      <c r="BB335" s="59">
        <v>4518</v>
      </c>
      <c r="BC335" s="56">
        <f t="shared" ref="BC335:BC341" si="441">BB335-BD335</f>
        <v>156</v>
      </c>
      <c r="BD335" s="59">
        <v>4362</v>
      </c>
      <c r="BE335" s="59">
        <v>4295</v>
      </c>
      <c r="BF335" s="59">
        <f t="shared" ref="BF335:BF341" si="442">BD335-BE335</f>
        <v>67</v>
      </c>
      <c r="BG335" s="59"/>
      <c r="BI335" s="114">
        <v>2020</v>
      </c>
      <c r="BJ335" s="115" t="s">
        <v>43</v>
      </c>
      <c r="BK335" s="58">
        <f t="shared" ref="BK335:BK341" si="443">BQ335/BN335</f>
        <v>0.91656288916562889</v>
      </c>
      <c r="BL335" s="58">
        <f t="shared" ref="BL335:BL341" si="444">BQ335/BP335</f>
        <v>0.98659517426273458</v>
      </c>
      <c r="BM335" s="58">
        <f t="shared" ref="BM335:BM341" si="445">BP335/BN335</f>
        <v>0.92901618929016194</v>
      </c>
      <c r="BN335" s="59">
        <v>2409</v>
      </c>
      <c r="BO335" s="56">
        <f t="shared" ref="BO335:BO341" si="446">BN335-BP335</f>
        <v>171</v>
      </c>
      <c r="BP335" s="59">
        <v>2238</v>
      </c>
      <c r="BQ335" s="59">
        <v>2208</v>
      </c>
      <c r="BR335" s="59">
        <f t="shared" ref="BR335:BR341" si="447">BP335-BQ335</f>
        <v>30</v>
      </c>
      <c r="BS335" s="59"/>
      <c r="BU335" s="114">
        <v>2020</v>
      </c>
      <c r="BV335" s="115" t="s">
        <v>43</v>
      </c>
      <c r="BW335" s="58">
        <f t="shared" ref="BW335:BW341" si="448">CC335/BZ335</f>
        <v>0.91323529411764703</v>
      </c>
      <c r="BX335" s="58">
        <f t="shared" ref="BX335:BX341" si="449">CC335/CB335</f>
        <v>0.98519301956636696</v>
      </c>
      <c r="BY335" s="58">
        <f t="shared" ref="BY335:BY341" si="450">CB335/BZ335</f>
        <v>0.92696078431372553</v>
      </c>
      <c r="BZ335" s="59">
        <v>2040</v>
      </c>
      <c r="CA335" s="56">
        <f t="shared" ref="CA335:CA341" si="451">BZ335-CB335</f>
        <v>149</v>
      </c>
      <c r="CB335" s="59">
        <v>1891</v>
      </c>
      <c r="CC335" s="59">
        <v>1863</v>
      </c>
      <c r="CD335" s="59">
        <f t="shared" ref="CD335:CD341" si="452">CB335-CC335</f>
        <v>28</v>
      </c>
      <c r="CE335" s="59"/>
      <c r="CG335" s="114">
        <v>2020</v>
      </c>
      <c r="CH335" s="115" t="s">
        <v>43</v>
      </c>
      <c r="CI335" s="58">
        <f t="shared" ref="CI335:CI341" si="453">CO335/CL335</f>
        <v>0.49074074074074076</v>
      </c>
      <c r="CJ335" s="58">
        <f t="shared" ref="CJ335:CJ341" si="454">CO335/CN335</f>
        <v>0.98513011152416352</v>
      </c>
      <c r="CK335" s="58">
        <f t="shared" ref="CK335:CK341" si="455">CN335/CL335</f>
        <v>0.49814814814814817</v>
      </c>
      <c r="CL335" s="59">
        <v>1080</v>
      </c>
      <c r="CM335" s="56">
        <f t="shared" ref="CM335:CM341" si="456">CL335-CN335</f>
        <v>542</v>
      </c>
      <c r="CN335" s="59">
        <v>538</v>
      </c>
      <c r="CO335" s="59">
        <v>530</v>
      </c>
      <c r="CP335" s="59">
        <f t="shared" ref="CP335:CP341" si="457">CN335-CO335</f>
        <v>8</v>
      </c>
      <c r="CQ335" s="59"/>
      <c r="CS335" s="112">
        <v>2020</v>
      </c>
      <c r="CT335" s="113" t="s">
        <v>43</v>
      </c>
      <c r="CU335" s="58"/>
      <c r="CV335" s="58"/>
      <c r="CW335" s="58"/>
      <c r="CX335" s="59"/>
      <c r="CY335" s="56"/>
      <c r="CZ335" s="59"/>
      <c r="DA335" s="59"/>
      <c r="DB335" s="59"/>
      <c r="DC335" s="90" t="s">
        <v>70</v>
      </c>
      <c r="DE335" s="114">
        <v>2020</v>
      </c>
      <c r="DF335" s="115" t="s">
        <v>43</v>
      </c>
      <c r="DG335" s="58">
        <f t="shared" ref="DG335:DG340" si="458">DM335/DJ335</f>
        <v>0.27619047619047621</v>
      </c>
      <c r="DH335" s="58">
        <f t="shared" ref="DH335:DH340" si="459">DM335/DL335</f>
        <v>0.93048128342245995</v>
      </c>
      <c r="DI335" s="58">
        <f t="shared" ref="DI335:DI340" si="460">DL335/DJ335</f>
        <v>0.29682539682539683</v>
      </c>
      <c r="DJ335" s="59">
        <v>1260</v>
      </c>
      <c r="DK335" s="56">
        <f t="shared" ref="DK335:DK340" si="461">DJ335-DL335</f>
        <v>886</v>
      </c>
      <c r="DL335" s="59">
        <v>374</v>
      </c>
      <c r="DM335" s="59">
        <v>348</v>
      </c>
      <c r="DN335" s="59">
        <f t="shared" ref="DN335:DN340" si="462">DL335-DM335</f>
        <v>26</v>
      </c>
      <c r="DO335" s="110" t="s">
        <v>90</v>
      </c>
      <c r="DQ335" s="114">
        <v>2020</v>
      </c>
      <c r="DR335" s="115" t="s">
        <v>43</v>
      </c>
      <c r="DS335" s="58"/>
      <c r="DT335" s="58"/>
      <c r="DU335" s="58"/>
      <c r="DV335" s="59"/>
      <c r="DW335" s="56"/>
      <c r="DX335" s="59"/>
      <c r="DY335" s="59"/>
      <c r="DZ335" s="59"/>
      <c r="EA335" s="90" t="s">
        <v>74</v>
      </c>
      <c r="EJ335" s="29"/>
      <c r="EK335" s="29"/>
      <c r="EL335" s="29"/>
    </row>
    <row r="336" spans="1:142">
      <c r="A336" s="116">
        <v>2020</v>
      </c>
      <c r="B336" s="117" t="s">
        <v>44</v>
      </c>
      <c r="C336" s="35">
        <f t="shared" si="423"/>
        <v>0.80426207209249601</v>
      </c>
      <c r="D336" s="35">
        <f t="shared" si="424"/>
        <v>0.98418687232980084</v>
      </c>
      <c r="E336" s="35">
        <f t="shared" si="425"/>
        <v>0.81718431194740426</v>
      </c>
      <c r="F336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22055</v>
      </c>
      <c r="G336" s="20">
        <f t="shared" si="426"/>
        <v>4032</v>
      </c>
      <c r="H336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18023</v>
      </c>
      <c r="I336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17738</v>
      </c>
      <c r="J336" s="20">
        <f t="shared" si="427"/>
        <v>285</v>
      </c>
      <c r="K336" s="59"/>
      <c r="M336" s="116">
        <v>2020</v>
      </c>
      <c r="N336" s="117" t="s">
        <v>44</v>
      </c>
      <c r="O336" s="58">
        <f t="shared" si="428"/>
        <v>0.83682008368200833</v>
      </c>
      <c r="P336" s="58">
        <f t="shared" si="429"/>
        <v>0.9821428571428571</v>
      </c>
      <c r="Q336" s="58">
        <f t="shared" si="430"/>
        <v>0.85203499429440854</v>
      </c>
      <c r="R336" s="59">
        <v>5258</v>
      </c>
      <c r="S336" s="56">
        <f t="shared" si="431"/>
        <v>778</v>
      </c>
      <c r="T336" s="59">
        <v>4480</v>
      </c>
      <c r="U336" s="59">
        <v>4400</v>
      </c>
      <c r="V336" s="59">
        <f t="shared" si="432"/>
        <v>80</v>
      </c>
      <c r="W336" s="59"/>
      <c r="X336" s="59"/>
      <c r="Y336" s="116"/>
      <c r="Z336" s="117"/>
      <c r="AA336" s="58"/>
      <c r="AB336" s="58"/>
      <c r="AC336" s="58"/>
      <c r="AD336" s="59"/>
      <c r="AE336" s="56"/>
      <c r="AF336" s="59"/>
      <c r="AG336" s="59"/>
      <c r="AH336" s="59"/>
      <c r="AI336" s="59"/>
      <c r="AK336" s="116">
        <v>2020</v>
      </c>
      <c r="AL336" s="117" t="s">
        <v>44</v>
      </c>
      <c r="AM336" s="58">
        <f t="shared" si="433"/>
        <v>0.93380062305295952</v>
      </c>
      <c r="AN336" s="58">
        <f t="shared" si="434"/>
        <v>0.98845836768342954</v>
      </c>
      <c r="AO336" s="58">
        <f t="shared" si="435"/>
        <v>0.94470404984423673</v>
      </c>
      <c r="AP336" s="59">
        <v>5136</v>
      </c>
      <c r="AQ336" s="56">
        <f t="shared" si="436"/>
        <v>284</v>
      </c>
      <c r="AR336" s="59">
        <v>4852</v>
      </c>
      <c r="AS336" s="59">
        <v>4796</v>
      </c>
      <c r="AT336" s="59">
        <f t="shared" si="437"/>
        <v>56</v>
      </c>
      <c r="AU336" s="59"/>
      <c r="AW336" s="116">
        <v>2020</v>
      </c>
      <c r="AX336" s="117" t="s">
        <v>44</v>
      </c>
      <c r="AY336" s="58">
        <f t="shared" si="438"/>
        <v>0.8813304721030043</v>
      </c>
      <c r="AZ336" s="58">
        <f t="shared" si="439"/>
        <v>0.98183122161128378</v>
      </c>
      <c r="BA336" s="58">
        <f t="shared" si="440"/>
        <v>0.89763948497854074</v>
      </c>
      <c r="BB336" s="59">
        <v>4660</v>
      </c>
      <c r="BC336" s="56">
        <f t="shared" si="441"/>
        <v>477</v>
      </c>
      <c r="BD336" s="59">
        <v>4183</v>
      </c>
      <c r="BE336" s="59">
        <v>4107</v>
      </c>
      <c r="BF336" s="59">
        <f t="shared" si="442"/>
        <v>76</v>
      </c>
      <c r="BG336" s="59"/>
      <c r="BI336" s="116">
        <v>2020</v>
      </c>
      <c r="BJ336" s="117" t="s">
        <v>44</v>
      </c>
      <c r="BK336" s="58">
        <f t="shared" si="443"/>
        <v>0.90737011679420054</v>
      </c>
      <c r="BL336" s="58">
        <f t="shared" si="444"/>
        <v>0.98513336248360295</v>
      </c>
      <c r="BM336" s="58">
        <f t="shared" si="445"/>
        <v>0.92106322996375356</v>
      </c>
      <c r="BN336" s="59">
        <v>2483</v>
      </c>
      <c r="BO336" s="56">
        <f t="shared" si="446"/>
        <v>196</v>
      </c>
      <c r="BP336" s="59">
        <v>2287</v>
      </c>
      <c r="BQ336" s="59">
        <v>2253</v>
      </c>
      <c r="BR336" s="59">
        <f t="shared" si="447"/>
        <v>34</v>
      </c>
      <c r="BS336" s="59"/>
      <c r="BU336" s="116">
        <v>2020</v>
      </c>
      <c r="BV336" s="117" t="s">
        <v>44</v>
      </c>
      <c r="BW336" s="58">
        <f t="shared" si="448"/>
        <v>0.60238095238095235</v>
      </c>
      <c r="BX336" s="58">
        <f t="shared" si="449"/>
        <v>0.97758887171561049</v>
      </c>
      <c r="BY336" s="58">
        <f t="shared" si="450"/>
        <v>0.61619047619047618</v>
      </c>
      <c r="BZ336" s="59">
        <v>2100</v>
      </c>
      <c r="CA336" s="56">
        <f t="shared" si="451"/>
        <v>806</v>
      </c>
      <c r="CB336" s="59">
        <v>1294</v>
      </c>
      <c r="CC336" s="59">
        <v>1265</v>
      </c>
      <c r="CD336" s="59">
        <f t="shared" si="452"/>
        <v>29</v>
      </c>
      <c r="CE336" s="59"/>
      <c r="CG336" s="116">
        <v>2020</v>
      </c>
      <c r="CH336" s="117" t="s">
        <v>43</v>
      </c>
      <c r="CI336" s="58">
        <f t="shared" si="453"/>
        <v>0.478494623655914</v>
      </c>
      <c r="CJ336" s="58">
        <f t="shared" si="454"/>
        <v>0.99072356215213353</v>
      </c>
      <c r="CK336" s="58">
        <f t="shared" si="455"/>
        <v>0.48297491039426521</v>
      </c>
      <c r="CL336" s="59">
        <v>1116</v>
      </c>
      <c r="CM336" s="56">
        <f t="shared" si="456"/>
        <v>577</v>
      </c>
      <c r="CN336" s="59">
        <v>539</v>
      </c>
      <c r="CO336" s="59">
        <v>534</v>
      </c>
      <c r="CP336" s="59">
        <f t="shared" si="457"/>
        <v>5</v>
      </c>
      <c r="CQ336" s="59"/>
      <c r="CS336" s="116">
        <v>2020</v>
      </c>
      <c r="CT336" s="117" t="s">
        <v>44</v>
      </c>
      <c r="CU336" s="58"/>
      <c r="CV336" s="58"/>
      <c r="CW336" s="58"/>
      <c r="CX336" s="59"/>
      <c r="CY336" s="56"/>
      <c r="CZ336" s="59"/>
      <c r="DA336" s="59"/>
      <c r="DB336" s="59"/>
      <c r="DC336" s="90" t="s">
        <v>70</v>
      </c>
      <c r="DE336" s="116">
        <v>2020</v>
      </c>
      <c r="DF336" s="117" t="s">
        <v>44</v>
      </c>
      <c r="DG336" s="58">
        <f t="shared" si="458"/>
        <v>0.29416282642089092</v>
      </c>
      <c r="DH336" s="58">
        <f t="shared" si="459"/>
        <v>0.98711340206185572</v>
      </c>
      <c r="DI336" s="58">
        <f t="shared" si="460"/>
        <v>0.29800307219662059</v>
      </c>
      <c r="DJ336" s="59">
        <v>1302</v>
      </c>
      <c r="DK336" s="56">
        <f t="shared" si="461"/>
        <v>914</v>
      </c>
      <c r="DL336" s="59">
        <v>388</v>
      </c>
      <c r="DM336" s="59">
        <v>383</v>
      </c>
      <c r="DN336" s="59">
        <f t="shared" si="462"/>
        <v>5</v>
      </c>
      <c r="DO336" s="110" t="s">
        <v>90</v>
      </c>
      <c r="DQ336" s="116">
        <v>2020</v>
      </c>
      <c r="DR336" s="117" t="s">
        <v>44</v>
      </c>
      <c r="DS336" s="58"/>
      <c r="DT336" s="58"/>
      <c r="DU336" s="58"/>
      <c r="DV336" s="59"/>
      <c r="DW336" s="56"/>
      <c r="DX336" s="59"/>
      <c r="DY336" s="59"/>
      <c r="DZ336" s="59"/>
      <c r="EA336" s="90" t="s">
        <v>74</v>
      </c>
      <c r="EJ336" s="29"/>
      <c r="EK336" s="29"/>
      <c r="EL336" s="29"/>
    </row>
    <row r="337" spans="1:142">
      <c r="A337" s="116">
        <v>2020</v>
      </c>
      <c r="B337" s="117" t="s">
        <v>45</v>
      </c>
      <c r="C337" s="35">
        <f t="shared" si="423"/>
        <v>0.85180447693010508</v>
      </c>
      <c r="D337" s="35">
        <f t="shared" si="424"/>
        <v>0.98614343135180871</v>
      </c>
      <c r="E337" s="35">
        <f t="shared" si="425"/>
        <v>0.86377341251713113</v>
      </c>
      <c r="F337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21890</v>
      </c>
      <c r="G337" s="20">
        <f t="shared" si="426"/>
        <v>2982</v>
      </c>
      <c r="H337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18908</v>
      </c>
      <c r="I337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18646</v>
      </c>
      <c r="J337" s="20">
        <f t="shared" si="427"/>
        <v>262</v>
      </c>
      <c r="K337" s="59"/>
      <c r="M337" s="116">
        <v>2020</v>
      </c>
      <c r="N337" s="117" t="s">
        <v>45</v>
      </c>
      <c r="O337" s="58">
        <f t="shared" si="428"/>
        <v>0.85538461538461541</v>
      </c>
      <c r="P337" s="58">
        <f t="shared" si="429"/>
        <v>0.9758666081614743</v>
      </c>
      <c r="Q337" s="58">
        <f t="shared" si="430"/>
        <v>0.87653846153846149</v>
      </c>
      <c r="R337" s="59">
        <v>5200</v>
      </c>
      <c r="S337" s="56">
        <f t="shared" si="431"/>
        <v>642</v>
      </c>
      <c r="T337" s="59">
        <v>4558</v>
      </c>
      <c r="U337" s="59">
        <v>4448</v>
      </c>
      <c r="V337" s="59">
        <f t="shared" si="432"/>
        <v>110</v>
      </c>
      <c r="W337" s="59"/>
      <c r="X337" s="59"/>
      <c r="Y337" s="116"/>
      <c r="Z337" s="117"/>
      <c r="AA337" s="58"/>
      <c r="AB337" s="58"/>
      <c r="AC337" s="58"/>
      <c r="AD337" s="59"/>
      <c r="AE337" s="56"/>
      <c r="AF337" s="59"/>
      <c r="AG337" s="59"/>
      <c r="AH337" s="59"/>
      <c r="AI337" s="59"/>
      <c r="AK337" s="116">
        <v>2020</v>
      </c>
      <c r="AL337" s="117" t="s">
        <v>45</v>
      </c>
      <c r="AM337" s="58">
        <f t="shared" si="433"/>
        <v>0.93467138921684378</v>
      </c>
      <c r="AN337" s="58">
        <f t="shared" si="434"/>
        <v>0.98650051921079962</v>
      </c>
      <c r="AO337" s="58">
        <f t="shared" si="435"/>
        <v>0.94746162927981115</v>
      </c>
      <c r="AP337" s="59">
        <v>5082</v>
      </c>
      <c r="AQ337" s="56">
        <f t="shared" si="436"/>
        <v>267</v>
      </c>
      <c r="AR337" s="59">
        <v>4815</v>
      </c>
      <c r="AS337" s="59">
        <v>4750</v>
      </c>
      <c r="AT337" s="59">
        <f t="shared" si="437"/>
        <v>65</v>
      </c>
      <c r="AU337" s="59"/>
      <c r="AW337" s="116">
        <v>2020</v>
      </c>
      <c r="AX337" s="117" t="s">
        <v>45</v>
      </c>
      <c r="AY337" s="58">
        <f t="shared" si="438"/>
        <v>0.93984476067270373</v>
      </c>
      <c r="AZ337" s="58">
        <f t="shared" si="439"/>
        <v>0.98978201634877383</v>
      </c>
      <c r="BA337" s="58">
        <f t="shared" si="440"/>
        <v>0.94954721862871927</v>
      </c>
      <c r="BB337" s="59">
        <v>4638</v>
      </c>
      <c r="BC337" s="56">
        <f t="shared" si="441"/>
        <v>234</v>
      </c>
      <c r="BD337" s="59">
        <v>4404</v>
      </c>
      <c r="BE337" s="59">
        <v>4359</v>
      </c>
      <c r="BF337" s="59">
        <f t="shared" si="442"/>
        <v>45</v>
      </c>
      <c r="BG337" s="59"/>
      <c r="BI337" s="116">
        <v>2020</v>
      </c>
      <c r="BJ337" s="117" t="s">
        <v>45</v>
      </c>
      <c r="BK337" s="58">
        <f t="shared" si="443"/>
        <v>0.91936790923824963</v>
      </c>
      <c r="BL337" s="58">
        <f t="shared" si="444"/>
        <v>0.99604916593503068</v>
      </c>
      <c r="BM337" s="58">
        <f t="shared" si="445"/>
        <v>0.92301458670988656</v>
      </c>
      <c r="BN337" s="59">
        <v>2468</v>
      </c>
      <c r="BO337" s="56">
        <f t="shared" si="446"/>
        <v>190</v>
      </c>
      <c r="BP337" s="59">
        <v>2278</v>
      </c>
      <c r="BQ337" s="59">
        <v>2269</v>
      </c>
      <c r="BR337" s="59">
        <f t="shared" si="447"/>
        <v>9</v>
      </c>
      <c r="BS337" s="59"/>
      <c r="BU337" s="116">
        <v>2020</v>
      </c>
      <c r="BV337" s="117" t="s">
        <v>45</v>
      </c>
      <c r="BW337" s="58">
        <f t="shared" si="448"/>
        <v>0.91506717850287911</v>
      </c>
      <c r="BX337" s="58">
        <f t="shared" si="449"/>
        <v>0.9885951270088128</v>
      </c>
      <c r="BY337" s="58">
        <f t="shared" si="450"/>
        <v>0.92562380038387715</v>
      </c>
      <c r="BZ337" s="59">
        <v>2084</v>
      </c>
      <c r="CA337" s="56">
        <f t="shared" si="451"/>
        <v>155</v>
      </c>
      <c r="CB337" s="59">
        <v>1929</v>
      </c>
      <c r="CC337" s="59">
        <v>1907</v>
      </c>
      <c r="CD337" s="59">
        <f t="shared" si="452"/>
        <v>22</v>
      </c>
      <c r="CE337" s="59"/>
      <c r="CG337" s="116">
        <v>2020</v>
      </c>
      <c r="CH337" s="117" t="s">
        <v>45</v>
      </c>
      <c r="CI337" s="58">
        <f t="shared" si="453"/>
        <v>0.48207885304659498</v>
      </c>
      <c r="CJ337" s="58">
        <f t="shared" si="454"/>
        <v>0.99445471349353054</v>
      </c>
      <c r="CK337" s="58">
        <f t="shared" si="455"/>
        <v>0.48476702508960573</v>
      </c>
      <c r="CL337" s="59">
        <v>1116</v>
      </c>
      <c r="CM337" s="56">
        <f t="shared" si="456"/>
        <v>575</v>
      </c>
      <c r="CN337" s="59">
        <v>541</v>
      </c>
      <c r="CO337" s="59">
        <v>538</v>
      </c>
      <c r="CP337" s="59">
        <f t="shared" si="457"/>
        <v>3</v>
      </c>
      <c r="CQ337" s="59"/>
      <c r="CS337" s="116">
        <v>2020</v>
      </c>
      <c r="CT337" s="117" t="s">
        <v>45</v>
      </c>
      <c r="CU337" s="58"/>
      <c r="CV337" s="58"/>
      <c r="CW337" s="58"/>
      <c r="CX337" s="59"/>
      <c r="CY337" s="56"/>
      <c r="CZ337" s="59"/>
      <c r="DA337" s="59"/>
      <c r="DB337" s="59"/>
      <c r="DC337" s="105" t="s">
        <v>70</v>
      </c>
      <c r="DE337" s="116">
        <v>2020</v>
      </c>
      <c r="DF337" s="117" t="s">
        <v>45</v>
      </c>
      <c r="DG337" s="58">
        <f t="shared" si="458"/>
        <v>0.28801843317972348</v>
      </c>
      <c r="DH337" s="58">
        <f t="shared" si="459"/>
        <v>0.97911227154046998</v>
      </c>
      <c r="DI337" s="58">
        <f t="shared" si="460"/>
        <v>0.29416282642089092</v>
      </c>
      <c r="DJ337" s="59">
        <v>1302</v>
      </c>
      <c r="DK337" s="56">
        <f t="shared" si="461"/>
        <v>919</v>
      </c>
      <c r="DL337" s="59">
        <v>383</v>
      </c>
      <c r="DM337" s="59">
        <v>375</v>
      </c>
      <c r="DN337" s="59">
        <f t="shared" si="462"/>
        <v>8</v>
      </c>
      <c r="DO337" s="110" t="s">
        <v>90</v>
      </c>
      <c r="DQ337" s="116">
        <v>2020</v>
      </c>
      <c r="DR337" s="117" t="s">
        <v>45</v>
      </c>
      <c r="DS337" s="58"/>
      <c r="DT337" s="58"/>
      <c r="DU337" s="58"/>
      <c r="DV337" s="59"/>
      <c r="DW337" s="56"/>
      <c r="DX337" s="59"/>
      <c r="DY337" s="59"/>
      <c r="DZ337" s="59"/>
      <c r="EA337" s="90" t="s">
        <v>74</v>
      </c>
      <c r="EJ337" s="29"/>
      <c r="EK337" s="29"/>
      <c r="EL337" s="29"/>
    </row>
    <row r="338" spans="1:142">
      <c r="A338" s="116">
        <v>2020</v>
      </c>
      <c r="B338" s="117" t="s">
        <v>46</v>
      </c>
      <c r="C338" s="35">
        <f t="shared" si="423"/>
        <v>0.85124532433172151</v>
      </c>
      <c r="D338" s="35">
        <f t="shared" si="424"/>
        <v>0.98485328266835548</v>
      </c>
      <c r="E338" s="35">
        <f t="shared" si="425"/>
        <v>0.86433719551135846</v>
      </c>
      <c r="F338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21922</v>
      </c>
      <c r="G338" s="20">
        <f t="shared" si="426"/>
        <v>2974</v>
      </c>
      <c r="H338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18948</v>
      </c>
      <c r="I338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18661</v>
      </c>
      <c r="J338" s="20">
        <f t="shared" si="427"/>
        <v>287</v>
      </c>
      <c r="K338" s="59"/>
      <c r="M338" s="116">
        <v>2020</v>
      </c>
      <c r="N338" s="117" t="s">
        <v>46</v>
      </c>
      <c r="O338" s="58">
        <f t="shared" si="428"/>
        <v>0.88532979529946931</v>
      </c>
      <c r="P338" s="58">
        <f t="shared" si="429"/>
        <v>0.97760569275847631</v>
      </c>
      <c r="Q338" s="58">
        <f t="shared" si="430"/>
        <v>0.90561031084154664</v>
      </c>
      <c r="R338" s="59">
        <v>5276</v>
      </c>
      <c r="S338" s="56">
        <f t="shared" si="431"/>
        <v>498</v>
      </c>
      <c r="T338" s="59">
        <v>4778</v>
      </c>
      <c r="U338" s="59">
        <v>4671</v>
      </c>
      <c r="V338" s="59">
        <f t="shared" si="432"/>
        <v>107</v>
      </c>
      <c r="W338" s="59"/>
      <c r="X338" s="59"/>
      <c r="Y338" s="116"/>
      <c r="Z338" s="117"/>
      <c r="AA338" s="58"/>
      <c r="AB338" s="58"/>
      <c r="AC338" s="58"/>
      <c r="AD338" s="59"/>
      <c r="AE338" s="56"/>
      <c r="AF338" s="59"/>
      <c r="AG338" s="59"/>
      <c r="AH338" s="59"/>
      <c r="AI338" s="59"/>
      <c r="AK338" s="116">
        <v>2020</v>
      </c>
      <c r="AL338" s="117" t="s">
        <v>46</v>
      </c>
      <c r="AM338" s="58">
        <f t="shared" si="433"/>
        <v>0.95101088646967336</v>
      </c>
      <c r="AN338" s="58">
        <f t="shared" si="434"/>
        <v>0.98848252172155993</v>
      </c>
      <c r="AO338" s="58">
        <f t="shared" si="435"/>
        <v>0.96209175738724728</v>
      </c>
      <c r="AP338" s="59">
        <v>5144</v>
      </c>
      <c r="AQ338" s="56">
        <f t="shared" si="436"/>
        <v>195</v>
      </c>
      <c r="AR338" s="59">
        <v>4949</v>
      </c>
      <c r="AS338" s="59">
        <v>4892</v>
      </c>
      <c r="AT338" s="59">
        <f t="shared" si="437"/>
        <v>57</v>
      </c>
      <c r="AU338" s="59"/>
      <c r="AW338" s="116">
        <v>2020</v>
      </c>
      <c r="AX338" s="117" t="s">
        <v>46</v>
      </c>
      <c r="AY338" s="58">
        <f t="shared" si="438"/>
        <v>0.89865451388888884</v>
      </c>
      <c r="AZ338" s="58">
        <f t="shared" si="439"/>
        <v>0.98035037878787878</v>
      </c>
      <c r="BA338" s="58">
        <f t="shared" si="440"/>
        <v>0.91666666666666663</v>
      </c>
      <c r="BB338" s="59">
        <v>4608</v>
      </c>
      <c r="BC338" s="56">
        <f t="shared" si="441"/>
        <v>384</v>
      </c>
      <c r="BD338" s="59">
        <v>4224</v>
      </c>
      <c r="BE338" s="59">
        <v>4141</v>
      </c>
      <c r="BF338" s="59">
        <f t="shared" si="442"/>
        <v>83</v>
      </c>
      <c r="BG338" s="59"/>
      <c r="BI338" s="116">
        <v>2020</v>
      </c>
      <c r="BJ338" s="117" t="s">
        <v>46</v>
      </c>
      <c r="BK338" s="58">
        <f t="shared" si="443"/>
        <v>0.92579075425790758</v>
      </c>
      <c r="BL338" s="58">
        <f t="shared" si="444"/>
        <v>0.99304045237059591</v>
      </c>
      <c r="BM338" s="58">
        <f t="shared" si="445"/>
        <v>0.93227899432278993</v>
      </c>
      <c r="BN338" s="59">
        <v>2466</v>
      </c>
      <c r="BO338" s="56">
        <f t="shared" si="446"/>
        <v>167</v>
      </c>
      <c r="BP338" s="59">
        <v>2299</v>
      </c>
      <c r="BQ338" s="59">
        <v>2283</v>
      </c>
      <c r="BR338" s="59">
        <f t="shared" si="447"/>
        <v>16</v>
      </c>
      <c r="BS338" s="59"/>
      <c r="BU338" s="116">
        <v>2020</v>
      </c>
      <c r="BV338" s="117" t="s">
        <v>46</v>
      </c>
      <c r="BW338" s="58">
        <f t="shared" si="448"/>
        <v>0.87356321839080464</v>
      </c>
      <c r="BX338" s="58">
        <f t="shared" si="449"/>
        <v>0.98969072164948457</v>
      </c>
      <c r="BY338" s="58">
        <f t="shared" si="450"/>
        <v>0.8826628352490421</v>
      </c>
      <c r="BZ338" s="59">
        <v>2088</v>
      </c>
      <c r="CA338" s="56">
        <f t="shared" si="451"/>
        <v>245</v>
      </c>
      <c r="CB338" s="59">
        <v>1843</v>
      </c>
      <c r="CC338" s="59">
        <v>1824</v>
      </c>
      <c r="CD338" s="59">
        <f t="shared" si="452"/>
        <v>19</v>
      </c>
      <c r="CE338" s="59"/>
      <c r="CG338" s="116">
        <v>2020</v>
      </c>
      <c r="CH338" s="117" t="s">
        <v>46</v>
      </c>
      <c r="CI338" s="58">
        <f t="shared" si="453"/>
        <v>0.45555555555555555</v>
      </c>
      <c r="CJ338" s="58">
        <f t="shared" si="454"/>
        <v>0.99797160243407712</v>
      </c>
      <c r="CK338" s="58">
        <f t="shared" si="455"/>
        <v>0.45648148148148149</v>
      </c>
      <c r="CL338" s="59">
        <v>1080</v>
      </c>
      <c r="CM338" s="56">
        <f t="shared" si="456"/>
        <v>587</v>
      </c>
      <c r="CN338" s="59">
        <v>493</v>
      </c>
      <c r="CO338" s="59">
        <v>492</v>
      </c>
      <c r="CP338" s="59">
        <f t="shared" si="457"/>
        <v>1</v>
      </c>
      <c r="CQ338" s="59"/>
      <c r="CS338" s="116">
        <v>2020</v>
      </c>
      <c r="CT338" s="117" t="s">
        <v>46</v>
      </c>
      <c r="CU338" s="58"/>
      <c r="CV338" s="58"/>
      <c r="CW338" s="58"/>
      <c r="CX338" s="59"/>
      <c r="CY338" s="56"/>
      <c r="CZ338" s="59"/>
      <c r="DA338" s="59"/>
      <c r="DB338" s="59"/>
      <c r="DC338" s="90" t="s">
        <v>70</v>
      </c>
      <c r="DE338" s="116">
        <v>2020</v>
      </c>
      <c r="DF338" s="117" t="s">
        <v>46</v>
      </c>
      <c r="DG338" s="58">
        <f t="shared" si="458"/>
        <v>0.28412698412698412</v>
      </c>
      <c r="DH338" s="58">
        <f t="shared" si="459"/>
        <v>0.98895027624309395</v>
      </c>
      <c r="DI338" s="58">
        <f t="shared" si="460"/>
        <v>0.28730158730158728</v>
      </c>
      <c r="DJ338" s="59">
        <v>1260</v>
      </c>
      <c r="DK338" s="56">
        <f t="shared" si="461"/>
        <v>898</v>
      </c>
      <c r="DL338" s="59">
        <v>362</v>
      </c>
      <c r="DM338" s="59">
        <v>358</v>
      </c>
      <c r="DN338" s="59">
        <f t="shared" si="462"/>
        <v>4</v>
      </c>
      <c r="DO338" s="110" t="s">
        <v>90</v>
      </c>
      <c r="DQ338" s="116">
        <v>2020</v>
      </c>
      <c r="DR338" s="117" t="s">
        <v>46</v>
      </c>
      <c r="DS338" s="58"/>
      <c r="DT338" s="58"/>
      <c r="DU338" s="58"/>
      <c r="DV338" s="59"/>
      <c r="DW338" s="56"/>
      <c r="DX338" s="59"/>
      <c r="DY338" s="59"/>
      <c r="DZ338" s="59"/>
      <c r="EA338" s="90" t="s">
        <v>74</v>
      </c>
      <c r="EJ338" s="29"/>
      <c r="EK338" s="29"/>
      <c r="EL338" s="29"/>
    </row>
    <row r="339" spans="1:142">
      <c r="A339" s="116">
        <v>2020</v>
      </c>
      <c r="B339" s="117" t="s">
        <v>47</v>
      </c>
      <c r="C339" s="35">
        <f t="shared" si="423"/>
        <v>0.80924309243092429</v>
      </c>
      <c r="D339" s="35">
        <f t="shared" si="424"/>
        <v>0.97669997827503807</v>
      </c>
      <c r="E339" s="35">
        <f t="shared" si="425"/>
        <v>0.82854828548285486</v>
      </c>
      <c r="F339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22222</v>
      </c>
      <c r="G339" s="20">
        <f t="shared" si="426"/>
        <v>3810</v>
      </c>
      <c r="H339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18412</v>
      </c>
      <c r="I339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17983</v>
      </c>
      <c r="J339" s="20">
        <f t="shared" si="427"/>
        <v>429</v>
      </c>
      <c r="K339" s="59"/>
      <c r="M339" s="116">
        <v>2020</v>
      </c>
      <c r="N339" s="117" t="s">
        <v>47</v>
      </c>
      <c r="O339" s="58">
        <f t="shared" si="428"/>
        <v>0.8720798794272796</v>
      </c>
      <c r="P339" s="58">
        <f t="shared" si="429"/>
        <v>0.96841004184100421</v>
      </c>
      <c r="Q339" s="58">
        <f t="shared" si="430"/>
        <v>0.90052750565184625</v>
      </c>
      <c r="R339" s="59">
        <v>5308</v>
      </c>
      <c r="S339" s="56">
        <f t="shared" si="431"/>
        <v>528</v>
      </c>
      <c r="T339" s="59">
        <v>4780</v>
      </c>
      <c r="U339" s="59">
        <v>4629</v>
      </c>
      <c r="V339" s="59">
        <f t="shared" si="432"/>
        <v>151</v>
      </c>
      <c r="W339" s="59"/>
      <c r="X339" s="59"/>
      <c r="Y339" s="116"/>
      <c r="Z339" s="117"/>
      <c r="AA339" s="58"/>
      <c r="AB339" s="58"/>
      <c r="AC339" s="58"/>
      <c r="AD339" s="59"/>
      <c r="AE339" s="56"/>
      <c r="AF339" s="59"/>
      <c r="AG339" s="59"/>
      <c r="AH339" s="59"/>
      <c r="AI339" s="59"/>
      <c r="AK339" s="116">
        <v>2020</v>
      </c>
      <c r="AL339" s="117" t="s">
        <v>47</v>
      </c>
      <c r="AM339" s="58">
        <f t="shared" si="433"/>
        <v>0.94094944037051331</v>
      </c>
      <c r="AN339" s="58">
        <f t="shared" si="434"/>
        <v>0.98207452165156095</v>
      </c>
      <c r="AO339" s="58">
        <f t="shared" si="435"/>
        <v>0.95812427634118102</v>
      </c>
      <c r="AP339" s="59">
        <v>5182</v>
      </c>
      <c r="AQ339" s="56">
        <f t="shared" si="436"/>
        <v>217</v>
      </c>
      <c r="AR339" s="59">
        <v>4965</v>
      </c>
      <c r="AS339" s="59">
        <v>4876</v>
      </c>
      <c r="AT339" s="59">
        <f t="shared" si="437"/>
        <v>89</v>
      </c>
      <c r="AU339" s="59"/>
      <c r="AW339" s="116">
        <v>2020</v>
      </c>
      <c r="AX339" s="117" t="s">
        <v>47</v>
      </c>
      <c r="AY339" s="58">
        <f t="shared" si="438"/>
        <v>0.7735406902428632</v>
      </c>
      <c r="AZ339" s="58">
        <f t="shared" si="439"/>
        <v>0.96800853105838447</v>
      </c>
      <c r="BA339" s="58">
        <f t="shared" si="440"/>
        <v>0.7991052407328505</v>
      </c>
      <c r="BB339" s="59">
        <v>4694</v>
      </c>
      <c r="BC339" s="56">
        <f t="shared" si="441"/>
        <v>943</v>
      </c>
      <c r="BD339" s="59">
        <v>3751</v>
      </c>
      <c r="BE339" s="59">
        <v>3631</v>
      </c>
      <c r="BF339" s="59">
        <f t="shared" si="442"/>
        <v>120</v>
      </c>
      <c r="BG339" s="59"/>
      <c r="BI339" s="116">
        <v>2020</v>
      </c>
      <c r="BJ339" s="117" t="s">
        <v>47</v>
      </c>
      <c r="BK339" s="58">
        <f t="shared" si="443"/>
        <v>0.93170926517571884</v>
      </c>
      <c r="BL339" s="58">
        <f t="shared" si="444"/>
        <v>0.98688663282571909</v>
      </c>
      <c r="BM339" s="58">
        <f t="shared" si="445"/>
        <v>0.94408945686900958</v>
      </c>
      <c r="BN339" s="59">
        <v>2504</v>
      </c>
      <c r="BO339" s="56">
        <f t="shared" si="446"/>
        <v>140</v>
      </c>
      <c r="BP339" s="59">
        <v>2364</v>
      </c>
      <c r="BQ339" s="59">
        <v>2333</v>
      </c>
      <c r="BR339" s="59">
        <f t="shared" si="447"/>
        <v>31</v>
      </c>
      <c r="BS339" s="59"/>
      <c r="BU339" s="116">
        <v>2020</v>
      </c>
      <c r="BV339" s="117" t="s">
        <v>47</v>
      </c>
      <c r="BW339" s="58">
        <f t="shared" si="448"/>
        <v>0.79584120982986772</v>
      </c>
      <c r="BX339" s="58">
        <f t="shared" si="449"/>
        <v>0.98364485981308414</v>
      </c>
      <c r="BY339" s="58">
        <f t="shared" si="450"/>
        <v>0.80907372400756139</v>
      </c>
      <c r="BZ339" s="59">
        <v>2116</v>
      </c>
      <c r="CA339" s="56">
        <f t="shared" si="451"/>
        <v>404</v>
      </c>
      <c r="CB339" s="59">
        <v>1712</v>
      </c>
      <c r="CC339" s="59">
        <v>1684</v>
      </c>
      <c r="CD339" s="59">
        <f t="shared" si="452"/>
        <v>28</v>
      </c>
      <c r="CE339" s="59"/>
      <c r="CG339" s="116">
        <v>2020</v>
      </c>
      <c r="CH339" s="117" t="s">
        <v>47</v>
      </c>
      <c r="CI339" s="58">
        <f t="shared" si="453"/>
        <v>0.39784946236559138</v>
      </c>
      <c r="CJ339" s="58">
        <f t="shared" si="454"/>
        <v>0.9910714285714286</v>
      </c>
      <c r="CK339" s="58">
        <f t="shared" si="455"/>
        <v>0.40143369175627241</v>
      </c>
      <c r="CL339" s="59">
        <v>1116</v>
      </c>
      <c r="CM339" s="56">
        <f t="shared" si="456"/>
        <v>668</v>
      </c>
      <c r="CN339" s="59">
        <v>448</v>
      </c>
      <c r="CO339" s="59">
        <v>444</v>
      </c>
      <c r="CP339" s="59">
        <f t="shared" si="457"/>
        <v>4</v>
      </c>
      <c r="CQ339" s="59"/>
      <c r="CS339" s="116">
        <v>2020</v>
      </c>
      <c r="CT339" s="117" t="s">
        <v>47</v>
      </c>
      <c r="CU339" s="58"/>
      <c r="CV339" s="58"/>
      <c r="CW339" s="58"/>
      <c r="CX339" s="59"/>
      <c r="CY339" s="56"/>
      <c r="CZ339" s="59"/>
      <c r="DA339" s="59"/>
      <c r="DB339" s="59"/>
      <c r="DC339" s="90" t="s">
        <v>70</v>
      </c>
      <c r="DE339" s="116">
        <v>2020</v>
      </c>
      <c r="DF339" s="117" t="s">
        <v>47</v>
      </c>
      <c r="DG339" s="58">
        <f t="shared" si="458"/>
        <v>0.2964669738863287</v>
      </c>
      <c r="DH339" s="58">
        <f t="shared" si="459"/>
        <v>0.98469387755102045</v>
      </c>
      <c r="DI339" s="58">
        <f t="shared" si="460"/>
        <v>0.30107526881720431</v>
      </c>
      <c r="DJ339" s="59">
        <v>1302</v>
      </c>
      <c r="DK339" s="56">
        <f t="shared" si="461"/>
        <v>910</v>
      </c>
      <c r="DL339" s="59">
        <v>392</v>
      </c>
      <c r="DM339" s="59">
        <v>386</v>
      </c>
      <c r="DN339" s="59">
        <f t="shared" si="462"/>
        <v>6</v>
      </c>
      <c r="DO339" s="110" t="s">
        <v>90</v>
      </c>
      <c r="DQ339" s="116">
        <v>2020</v>
      </c>
      <c r="DR339" s="117" t="s">
        <v>47</v>
      </c>
      <c r="DS339" s="58"/>
      <c r="DT339" s="58"/>
      <c r="DU339" s="58"/>
      <c r="DV339" s="59"/>
      <c r="DW339" s="56"/>
      <c r="DX339" s="59"/>
      <c r="DY339" s="59"/>
      <c r="DZ339" s="59"/>
      <c r="EA339" s="90" t="s">
        <v>74</v>
      </c>
      <c r="EJ339" s="29"/>
      <c r="EK339" s="29"/>
      <c r="EL339" s="29"/>
    </row>
    <row r="340" spans="1:142">
      <c r="A340" s="116">
        <v>2020</v>
      </c>
      <c r="B340" s="117" t="s">
        <v>48</v>
      </c>
      <c r="C340" s="35">
        <f t="shared" si="423"/>
        <v>0.78012983347445664</v>
      </c>
      <c r="D340" s="35">
        <f t="shared" si="424"/>
        <v>0.96784359498103301</v>
      </c>
      <c r="E340" s="35">
        <f t="shared" si="425"/>
        <v>0.8060494872518581</v>
      </c>
      <c r="F340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21258</v>
      </c>
      <c r="G340" s="20">
        <f t="shared" si="426"/>
        <v>4123</v>
      </c>
      <c r="H340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17135</v>
      </c>
      <c r="I340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16584</v>
      </c>
      <c r="J340" s="20">
        <f t="shared" si="427"/>
        <v>551</v>
      </c>
      <c r="K340" s="59"/>
      <c r="M340" s="116">
        <v>2020</v>
      </c>
      <c r="N340" s="117" t="s">
        <v>48</v>
      </c>
      <c r="O340" s="58">
        <f t="shared" si="428"/>
        <v>0.74169960474308305</v>
      </c>
      <c r="P340" s="58">
        <f t="shared" si="429"/>
        <v>0.9491654021244309</v>
      </c>
      <c r="Q340" s="58">
        <f t="shared" si="430"/>
        <v>0.78142292490118581</v>
      </c>
      <c r="R340" s="59">
        <v>5060</v>
      </c>
      <c r="S340" s="56">
        <f t="shared" si="431"/>
        <v>1106</v>
      </c>
      <c r="T340" s="59">
        <v>3954</v>
      </c>
      <c r="U340" s="59">
        <v>3753</v>
      </c>
      <c r="V340" s="59">
        <f t="shared" si="432"/>
        <v>201</v>
      </c>
      <c r="W340" s="59"/>
      <c r="X340" s="59"/>
      <c r="Y340" s="116"/>
      <c r="Z340" s="117"/>
      <c r="AA340" s="58"/>
      <c r="AB340" s="58"/>
      <c r="AC340" s="58"/>
      <c r="AD340" s="59"/>
      <c r="AE340" s="56"/>
      <c r="AF340" s="59"/>
      <c r="AG340" s="59"/>
      <c r="AH340" s="59"/>
      <c r="AI340" s="59"/>
      <c r="AK340" s="116">
        <v>2020</v>
      </c>
      <c r="AL340" s="117" t="s">
        <v>48</v>
      </c>
      <c r="AM340" s="58">
        <f t="shared" si="433"/>
        <v>0.94073624595469252</v>
      </c>
      <c r="AN340" s="58">
        <f t="shared" si="434"/>
        <v>0.98496399830580261</v>
      </c>
      <c r="AO340" s="58">
        <f t="shared" si="435"/>
        <v>0.95509708737864074</v>
      </c>
      <c r="AP340" s="59">
        <v>4944</v>
      </c>
      <c r="AQ340" s="56">
        <f t="shared" si="436"/>
        <v>222</v>
      </c>
      <c r="AR340" s="59">
        <v>4722</v>
      </c>
      <c r="AS340" s="59">
        <v>4651</v>
      </c>
      <c r="AT340" s="59">
        <f t="shared" si="437"/>
        <v>71</v>
      </c>
      <c r="AU340" s="59"/>
      <c r="AW340" s="116">
        <v>2020</v>
      </c>
      <c r="AX340" s="117" t="s">
        <v>48</v>
      </c>
      <c r="AY340" s="58">
        <f t="shared" si="438"/>
        <v>0.77402135231316727</v>
      </c>
      <c r="AZ340" s="58">
        <f t="shared" si="439"/>
        <v>0.95342465753424654</v>
      </c>
      <c r="BA340" s="58">
        <f t="shared" si="440"/>
        <v>0.81183274021352314</v>
      </c>
      <c r="BB340" s="59">
        <v>4496</v>
      </c>
      <c r="BC340" s="56">
        <f t="shared" si="441"/>
        <v>846</v>
      </c>
      <c r="BD340" s="59">
        <v>3650</v>
      </c>
      <c r="BE340" s="59">
        <v>3480</v>
      </c>
      <c r="BF340" s="59">
        <f t="shared" si="442"/>
        <v>170</v>
      </c>
      <c r="BG340" s="59"/>
      <c r="BI340" s="116">
        <v>2020</v>
      </c>
      <c r="BJ340" s="117" t="s">
        <v>48</v>
      </c>
      <c r="BK340" s="58">
        <f t="shared" si="443"/>
        <v>0.91311612364243944</v>
      </c>
      <c r="BL340" s="58">
        <f t="shared" si="444"/>
        <v>0.98070883804396591</v>
      </c>
      <c r="BM340" s="58">
        <f t="shared" si="445"/>
        <v>0.93107769423558895</v>
      </c>
      <c r="BN340" s="59">
        <v>2394</v>
      </c>
      <c r="BO340" s="56">
        <f t="shared" si="446"/>
        <v>165</v>
      </c>
      <c r="BP340" s="59">
        <v>2229</v>
      </c>
      <c r="BQ340" s="59">
        <v>2186</v>
      </c>
      <c r="BR340" s="59">
        <f t="shared" si="447"/>
        <v>43</v>
      </c>
      <c r="BS340" s="59"/>
      <c r="BU340" s="116">
        <v>2020</v>
      </c>
      <c r="BV340" s="117" t="s">
        <v>48</v>
      </c>
      <c r="BW340" s="58">
        <f t="shared" si="448"/>
        <v>0.80780632411067199</v>
      </c>
      <c r="BX340" s="58">
        <f t="shared" si="449"/>
        <v>0.97553699284009543</v>
      </c>
      <c r="BY340" s="58">
        <f t="shared" si="450"/>
        <v>0.82806324110671936</v>
      </c>
      <c r="BZ340" s="59">
        <v>2024</v>
      </c>
      <c r="CA340" s="56">
        <f t="shared" si="451"/>
        <v>348</v>
      </c>
      <c r="CB340" s="59">
        <v>1676</v>
      </c>
      <c r="CC340" s="59">
        <v>1635</v>
      </c>
      <c r="CD340" s="59">
        <f t="shared" si="452"/>
        <v>41</v>
      </c>
      <c r="CE340" s="59"/>
      <c r="CG340" s="116">
        <v>2020</v>
      </c>
      <c r="CH340" s="117" t="s">
        <v>48</v>
      </c>
      <c r="CI340" s="58">
        <f t="shared" si="453"/>
        <v>0.38611111111111113</v>
      </c>
      <c r="CJ340" s="58">
        <f t="shared" si="454"/>
        <v>0.97658079625292737</v>
      </c>
      <c r="CK340" s="58">
        <f t="shared" si="455"/>
        <v>0.39537037037037037</v>
      </c>
      <c r="CL340" s="59">
        <v>1080</v>
      </c>
      <c r="CM340" s="56">
        <f t="shared" si="456"/>
        <v>653</v>
      </c>
      <c r="CN340" s="59">
        <v>427</v>
      </c>
      <c r="CO340" s="59">
        <v>417</v>
      </c>
      <c r="CP340" s="59">
        <f t="shared" si="457"/>
        <v>10</v>
      </c>
      <c r="CQ340" s="59"/>
      <c r="CS340" s="116">
        <v>2020</v>
      </c>
      <c r="CT340" s="117" t="s">
        <v>48</v>
      </c>
      <c r="CU340" s="58"/>
      <c r="CV340" s="58"/>
      <c r="CW340" s="58"/>
      <c r="CX340" s="59"/>
      <c r="CY340" s="56"/>
      <c r="CZ340" s="59"/>
      <c r="DA340" s="59"/>
      <c r="DB340" s="59"/>
      <c r="DC340" s="105" t="s">
        <v>70</v>
      </c>
      <c r="DE340" s="116">
        <v>2020</v>
      </c>
      <c r="DF340" s="117" t="s">
        <v>48</v>
      </c>
      <c r="DG340" s="58">
        <f t="shared" si="458"/>
        <v>0.36666666666666664</v>
      </c>
      <c r="DH340" s="58">
        <f t="shared" si="459"/>
        <v>0.96855345911949686</v>
      </c>
      <c r="DI340" s="58">
        <f t="shared" si="460"/>
        <v>0.37857142857142856</v>
      </c>
      <c r="DJ340" s="59">
        <v>1260</v>
      </c>
      <c r="DK340" s="56">
        <f t="shared" si="461"/>
        <v>783</v>
      </c>
      <c r="DL340" s="59">
        <v>477</v>
      </c>
      <c r="DM340" s="59">
        <v>462</v>
      </c>
      <c r="DN340" s="59">
        <f t="shared" si="462"/>
        <v>15</v>
      </c>
      <c r="DO340" s="105" t="s">
        <v>91</v>
      </c>
      <c r="DQ340" s="116">
        <v>2020</v>
      </c>
      <c r="DR340" s="117" t="s">
        <v>48</v>
      </c>
      <c r="DS340" s="58"/>
      <c r="DT340" s="58"/>
      <c r="DU340" s="58"/>
      <c r="DV340" s="59"/>
      <c r="DW340" s="56"/>
      <c r="DX340" s="59"/>
      <c r="DY340" s="59"/>
      <c r="DZ340" s="59"/>
      <c r="EA340" s="109" t="s">
        <v>89</v>
      </c>
      <c r="EJ340" s="29"/>
      <c r="EK340" s="29"/>
      <c r="EL340" s="29"/>
    </row>
    <row r="341" spans="1:142">
      <c r="A341" s="116">
        <v>2020</v>
      </c>
      <c r="B341" s="117" t="s">
        <v>49</v>
      </c>
      <c r="C341" s="35">
        <f t="shared" si="423"/>
        <v>0.76866393404872657</v>
      </c>
      <c r="D341" s="35">
        <f t="shared" si="424"/>
        <v>0.95213645958126536</v>
      </c>
      <c r="E341" s="35">
        <f t="shared" si="425"/>
        <v>0.80730437986459724</v>
      </c>
      <c r="F341" s="20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21713</v>
      </c>
      <c r="G341" s="20">
        <f t="shared" si="426"/>
        <v>4184</v>
      </c>
      <c r="H341" s="2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17529</v>
      </c>
      <c r="I341" s="20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16690</v>
      </c>
      <c r="J341" s="20">
        <f t="shared" si="427"/>
        <v>839</v>
      </c>
      <c r="K341" s="59"/>
      <c r="M341" s="116">
        <v>2020</v>
      </c>
      <c r="N341" s="117" t="s">
        <v>49</v>
      </c>
      <c r="O341" s="58">
        <f t="shared" si="428"/>
        <v>0.72268573698847838</v>
      </c>
      <c r="P341" s="58">
        <f t="shared" si="429"/>
        <v>0.92593535250699921</v>
      </c>
      <c r="Q341" s="58">
        <f t="shared" si="430"/>
        <v>0.78049264998013512</v>
      </c>
      <c r="R341" s="59">
        <v>5034</v>
      </c>
      <c r="S341" s="56">
        <f t="shared" si="431"/>
        <v>1105</v>
      </c>
      <c r="T341" s="59">
        <v>3929</v>
      </c>
      <c r="U341" s="59">
        <v>3638</v>
      </c>
      <c r="V341" s="59">
        <f t="shared" si="432"/>
        <v>291</v>
      </c>
      <c r="W341" s="59"/>
      <c r="X341" s="59"/>
      <c r="Y341" s="116"/>
      <c r="Z341" s="117"/>
      <c r="AA341" s="58"/>
      <c r="AB341" s="58"/>
      <c r="AC341" s="58"/>
      <c r="AD341" s="59"/>
      <c r="AE341" s="56"/>
      <c r="AF341" s="59"/>
      <c r="AG341" s="59"/>
      <c r="AH341" s="59"/>
      <c r="AI341" s="59"/>
      <c r="AK341" s="116">
        <v>2020</v>
      </c>
      <c r="AL341" s="117" t="s">
        <v>49</v>
      </c>
      <c r="AM341" s="58">
        <f t="shared" si="433"/>
        <v>0.90158279220779225</v>
      </c>
      <c r="AN341" s="58">
        <f t="shared" si="434"/>
        <v>0.9705111402359109</v>
      </c>
      <c r="AO341" s="58">
        <f t="shared" si="435"/>
        <v>0.92897727272727271</v>
      </c>
      <c r="AP341" s="59">
        <v>4928</v>
      </c>
      <c r="AQ341" s="56">
        <f t="shared" si="436"/>
        <v>350</v>
      </c>
      <c r="AR341" s="59">
        <v>4578</v>
      </c>
      <c r="AS341" s="59">
        <v>4443</v>
      </c>
      <c r="AT341" s="59">
        <f t="shared" si="437"/>
        <v>135</v>
      </c>
      <c r="AU341" s="59"/>
      <c r="AW341" s="116">
        <v>2020</v>
      </c>
      <c r="AX341" s="117" t="s">
        <v>49</v>
      </c>
      <c r="AY341" s="58">
        <f t="shared" si="438"/>
        <v>0.81798245614035092</v>
      </c>
      <c r="AZ341" s="58">
        <f t="shared" si="439"/>
        <v>0.9426333080616629</v>
      </c>
      <c r="BA341" s="58">
        <f t="shared" si="440"/>
        <v>0.86776315789473679</v>
      </c>
      <c r="BB341" s="59">
        <v>4560</v>
      </c>
      <c r="BC341" s="56">
        <f t="shared" si="441"/>
        <v>603</v>
      </c>
      <c r="BD341" s="59">
        <v>3957</v>
      </c>
      <c r="BE341" s="59">
        <v>3730</v>
      </c>
      <c r="BF341" s="59">
        <f t="shared" si="442"/>
        <v>227</v>
      </c>
      <c r="BG341" s="59"/>
      <c r="BI341" s="116">
        <v>2020</v>
      </c>
      <c r="BJ341" s="117" t="s">
        <v>49</v>
      </c>
      <c r="BK341" s="58">
        <f t="shared" si="443"/>
        <v>0.85578903996703748</v>
      </c>
      <c r="BL341" s="58">
        <f t="shared" si="444"/>
        <v>0.95670198065407641</v>
      </c>
      <c r="BM341" s="58">
        <f t="shared" si="445"/>
        <v>0.8945199835187474</v>
      </c>
      <c r="BN341" s="59">
        <v>2427</v>
      </c>
      <c r="BO341" s="56">
        <f t="shared" si="446"/>
        <v>256</v>
      </c>
      <c r="BP341" s="59">
        <v>2171</v>
      </c>
      <c r="BQ341" s="59">
        <v>2077</v>
      </c>
      <c r="BR341" s="59">
        <f t="shared" si="447"/>
        <v>94</v>
      </c>
      <c r="BS341" s="59"/>
      <c r="BU341" s="116">
        <v>2020</v>
      </c>
      <c r="BV341" s="117" t="s">
        <v>49</v>
      </c>
      <c r="BW341" s="58">
        <f t="shared" si="448"/>
        <v>0.80746561886051083</v>
      </c>
      <c r="BX341" s="58">
        <f t="shared" si="449"/>
        <v>0.95525857059848929</v>
      </c>
      <c r="BY341" s="58">
        <f t="shared" si="450"/>
        <v>0.8452848722986247</v>
      </c>
      <c r="BZ341" s="59">
        <v>2036</v>
      </c>
      <c r="CA341" s="56">
        <f t="shared" si="451"/>
        <v>315</v>
      </c>
      <c r="CB341" s="59">
        <v>1721</v>
      </c>
      <c r="CC341" s="59">
        <v>1644</v>
      </c>
      <c r="CD341" s="59">
        <f t="shared" si="452"/>
        <v>77</v>
      </c>
      <c r="CE341" s="59"/>
      <c r="CG341" s="116">
        <v>2020</v>
      </c>
      <c r="CH341" s="117" t="s">
        <v>49</v>
      </c>
      <c r="CI341" s="58">
        <f t="shared" si="453"/>
        <v>0.47043010752688175</v>
      </c>
      <c r="CJ341" s="58">
        <f t="shared" si="454"/>
        <v>0.99243856332703217</v>
      </c>
      <c r="CK341" s="58">
        <f t="shared" si="455"/>
        <v>0.47401433691756273</v>
      </c>
      <c r="CL341" s="59">
        <v>1116</v>
      </c>
      <c r="CM341" s="56">
        <f t="shared" si="456"/>
        <v>587</v>
      </c>
      <c r="CN341" s="59">
        <v>529</v>
      </c>
      <c r="CO341" s="59">
        <v>525</v>
      </c>
      <c r="CP341" s="59">
        <f t="shared" si="457"/>
        <v>4</v>
      </c>
      <c r="CQ341" s="59"/>
      <c r="CS341" s="116">
        <v>2020</v>
      </c>
      <c r="CT341" s="117" t="s">
        <v>49</v>
      </c>
      <c r="CU341" s="35"/>
      <c r="CV341" s="35"/>
      <c r="CW341" s="35"/>
      <c r="CX341" s="59"/>
      <c r="CY341" s="27"/>
      <c r="CZ341" s="59"/>
      <c r="DA341" s="59"/>
      <c r="DB341" s="20"/>
      <c r="DC341" s="154" t="s">
        <v>70</v>
      </c>
      <c r="DE341" s="116">
        <v>2020</v>
      </c>
      <c r="DF341" s="117" t="s">
        <v>49</v>
      </c>
      <c r="DG341" s="58">
        <f t="shared" ref="DG341:DG347" si="463">DM341/DJ341</f>
        <v>0.43471582181259599</v>
      </c>
      <c r="DH341" s="58">
        <f t="shared" ref="DH341:DH347" si="464">DM341/DL341</f>
        <v>0.98263888888888884</v>
      </c>
      <c r="DI341" s="58">
        <f t="shared" ref="DI341:DI347" si="465">DL341/DJ341</f>
        <v>0.44239631336405533</v>
      </c>
      <c r="DJ341" s="59">
        <v>1302</v>
      </c>
      <c r="DK341" s="56">
        <f t="shared" ref="DK341:DK349" si="466">DJ341-DL341</f>
        <v>726</v>
      </c>
      <c r="DL341" s="59">
        <v>576</v>
      </c>
      <c r="DM341" s="59">
        <v>566</v>
      </c>
      <c r="DN341" s="59">
        <f t="shared" ref="DN341:DN347" si="467">DL341-DM341</f>
        <v>10</v>
      </c>
      <c r="DO341" s="105" t="s">
        <v>91</v>
      </c>
      <c r="DQ341" s="116">
        <v>2020</v>
      </c>
      <c r="DR341" s="117" t="s">
        <v>49</v>
      </c>
      <c r="DS341" s="58">
        <f t="shared" ref="DS341:DS347" si="468">DY341/DV341</f>
        <v>0.21612903225806451</v>
      </c>
      <c r="DT341" s="58">
        <f t="shared" ref="DT341:DT347" si="469">DY341/DX341</f>
        <v>0.98529411764705888</v>
      </c>
      <c r="DU341" s="58">
        <f t="shared" ref="DU341:DU347" si="470">DX341/DV341</f>
        <v>0.21935483870967742</v>
      </c>
      <c r="DV341" s="59">
        <v>310</v>
      </c>
      <c r="DW341" s="56">
        <f t="shared" ref="DW341:DW349" si="471">DV341-DX341</f>
        <v>242</v>
      </c>
      <c r="DX341" s="59">
        <v>68</v>
      </c>
      <c r="DY341" s="59">
        <v>67</v>
      </c>
      <c r="DZ341" s="59">
        <f t="shared" ref="DZ341:DZ347" si="472">DX341-DY341</f>
        <v>1</v>
      </c>
      <c r="EA341" s="109" t="s">
        <v>89</v>
      </c>
      <c r="EJ341" s="29"/>
      <c r="EK341" s="29"/>
      <c r="EL341" s="29"/>
    </row>
    <row r="342" spans="1:142">
      <c r="A342" s="116">
        <v>2021</v>
      </c>
      <c r="B342" s="117" t="s">
        <v>38</v>
      </c>
      <c r="C342" s="101">
        <f t="shared" ref="C342:C343" si="473">I342/F342</f>
        <v>0.82796522365872338</v>
      </c>
      <c r="D342" s="101">
        <f t="shared" ref="D342:D343" si="474">I342/H342</f>
        <v>0.96614802354920104</v>
      </c>
      <c r="E342" s="101">
        <f t="shared" ref="E342:E343" si="475">H342/F342</f>
        <v>0.85697553943871341</v>
      </c>
      <c r="F342" s="59">
        <f t="shared" ref="F342:F343" si="476">+R342+AP342+BB342+BZ342+CL342+CX342+DJ342+BN342+DV342</f>
        <v>22199</v>
      </c>
      <c r="G342" s="56">
        <f t="shared" ref="G342:G343" si="477">F342-H342</f>
        <v>3175</v>
      </c>
      <c r="H342" s="59">
        <f t="shared" ref="H342:H343" si="478">+T342+AR342+BD342+CB342+CN342+CZ342+DL342+BP342+DX342</f>
        <v>19024</v>
      </c>
      <c r="I342" s="59">
        <f t="shared" ref="I342:I343" si="479">+U342+AS342+BE342+CC342+CO342+DA342+DM342+BQ342+DY342</f>
        <v>18380</v>
      </c>
      <c r="J342" s="59">
        <f t="shared" ref="J342:J343" si="480">H342-I342</f>
        <v>644</v>
      </c>
      <c r="K342" s="59"/>
      <c r="M342" s="116">
        <v>2021</v>
      </c>
      <c r="N342" s="117" t="s">
        <v>38</v>
      </c>
      <c r="O342" s="58">
        <f t="shared" ref="O342:O347" si="481">U342/R342</f>
        <v>0.86846153846153851</v>
      </c>
      <c r="P342" s="58">
        <f t="shared" ref="P342:P347" si="482">U342/T342</f>
        <v>0.96187433439829606</v>
      </c>
      <c r="Q342" s="58">
        <f t="shared" ref="Q342:Q347" si="483">T342/R342</f>
        <v>0.9028846153846154</v>
      </c>
      <c r="R342" s="59">
        <v>5200</v>
      </c>
      <c r="S342" s="56">
        <f t="shared" ref="S342:S349" si="484">R342-T342</f>
        <v>505</v>
      </c>
      <c r="T342" s="59">
        <v>4695</v>
      </c>
      <c r="U342" s="59">
        <v>4516</v>
      </c>
      <c r="V342" s="59">
        <f t="shared" ref="V342:V347" si="485">T342-U342</f>
        <v>179</v>
      </c>
      <c r="W342" s="59"/>
      <c r="Y342" s="114"/>
      <c r="Z342" s="115"/>
      <c r="AA342" s="58"/>
      <c r="AB342" s="58"/>
      <c r="AC342" s="58"/>
      <c r="AD342" s="59"/>
      <c r="AE342" s="56"/>
      <c r="AF342" s="59"/>
      <c r="AG342" s="59"/>
      <c r="AH342" s="59"/>
      <c r="AI342" s="59"/>
      <c r="AK342" s="116">
        <v>2021</v>
      </c>
      <c r="AL342" s="117" t="s">
        <v>38</v>
      </c>
      <c r="AM342" s="58">
        <f t="shared" ref="AM342:AM347" si="486">AS342/AP342</f>
        <v>0.92012590989573084</v>
      </c>
      <c r="AN342" s="58">
        <f t="shared" ref="AN342:AN347" si="487">AS342/AR342</f>
        <v>0.97234927234927238</v>
      </c>
      <c r="AO342" s="58">
        <f t="shared" ref="AO342:AO347" si="488">AR342/AP342</f>
        <v>0.94629156010230175</v>
      </c>
      <c r="AP342" s="59">
        <v>5083</v>
      </c>
      <c r="AQ342" s="56">
        <f t="shared" ref="AQ342:AQ349" si="489">AP342-AR342</f>
        <v>273</v>
      </c>
      <c r="AR342" s="59">
        <v>4810</v>
      </c>
      <c r="AS342" s="59">
        <v>4677</v>
      </c>
      <c r="AT342" s="59">
        <f t="shared" ref="AT342:AT347" si="490">AR342-AS342</f>
        <v>133</v>
      </c>
      <c r="AU342" s="59"/>
      <c r="AW342" s="116">
        <v>2021</v>
      </c>
      <c r="AX342" s="117" t="s">
        <v>38</v>
      </c>
      <c r="AY342" s="58">
        <f t="shared" ref="AY342:AY347" si="491">BE342/BB342</f>
        <v>0.86130284728213979</v>
      </c>
      <c r="AZ342" s="58">
        <f t="shared" ref="AZ342:AZ347" si="492">BE342/BD342</f>
        <v>0.955491744436468</v>
      </c>
      <c r="BA342" s="58">
        <f t="shared" ref="BA342:BA347" si="493">BD342/BB342</f>
        <v>0.90142364106988782</v>
      </c>
      <c r="BB342" s="59">
        <v>4636</v>
      </c>
      <c r="BC342" s="56">
        <f t="shared" ref="BC342:BC349" si="494">BB342-BD342</f>
        <v>457</v>
      </c>
      <c r="BD342" s="59">
        <v>4179</v>
      </c>
      <c r="BE342" s="59">
        <v>3993</v>
      </c>
      <c r="BF342" s="59">
        <f t="shared" ref="BF342:BF347" si="495">BD342-BE342</f>
        <v>186</v>
      </c>
      <c r="BG342" s="59"/>
      <c r="BI342" s="116">
        <v>2021</v>
      </c>
      <c r="BJ342" s="117" t="s">
        <v>38</v>
      </c>
      <c r="BK342" s="58">
        <f t="shared" ref="BK342:BK347" si="496">BQ342/BN342</f>
        <v>0.88492706645056729</v>
      </c>
      <c r="BL342" s="58">
        <f t="shared" ref="BL342:BL347" si="497">BQ342/BP342</f>
        <v>0.97369594293357109</v>
      </c>
      <c r="BM342" s="58">
        <f t="shared" ref="BM342:BM347" si="498">BP342/BN342</f>
        <v>0.9088330632090762</v>
      </c>
      <c r="BN342" s="59">
        <v>2468</v>
      </c>
      <c r="BO342" s="56">
        <f t="shared" ref="BO342:BO349" si="499">BN342-BP342</f>
        <v>225</v>
      </c>
      <c r="BP342" s="59">
        <v>2243</v>
      </c>
      <c r="BQ342" s="59">
        <v>2184</v>
      </c>
      <c r="BR342" s="59">
        <f t="shared" ref="BR342:BR347" si="500">BP342-BQ342</f>
        <v>59</v>
      </c>
      <c r="BS342" s="59"/>
      <c r="BU342" s="116">
        <v>2021</v>
      </c>
      <c r="BV342" s="117" t="s">
        <v>38</v>
      </c>
      <c r="BW342" s="58">
        <f t="shared" ref="BW342:BW347" si="501">CC342/BZ342</f>
        <v>0.87284069097888672</v>
      </c>
      <c r="BX342" s="58">
        <f t="shared" ref="BX342:BX347" si="502">CC342/CB342</f>
        <v>0.96345338983050843</v>
      </c>
      <c r="BY342" s="58">
        <f t="shared" ref="BY342:BY347" si="503">CB342/BZ342</f>
        <v>0.90595009596928988</v>
      </c>
      <c r="BZ342" s="59">
        <v>2084</v>
      </c>
      <c r="CA342" s="56">
        <f t="shared" ref="CA342:CA349" si="504">BZ342-CB342</f>
        <v>196</v>
      </c>
      <c r="CB342" s="59">
        <v>1888</v>
      </c>
      <c r="CC342" s="59">
        <v>1819</v>
      </c>
      <c r="CD342" s="59">
        <f t="shared" ref="CD342:CD347" si="505">CB342-CC342</f>
        <v>69</v>
      </c>
      <c r="CE342" s="59"/>
      <c r="CG342" s="116">
        <v>2021</v>
      </c>
      <c r="CH342" s="117" t="s">
        <v>38</v>
      </c>
      <c r="CI342" s="58">
        <f t="shared" ref="CI342:CI347" si="506">CO342/CL342</f>
        <v>0.48028673835125446</v>
      </c>
      <c r="CJ342" s="58">
        <f t="shared" ref="CJ342:CJ347" si="507">CO342/CN342</f>
        <v>0.98710865561694294</v>
      </c>
      <c r="CK342" s="58">
        <f t="shared" ref="CK342:CK347" si="508">CN342/CL342</f>
        <v>0.48655913978494625</v>
      </c>
      <c r="CL342" s="59">
        <v>1116</v>
      </c>
      <c r="CM342" s="56">
        <f t="shared" ref="CM342:CM349" si="509">CL342-CN342</f>
        <v>573</v>
      </c>
      <c r="CN342" s="59">
        <v>543</v>
      </c>
      <c r="CO342" s="59">
        <v>536</v>
      </c>
      <c r="CP342" s="59">
        <f t="shared" ref="CP342:CP347" si="510">CN342-CO342</f>
        <v>7</v>
      </c>
      <c r="CQ342" s="59"/>
      <c r="CS342" s="116">
        <v>2021</v>
      </c>
      <c r="CT342" s="117" t="s">
        <v>38</v>
      </c>
      <c r="CU342" s="58"/>
      <c r="CV342" s="58"/>
      <c r="CW342" s="58"/>
      <c r="CX342" s="59"/>
      <c r="CY342" s="56"/>
      <c r="CZ342" s="59"/>
      <c r="DA342" s="59"/>
      <c r="DB342" s="59"/>
      <c r="DC342" s="154" t="s">
        <v>70</v>
      </c>
      <c r="DE342" s="116">
        <v>2021</v>
      </c>
      <c r="DF342" s="117" t="s">
        <v>38</v>
      </c>
      <c r="DG342" s="58">
        <f t="shared" si="463"/>
        <v>0.44393241167434716</v>
      </c>
      <c r="DH342" s="58">
        <f t="shared" si="464"/>
        <v>0.98299319727891155</v>
      </c>
      <c r="DI342" s="58">
        <f t="shared" si="465"/>
        <v>0.45161290322580644</v>
      </c>
      <c r="DJ342" s="59">
        <v>1302</v>
      </c>
      <c r="DK342" s="56">
        <f t="shared" si="466"/>
        <v>714</v>
      </c>
      <c r="DL342" s="59">
        <v>588</v>
      </c>
      <c r="DM342" s="59">
        <v>578</v>
      </c>
      <c r="DN342" s="59">
        <f t="shared" si="467"/>
        <v>10</v>
      </c>
      <c r="DO342" s="59"/>
      <c r="DQ342" s="116">
        <v>2021</v>
      </c>
      <c r="DR342" s="117" t="s">
        <v>38</v>
      </c>
      <c r="DS342" s="58">
        <f t="shared" si="468"/>
        <v>0.24838709677419354</v>
      </c>
      <c r="DT342" s="58">
        <f t="shared" si="469"/>
        <v>0.98717948717948723</v>
      </c>
      <c r="DU342" s="58">
        <f t="shared" si="470"/>
        <v>0.25161290322580643</v>
      </c>
      <c r="DV342" s="59">
        <v>310</v>
      </c>
      <c r="DW342" s="56">
        <f t="shared" si="471"/>
        <v>232</v>
      </c>
      <c r="DX342" s="59">
        <v>78</v>
      </c>
      <c r="DY342" s="59">
        <v>77</v>
      </c>
      <c r="DZ342" s="59">
        <f t="shared" si="472"/>
        <v>1</v>
      </c>
      <c r="EA342" s="109" t="s">
        <v>89</v>
      </c>
    </row>
    <row r="343" spans="1:142">
      <c r="A343" s="116">
        <v>2021</v>
      </c>
      <c r="B343" s="117" t="s">
        <v>39</v>
      </c>
      <c r="C343" s="101">
        <f t="shared" si="473"/>
        <v>0.83447826304969164</v>
      </c>
      <c r="D343" s="101">
        <f t="shared" si="474"/>
        <v>0.96620993961913604</v>
      </c>
      <c r="E343" s="101">
        <f t="shared" si="475"/>
        <v>0.86366143509000648</v>
      </c>
      <c r="F343" s="59">
        <f t="shared" si="476"/>
        <v>19943</v>
      </c>
      <c r="G343" s="56">
        <f t="shared" si="477"/>
        <v>2719</v>
      </c>
      <c r="H343" s="59">
        <f t="shared" si="478"/>
        <v>17224</v>
      </c>
      <c r="I343" s="59">
        <f t="shared" si="479"/>
        <v>16642</v>
      </c>
      <c r="J343" s="59">
        <f t="shared" si="480"/>
        <v>582</v>
      </c>
      <c r="K343" s="59"/>
      <c r="M343" s="116">
        <v>2021</v>
      </c>
      <c r="N343" s="117" t="s">
        <v>39</v>
      </c>
      <c r="O343" s="58">
        <f t="shared" si="481"/>
        <v>0.88636363636363635</v>
      </c>
      <c r="P343" s="58">
        <f t="shared" si="482"/>
        <v>0.97224835371589835</v>
      </c>
      <c r="Q343" s="58">
        <f t="shared" si="483"/>
        <v>0.91166380789022294</v>
      </c>
      <c r="R343" s="59">
        <v>4664</v>
      </c>
      <c r="S343" s="56">
        <f t="shared" si="484"/>
        <v>412</v>
      </c>
      <c r="T343" s="59">
        <v>4252</v>
      </c>
      <c r="U343" s="59">
        <v>4134</v>
      </c>
      <c r="V343" s="59">
        <f t="shared" si="485"/>
        <v>118</v>
      </c>
      <c r="W343" s="59"/>
      <c r="Y343" s="116"/>
      <c r="Z343" s="117"/>
      <c r="AA343" s="58"/>
      <c r="AB343" s="58"/>
      <c r="AC343" s="58"/>
      <c r="AD343" s="59"/>
      <c r="AE343" s="56"/>
      <c r="AF343" s="59"/>
      <c r="AG343" s="59"/>
      <c r="AH343" s="59"/>
      <c r="AI343" s="59"/>
      <c r="AK343" s="116">
        <v>2021</v>
      </c>
      <c r="AL343" s="117" t="s">
        <v>39</v>
      </c>
      <c r="AM343" s="58">
        <f t="shared" si="486"/>
        <v>0.91864035087719298</v>
      </c>
      <c r="AN343" s="58">
        <f t="shared" si="487"/>
        <v>0.97192575406032478</v>
      </c>
      <c r="AO343" s="58">
        <f t="shared" si="488"/>
        <v>0.94517543859649122</v>
      </c>
      <c r="AP343" s="59">
        <v>4560</v>
      </c>
      <c r="AQ343" s="56">
        <f t="shared" si="489"/>
        <v>250</v>
      </c>
      <c r="AR343" s="59">
        <v>4310</v>
      </c>
      <c r="AS343" s="59">
        <v>4189</v>
      </c>
      <c r="AT343" s="59">
        <f t="shared" si="490"/>
        <v>121</v>
      </c>
      <c r="AU343" s="59"/>
      <c r="AW343" s="116">
        <v>2021</v>
      </c>
      <c r="AX343" s="117" t="s">
        <v>39</v>
      </c>
      <c r="AY343" s="58">
        <f t="shared" si="491"/>
        <v>0.88144948404127665</v>
      </c>
      <c r="AZ343" s="58">
        <f t="shared" si="492"/>
        <v>0.96076379806434742</v>
      </c>
      <c r="BA343" s="58">
        <f t="shared" si="493"/>
        <v>0.91744660427165825</v>
      </c>
      <c r="BB343" s="59">
        <v>4167</v>
      </c>
      <c r="BC343" s="56">
        <f t="shared" si="494"/>
        <v>344</v>
      </c>
      <c r="BD343" s="59">
        <v>3823</v>
      </c>
      <c r="BE343" s="59">
        <v>3673</v>
      </c>
      <c r="BF343" s="59">
        <f t="shared" si="495"/>
        <v>150</v>
      </c>
      <c r="BG343" s="59"/>
      <c r="BI343" s="116">
        <v>2021</v>
      </c>
      <c r="BJ343" s="117" t="s">
        <v>39</v>
      </c>
      <c r="BK343" s="58">
        <f t="shared" si="496"/>
        <v>0.87725631768953072</v>
      </c>
      <c r="BL343" s="58">
        <f t="shared" si="497"/>
        <v>0.94690696541646369</v>
      </c>
      <c r="BM343" s="58">
        <f t="shared" si="498"/>
        <v>0.92644404332129959</v>
      </c>
      <c r="BN343" s="59">
        <v>2216</v>
      </c>
      <c r="BO343" s="56">
        <f t="shared" si="499"/>
        <v>163</v>
      </c>
      <c r="BP343" s="59">
        <v>2053</v>
      </c>
      <c r="BQ343" s="59">
        <v>1944</v>
      </c>
      <c r="BR343" s="59">
        <f t="shared" si="500"/>
        <v>109</v>
      </c>
      <c r="BS343" s="59"/>
      <c r="BU343" s="116">
        <v>2021</v>
      </c>
      <c r="BV343" s="117" t="s">
        <v>39</v>
      </c>
      <c r="BW343" s="58">
        <f t="shared" si="501"/>
        <v>0.88621794871794868</v>
      </c>
      <c r="BX343" s="58">
        <f t="shared" si="502"/>
        <v>0.968476357267951</v>
      </c>
      <c r="BY343" s="58">
        <f t="shared" si="503"/>
        <v>0.91506410256410253</v>
      </c>
      <c r="BZ343" s="59">
        <v>1872</v>
      </c>
      <c r="CA343" s="56">
        <f t="shared" si="504"/>
        <v>159</v>
      </c>
      <c r="CB343" s="59">
        <v>1713</v>
      </c>
      <c r="CC343" s="59">
        <v>1659</v>
      </c>
      <c r="CD343" s="59">
        <f t="shared" si="505"/>
        <v>54</v>
      </c>
      <c r="CE343" s="59"/>
      <c r="CG343" s="116">
        <v>2021</v>
      </c>
      <c r="CH343" s="117" t="s">
        <v>39</v>
      </c>
      <c r="CI343" s="58">
        <f t="shared" si="506"/>
        <v>0.46825396825396826</v>
      </c>
      <c r="CJ343" s="58">
        <f t="shared" si="507"/>
        <v>0.98951781970649899</v>
      </c>
      <c r="CK343" s="58">
        <f t="shared" si="508"/>
        <v>0.4732142857142857</v>
      </c>
      <c r="CL343" s="59">
        <v>1008</v>
      </c>
      <c r="CM343" s="56">
        <f t="shared" si="509"/>
        <v>531</v>
      </c>
      <c r="CN343" s="59">
        <v>477</v>
      </c>
      <c r="CO343" s="59">
        <v>472</v>
      </c>
      <c r="CP343" s="59">
        <f t="shared" si="510"/>
        <v>5</v>
      </c>
      <c r="CQ343" s="59"/>
      <c r="CS343" s="116">
        <v>2021</v>
      </c>
      <c r="CT343" s="117" t="s">
        <v>39</v>
      </c>
      <c r="CU343" s="58"/>
      <c r="CV343" s="58"/>
      <c r="CW343" s="58"/>
      <c r="CX343" s="59"/>
      <c r="CY343" s="56"/>
      <c r="CZ343" s="59"/>
      <c r="DA343" s="59"/>
      <c r="DB343" s="59"/>
      <c r="DC343" s="154" t="s">
        <v>70</v>
      </c>
      <c r="DE343" s="116">
        <v>2021</v>
      </c>
      <c r="DF343" s="117" t="s">
        <v>39</v>
      </c>
      <c r="DG343" s="58">
        <f t="shared" si="463"/>
        <v>0.42261904761904762</v>
      </c>
      <c r="DH343" s="58">
        <f t="shared" si="464"/>
        <v>0.95210727969348663</v>
      </c>
      <c r="DI343" s="58">
        <f t="shared" si="465"/>
        <v>0.44387755102040816</v>
      </c>
      <c r="DJ343" s="59">
        <v>1176</v>
      </c>
      <c r="DK343" s="56">
        <f t="shared" si="466"/>
        <v>654</v>
      </c>
      <c r="DL343" s="59">
        <v>522</v>
      </c>
      <c r="DM343" s="59">
        <v>497</v>
      </c>
      <c r="DN343" s="59">
        <f t="shared" si="467"/>
        <v>25</v>
      </c>
      <c r="DO343" s="59"/>
      <c r="DQ343" s="116">
        <v>2021</v>
      </c>
      <c r="DR343" s="117" t="s">
        <v>39</v>
      </c>
      <c r="DS343" s="58">
        <f t="shared" si="468"/>
        <v>0.26428571428571429</v>
      </c>
      <c r="DT343" s="58">
        <f t="shared" si="469"/>
        <v>1</v>
      </c>
      <c r="DU343" s="58">
        <f t="shared" si="470"/>
        <v>0.26428571428571429</v>
      </c>
      <c r="DV343" s="59">
        <v>280</v>
      </c>
      <c r="DW343" s="56">
        <f t="shared" si="471"/>
        <v>206</v>
      </c>
      <c r="DX343" s="59">
        <v>74</v>
      </c>
      <c r="DY343" s="59">
        <v>74</v>
      </c>
      <c r="DZ343" s="59">
        <f t="shared" si="472"/>
        <v>0</v>
      </c>
      <c r="EA343" s="109" t="s">
        <v>89</v>
      </c>
    </row>
    <row r="344" spans="1:142">
      <c r="A344" s="116">
        <v>2021</v>
      </c>
      <c r="B344" s="117" t="s">
        <v>40</v>
      </c>
      <c r="C344" s="101">
        <f t="shared" ref="C344:C345" si="511">I344/F344</f>
        <v>0.85389596088622643</v>
      </c>
      <c r="D344" s="101">
        <f t="shared" ref="D344:D345" si="512">I344/H344</f>
        <v>0.96524596693885678</v>
      </c>
      <c r="E344" s="101">
        <f t="shared" ref="E344:E345" si="513">H344/F344</f>
        <v>0.88464079637052373</v>
      </c>
      <c r="F344" s="59">
        <f>+R344+AP344+BB344+BZ344+CL344+CX344+DJ344+BN344+DV344</f>
        <v>22703</v>
      </c>
      <c r="G344" s="56">
        <f t="shared" ref="G344:G345" si="514">F344-H344</f>
        <v>2619</v>
      </c>
      <c r="H344" s="59">
        <f t="shared" ref="H344:H345" si="515">+T344+AR344+BD344+CB344+CN344+CZ344+DL344+BP344+DX344</f>
        <v>20084</v>
      </c>
      <c r="I344" s="59">
        <f t="shared" ref="I344:I345" si="516">+U344+AS344+BE344+CC344+CO344+DA344+DM344+BQ344+DY344</f>
        <v>19386</v>
      </c>
      <c r="J344" s="59">
        <f t="shared" ref="J344:J345" si="517">H344-I344</f>
        <v>698</v>
      </c>
      <c r="K344" s="59"/>
      <c r="M344" s="116">
        <v>2021</v>
      </c>
      <c r="N344" s="117" t="s">
        <v>40</v>
      </c>
      <c r="O344" s="58">
        <f t="shared" si="481"/>
        <v>0.92304825787218181</v>
      </c>
      <c r="P344" s="58">
        <f t="shared" si="482"/>
        <v>0.96493961823139851</v>
      </c>
      <c r="Q344" s="58">
        <f t="shared" si="483"/>
        <v>0.95658654741941496</v>
      </c>
      <c r="R344" s="59">
        <v>5367</v>
      </c>
      <c r="S344" s="56">
        <f t="shared" si="484"/>
        <v>233</v>
      </c>
      <c r="T344" s="59">
        <v>5134</v>
      </c>
      <c r="U344" s="59">
        <v>4954</v>
      </c>
      <c r="V344" s="59">
        <f t="shared" si="485"/>
        <v>180</v>
      </c>
      <c r="W344" s="59"/>
      <c r="Y344" s="114"/>
      <c r="Z344" s="115"/>
      <c r="AA344" s="58"/>
      <c r="AB344" s="58"/>
      <c r="AC344" s="58"/>
      <c r="AD344" s="59"/>
      <c r="AE344" s="56"/>
      <c r="AF344" s="59"/>
      <c r="AG344" s="59"/>
      <c r="AH344" s="59"/>
      <c r="AI344" s="59"/>
      <c r="AK344" s="116">
        <v>2021</v>
      </c>
      <c r="AL344" s="117" t="s">
        <v>40</v>
      </c>
      <c r="AM344" s="58">
        <f t="shared" si="486"/>
        <v>0.9349112426035503</v>
      </c>
      <c r="AN344" s="58">
        <f t="shared" si="487"/>
        <v>0.97086223984142717</v>
      </c>
      <c r="AO344" s="58">
        <f t="shared" si="488"/>
        <v>0.96297003244894064</v>
      </c>
      <c r="AP344" s="59">
        <v>5239</v>
      </c>
      <c r="AQ344" s="56">
        <f t="shared" si="489"/>
        <v>194</v>
      </c>
      <c r="AR344" s="59">
        <v>5045</v>
      </c>
      <c r="AS344" s="59">
        <v>4898</v>
      </c>
      <c r="AT344" s="59">
        <f t="shared" si="490"/>
        <v>147</v>
      </c>
      <c r="AU344" s="59"/>
      <c r="AW344" s="116">
        <v>2021</v>
      </c>
      <c r="AX344" s="117" t="s">
        <v>40</v>
      </c>
      <c r="AY344" s="58">
        <f t="shared" si="491"/>
        <v>0.88507209499575912</v>
      </c>
      <c r="AZ344" s="58">
        <f t="shared" si="492"/>
        <v>0.95931969662146632</v>
      </c>
      <c r="BA344" s="58">
        <f t="shared" si="493"/>
        <v>0.92260390161153516</v>
      </c>
      <c r="BB344" s="59">
        <v>4716</v>
      </c>
      <c r="BC344" s="56">
        <f t="shared" si="494"/>
        <v>365</v>
      </c>
      <c r="BD344" s="59">
        <v>4351</v>
      </c>
      <c r="BE344" s="59">
        <v>4174</v>
      </c>
      <c r="BF344" s="59">
        <f t="shared" si="495"/>
        <v>177</v>
      </c>
      <c r="BG344" s="59"/>
      <c r="BI344" s="116">
        <v>2021</v>
      </c>
      <c r="BJ344" s="117" t="s">
        <v>40</v>
      </c>
      <c r="BK344" s="58">
        <f t="shared" si="496"/>
        <v>0.88765383088527194</v>
      </c>
      <c r="BL344" s="58">
        <f t="shared" si="497"/>
        <v>0.95351812366737743</v>
      </c>
      <c r="BM344" s="58">
        <f t="shared" si="498"/>
        <v>0.93092497022628029</v>
      </c>
      <c r="BN344" s="59">
        <v>2519</v>
      </c>
      <c r="BO344" s="56">
        <f t="shared" si="499"/>
        <v>174</v>
      </c>
      <c r="BP344" s="59">
        <v>2345</v>
      </c>
      <c r="BQ344" s="59">
        <v>2236</v>
      </c>
      <c r="BR344" s="59">
        <f t="shared" si="500"/>
        <v>109</v>
      </c>
      <c r="BS344" s="59"/>
      <c r="BU344" s="116">
        <v>2021</v>
      </c>
      <c r="BV344" s="117" t="s">
        <v>40</v>
      </c>
      <c r="BW344" s="58">
        <f t="shared" si="501"/>
        <v>0.90712945590994376</v>
      </c>
      <c r="BX344" s="58">
        <f t="shared" si="502"/>
        <v>0.97381671701913397</v>
      </c>
      <c r="BY344" s="58">
        <f t="shared" si="503"/>
        <v>0.9315196998123827</v>
      </c>
      <c r="BZ344" s="59">
        <v>2132</v>
      </c>
      <c r="CA344" s="56">
        <f t="shared" si="504"/>
        <v>146</v>
      </c>
      <c r="CB344" s="59">
        <v>1986</v>
      </c>
      <c r="CC344" s="59">
        <v>1934</v>
      </c>
      <c r="CD344" s="59">
        <f t="shared" si="505"/>
        <v>52</v>
      </c>
      <c r="CE344" s="59"/>
      <c r="CG344" s="116">
        <v>2021</v>
      </c>
      <c r="CH344" s="117" t="s">
        <v>40</v>
      </c>
      <c r="CI344" s="58">
        <f t="shared" si="506"/>
        <v>0.46064400715563508</v>
      </c>
      <c r="CJ344" s="58">
        <f t="shared" si="507"/>
        <v>0.97722960151802651</v>
      </c>
      <c r="CK344" s="58">
        <f t="shared" si="508"/>
        <v>0.47137745974955275</v>
      </c>
      <c r="CL344" s="59">
        <v>1118</v>
      </c>
      <c r="CM344" s="56">
        <f t="shared" si="509"/>
        <v>591</v>
      </c>
      <c r="CN344" s="59">
        <v>527</v>
      </c>
      <c r="CO344" s="59">
        <v>515</v>
      </c>
      <c r="CP344" s="59">
        <f t="shared" si="510"/>
        <v>12</v>
      </c>
      <c r="CQ344" s="59"/>
      <c r="CS344" s="116">
        <v>2021</v>
      </c>
      <c r="CT344" s="117" t="s">
        <v>40</v>
      </c>
      <c r="CU344" s="58"/>
      <c r="CV344" s="58"/>
      <c r="CW344" s="58"/>
      <c r="CX344" s="59"/>
      <c r="CY344" s="56"/>
      <c r="CZ344" s="59"/>
      <c r="DA344" s="59"/>
      <c r="DB344" s="59"/>
      <c r="DC344" s="154" t="s">
        <v>70</v>
      </c>
      <c r="DE344" s="116">
        <v>2021</v>
      </c>
      <c r="DF344" s="117" t="s">
        <v>40</v>
      </c>
      <c r="DG344" s="58">
        <f t="shared" si="463"/>
        <v>0.45238095238095238</v>
      </c>
      <c r="DH344" s="58">
        <f t="shared" si="464"/>
        <v>0.96875</v>
      </c>
      <c r="DI344" s="58">
        <f t="shared" si="465"/>
        <v>0.46697388632872505</v>
      </c>
      <c r="DJ344" s="59">
        <v>1302</v>
      </c>
      <c r="DK344" s="56">
        <f t="shared" si="466"/>
        <v>694</v>
      </c>
      <c r="DL344" s="59">
        <v>608</v>
      </c>
      <c r="DM344" s="59">
        <v>589</v>
      </c>
      <c r="DN344" s="59">
        <f t="shared" si="467"/>
        <v>19</v>
      </c>
      <c r="DO344" s="59"/>
      <c r="DQ344" s="116">
        <v>2021</v>
      </c>
      <c r="DR344" s="117" t="s">
        <v>40</v>
      </c>
      <c r="DS344" s="58">
        <f t="shared" si="468"/>
        <v>0.27741935483870966</v>
      </c>
      <c r="DT344" s="58">
        <f t="shared" si="469"/>
        <v>0.97727272727272729</v>
      </c>
      <c r="DU344" s="58">
        <f t="shared" si="470"/>
        <v>0.28387096774193549</v>
      </c>
      <c r="DV344" s="59">
        <v>310</v>
      </c>
      <c r="DW344" s="56">
        <f t="shared" si="471"/>
        <v>222</v>
      </c>
      <c r="DX344" s="59">
        <v>88</v>
      </c>
      <c r="DY344" s="59">
        <v>86</v>
      </c>
      <c r="DZ344" s="59">
        <f t="shared" si="472"/>
        <v>2</v>
      </c>
      <c r="EA344" s="109" t="s">
        <v>89</v>
      </c>
    </row>
    <row r="345" spans="1:142">
      <c r="A345" s="116">
        <v>2021</v>
      </c>
      <c r="B345" s="117" t="s">
        <v>41</v>
      </c>
      <c r="C345" s="101">
        <f t="shared" si="511"/>
        <v>0.84621841314719914</v>
      </c>
      <c r="D345" s="101">
        <f t="shared" si="512"/>
        <v>0.96796199909040381</v>
      </c>
      <c r="E345" s="101">
        <f t="shared" si="513"/>
        <v>0.87422689521116803</v>
      </c>
      <c r="F345" s="59">
        <f t="shared" ref="F345" si="518">+R345+AP345+BB345+BZ345+CL345+CX345+DJ345+BN345+DV345</f>
        <v>22636</v>
      </c>
      <c r="G345" s="56">
        <f t="shared" si="514"/>
        <v>2847</v>
      </c>
      <c r="H345" s="59">
        <f t="shared" si="515"/>
        <v>19789</v>
      </c>
      <c r="I345" s="59">
        <f t="shared" si="516"/>
        <v>19155</v>
      </c>
      <c r="J345" s="59">
        <f t="shared" si="517"/>
        <v>634</v>
      </c>
      <c r="K345" s="59"/>
      <c r="M345" s="116">
        <v>2021</v>
      </c>
      <c r="N345" s="117" t="s">
        <v>41</v>
      </c>
      <c r="O345" s="58">
        <f t="shared" si="481"/>
        <v>0.88747553816046965</v>
      </c>
      <c r="P345" s="58">
        <f t="shared" si="482"/>
        <v>0.95695294365899974</v>
      </c>
      <c r="Q345" s="58">
        <f t="shared" si="483"/>
        <v>0.92739726027397262</v>
      </c>
      <c r="R345" s="59">
        <v>5110</v>
      </c>
      <c r="S345" s="56">
        <f t="shared" si="484"/>
        <v>371</v>
      </c>
      <c r="T345" s="59">
        <v>4739</v>
      </c>
      <c r="U345" s="59">
        <v>4535</v>
      </c>
      <c r="V345" s="59">
        <f t="shared" si="485"/>
        <v>204</v>
      </c>
      <c r="W345" s="59"/>
      <c r="Y345" s="116"/>
      <c r="Z345" s="117"/>
      <c r="AA345" s="58"/>
      <c r="AB345" s="58"/>
      <c r="AC345" s="58"/>
      <c r="AD345" s="59"/>
      <c r="AE345" s="56"/>
      <c r="AF345" s="59"/>
      <c r="AG345" s="59"/>
      <c r="AH345" s="59"/>
      <c r="AI345" s="59"/>
      <c r="AK345" s="116">
        <v>2021</v>
      </c>
      <c r="AL345" s="117" t="s">
        <v>41</v>
      </c>
      <c r="AM345" s="58">
        <f t="shared" si="486"/>
        <v>0.93171806167400884</v>
      </c>
      <c r="AN345" s="58">
        <f t="shared" si="487"/>
        <v>0.97978521794061912</v>
      </c>
      <c r="AO345" s="58">
        <f t="shared" si="488"/>
        <v>0.95094112935522623</v>
      </c>
      <c r="AP345" s="59">
        <v>4994</v>
      </c>
      <c r="AQ345" s="56">
        <f t="shared" si="489"/>
        <v>245</v>
      </c>
      <c r="AR345" s="59">
        <v>4749</v>
      </c>
      <c r="AS345" s="59">
        <v>4653</v>
      </c>
      <c r="AT345" s="59">
        <f t="shared" si="490"/>
        <v>96</v>
      </c>
      <c r="AU345" s="59"/>
      <c r="AW345" s="116">
        <v>2021</v>
      </c>
      <c r="AX345" s="117" t="s">
        <v>41</v>
      </c>
      <c r="AY345" s="58">
        <f t="shared" si="491"/>
        <v>0.86111724442481785</v>
      </c>
      <c r="AZ345" s="58">
        <f t="shared" si="492"/>
        <v>0.96439169139465875</v>
      </c>
      <c r="BA345" s="58">
        <f t="shared" si="493"/>
        <v>0.89291234268050346</v>
      </c>
      <c r="BB345" s="59">
        <v>4529</v>
      </c>
      <c r="BC345" s="56">
        <f t="shared" si="494"/>
        <v>485</v>
      </c>
      <c r="BD345" s="59">
        <v>4044</v>
      </c>
      <c r="BE345" s="59">
        <v>3900</v>
      </c>
      <c r="BF345" s="59">
        <f t="shared" si="495"/>
        <v>144</v>
      </c>
      <c r="BG345" s="59"/>
      <c r="BI345" s="116">
        <v>2021</v>
      </c>
      <c r="BJ345" s="117" t="s">
        <v>41</v>
      </c>
      <c r="BK345" s="58">
        <f t="shared" si="496"/>
        <v>0.88571428571428568</v>
      </c>
      <c r="BL345" s="58">
        <f t="shared" si="497"/>
        <v>0.96875</v>
      </c>
      <c r="BM345" s="58">
        <f t="shared" si="498"/>
        <v>0.91428571428571426</v>
      </c>
      <c r="BN345" s="59">
        <v>2415</v>
      </c>
      <c r="BO345" s="56">
        <f t="shared" si="499"/>
        <v>207</v>
      </c>
      <c r="BP345" s="59">
        <v>2208</v>
      </c>
      <c r="BQ345" s="59">
        <v>2139</v>
      </c>
      <c r="BR345" s="59">
        <f t="shared" si="500"/>
        <v>69</v>
      </c>
      <c r="BS345" s="59"/>
      <c r="BU345" s="116">
        <v>2021</v>
      </c>
      <c r="BV345" s="117" t="s">
        <v>41</v>
      </c>
      <c r="BW345" s="58">
        <f t="shared" si="501"/>
        <v>0.85686274509803917</v>
      </c>
      <c r="BX345" s="58">
        <f t="shared" si="502"/>
        <v>0.97219132369299222</v>
      </c>
      <c r="BY345" s="58">
        <f t="shared" si="503"/>
        <v>0.88137254901960782</v>
      </c>
      <c r="BZ345" s="59">
        <v>2040</v>
      </c>
      <c r="CA345" s="56">
        <f t="shared" si="504"/>
        <v>242</v>
      </c>
      <c r="CB345" s="59">
        <v>1798</v>
      </c>
      <c r="CC345" s="59">
        <v>1748</v>
      </c>
      <c r="CD345" s="59">
        <f t="shared" si="505"/>
        <v>50</v>
      </c>
      <c r="CE345" s="59"/>
      <c r="CG345" s="116">
        <v>2021</v>
      </c>
      <c r="CH345" s="117" t="s">
        <v>41</v>
      </c>
      <c r="CI345" s="58">
        <f t="shared" si="506"/>
        <v>0.45370370370370372</v>
      </c>
      <c r="CJ345" s="58">
        <f t="shared" si="507"/>
        <v>0.98393574297188757</v>
      </c>
      <c r="CK345" s="58">
        <f t="shared" si="508"/>
        <v>0.46111111111111114</v>
      </c>
      <c r="CL345" s="59">
        <v>1080</v>
      </c>
      <c r="CM345" s="56">
        <f t="shared" si="509"/>
        <v>582</v>
      </c>
      <c r="CN345" s="59">
        <v>498</v>
      </c>
      <c r="CO345" s="59">
        <v>490</v>
      </c>
      <c r="CP345" s="59">
        <f t="shared" si="510"/>
        <v>8</v>
      </c>
      <c r="CQ345" s="59"/>
      <c r="CS345" s="116">
        <v>2021</v>
      </c>
      <c r="CT345" s="117" t="s">
        <v>41</v>
      </c>
      <c r="CU345" s="58">
        <f>DA345/CX345</f>
        <v>0.37333333333333335</v>
      </c>
      <c r="CV345" s="58">
        <f>DA345/CZ345</f>
        <v>0.98245614035087714</v>
      </c>
      <c r="CW345" s="58">
        <f>CZ345/CX345</f>
        <v>0.38</v>
      </c>
      <c r="CX345" s="59">
        <v>600</v>
      </c>
      <c r="CY345" s="56">
        <f>CX345-CZ345</f>
        <v>372</v>
      </c>
      <c r="CZ345" s="59">
        <v>228</v>
      </c>
      <c r="DA345" s="59">
        <v>224</v>
      </c>
      <c r="DB345" s="59">
        <f>CZ345-DA345</f>
        <v>4</v>
      </c>
      <c r="DC345" s="154" t="s">
        <v>104</v>
      </c>
      <c r="DE345" s="116">
        <v>2021</v>
      </c>
      <c r="DF345" s="117" t="s">
        <v>41</v>
      </c>
      <c r="DG345" s="58">
        <f t="shared" si="463"/>
        <v>0.88584183673469385</v>
      </c>
      <c r="DH345" s="58">
        <f t="shared" si="464"/>
        <v>0.96124567474048439</v>
      </c>
      <c r="DI345" s="58">
        <f t="shared" si="465"/>
        <v>0.92155612244897955</v>
      </c>
      <c r="DJ345" s="59">
        <v>1568</v>
      </c>
      <c r="DK345" s="56">
        <f t="shared" si="466"/>
        <v>123</v>
      </c>
      <c r="DL345" s="59">
        <v>1445</v>
      </c>
      <c r="DM345" s="59">
        <v>1389</v>
      </c>
      <c r="DN345" s="59">
        <f t="shared" si="467"/>
        <v>56</v>
      </c>
      <c r="DO345" s="59"/>
      <c r="DQ345" s="116">
        <v>2021</v>
      </c>
      <c r="DR345" s="117" t="s">
        <v>41</v>
      </c>
      <c r="DS345" s="58">
        <f t="shared" si="468"/>
        <v>0.25666666666666665</v>
      </c>
      <c r="DT345" s="58">
        <f t="shared" si="469"/>
        <v>0.96250000000000002</v>
      </c>
      <c r="DU345" s="58">
        <f t="shared" si="470"/>
        <v>0.26666666666666666</v>
      </c>
      <c r="DV345" s="59">
        <v>300</v>
      </c>
      <c r="DW345" s="56">
        <f t="shared" si="471"/>
        <v>220</v>
      </c>
      <c r="DX345" s="59">
        <v>80</v>
      </c>
      <c r="DY345" s="59">
        <v>77</v>
      </c>
      <c r="DZ345" s="59">
        <f t="shared" si="472"/>
        <v>3</v>
      </c>
      <c r="EA345" s="109" t="s">
        <v>89</v>
      </c>
    </row>
    <row r="346" spans="1:142">
      <c r="A346" s="116">
        <v>2021</v>
      </c>
      <c r="B346" s="117" t="s">
        <v>42</v>
      </c>
      <c r="C346" s="101">
        <f t="shared" ref="C346:C347" si="519">I346/F346</f>
        <v>0.86068514034615728</v>
      </c>
      <c r="D346" s="101">
        <f t="shared" ref="D346:D347" si="520">I346/H346</f>
        <v>0.9631209232313096</v>
      </c>
      <c r="E346" s="101">
        <f t="shared" ref="E346:E347" si="521">H346/F346</f>
        <v>0.89364182584521568</v>
      </c>
      <c r="F346" s="59">
        <f t="shared" ref="F346:F347" si="522">+R346+AP346+BB346+BZ346+CL346+CX346+DJ346+BN346+DV346</f>
        <v>22302</v>
      </c>
      <c r="G346" s="56">
        <f t="shared" ref="G346:G347" si="523">F346-H346</f>
        <v>2372</v>
      </c>
      <c r="H346" s="59">
        <f t="shared" ref="H346:H347" si="524">+T346+AR346+BD346+CB346+CN346+CZ346+DL346+BP346+DX346</f>
        <v>19930</v>
      </c>
      <c r="I346" s="59">
        <f t="shared" ref="I346:I347" si="525">+U346+AS346+BE346+CC346+CO346+DA346+DM346+BQ346+DY346</f>
        <v>19195</v>
      </c>
      <c r="J346" s="59">
        <f t="shared" ref="J346:J347" si="526">H346-I346</f>
        <v>735</v>
      </c>
      <c r="K346" s="59"/>
      <c r="M346" s="116">
        <v>2021</v>
      </c>
      <c r="N346" s="117" t="s">
        <v>42</v>
      </c>
      <c r="O346" s="58">
        <f t="shared" si="481"/>
        <v>0.89467360832999598</v>
      </c>
      <c r="P346" s="58">
        <f t="shared" si="482"/>
        <v>0.95572192513368981</v>
      </c>
      <c r="Q346" s="58">
        <f t="shared" si="483"/>
        <v>0.93612334801762109</v>
      </c>
      <c r="R346" s="59">
        <v>4994</v>
      </c>
      <c r="S346" s="56">
        <f t="shared" si="484"/>
        <v>319</v>
      </c>
      <c r="T346" s="59">
        <v>4675</v>
      </c>
      <c r="U346" s="59">
        <v>4468</v>
      </c>
      <c r="V346" s="59">
        <f t="shared" si="485"/>
        <v>207</v>
      </c>
      <c r="W346" s="59"/>
      <c r="Y346" s="116"/>
      <c r="Z346" s="117"/>
      <c r="AA346" s="58"/>
      <c r="AB346" s="58"/>
      <c r="AC346" s="58"/>
      <c r="AD346" s="59"/>
      <c r="AE346" s="56"/>
      <c r="AF346" s="59"/>
      <c r="AG346" s="59"/>
      <c r="AH346" s="59"/>
      <c r="AI346" s="59"/>
      <c r="AK346" s="116">
        <v>2021</v>
      </c>
      <c r="AL346" s="117" t="s">
        <v>42</v>
      </c>
      <c r="AM346" s="58">
        <f t="shared" si="486"/>
        <v>0.91829997936868168</v>
      </c>
      <c r="AN346" s="58">
        <f t="shared" si="487"/>
        <v>0.96845082680591821</v>
      </c>
      <c r="AO346" s="58">
        <f t="shared" si="488"/>
        <v>0.94821539096348262</v>
      </c>
      <c r="AP346" s="59">
        <v>4847</v>
      </c>
      <c r="AQ346" s="56">
        <f t="shared" si="489"/>
        <v>251</v>
      </c>
      <c r="AR346" s="59">
        <v>4596</v>
      </c>
      <c r="AS346" s="59">
        <v>4451</v>
      </c>
      <c r="AT346" s="59">
        <f t="shared" si="490"/>
        <v>145</v>
      </c>
      <c r="AU346" s="59"/>
      <c r="AW346" s="116">
        <v>2021</v>
      </c>
      <c r="AX346" s="117" t="s">
        <v>42</v>
      </c>
      <c r="AY346" s="58">
        <f t="shared" si="491"/>
        <v>0.87354521038495969</v>
      </c>
      <c r="AZ346" s="58">
        <f t="shared" si="492"/>
        <v>0.95661764705882357</v>
      </c>
      <c r="BA346" s="58">
        <f t="shared" si="493"/>
        <v>0.91316025067144135</v>
      </c>
      <c r="BB346" s="59">
        <v>4468</v>
      </c>
      <c r="BC346" s="56">
        <f t="shared" si="494"/>
        <v>388</v>
      </c>
      <c r="BD346" s="59">
        <v>4080</v>
      </c>
      <c r="BE346" s="59">
        <v>3903</v>
      </c>
      <c r="BF346" s="59">
        <f t="shared" si="495"/>
        <v>177</v>
      </c>
      <c r="BG346" s="59"/>
      <c r="BI346" s="116">
        <v>2021</v>
      </c>
      <c r="BJ346" s="117" t="s">
        <v>42</v>
      </c>
      <c r="BK346" s="58">
        <f t="shared" si="496"/>
        <v>0.88865457612821597</v>
      </c>
      <c r="BL346" s="58">
        <f t="shared" si="497"/>
        <v>0.96695731987150069</v>
      </c>
      <c r="BM346" s="58">
        <f t="shared" si="498"/>
        <v>0.91902150991142972</v>
      </c>
      <c r="BN346" s="59">
        <v>2371</v>
      </c>
      <c r="BO346" s="56">
        <f t="shared" si="499"/>
        <v>192</v>
      </c>
      <c r="BP346" s="59">
        <v>2179</v>
      </c>
      <c r="BQ346" s="59">
        <v>2107</v>
      </c>
      <c r="BR346" s="59">
        <f t="shared" si="500"/>
        <v>72</v>
      </c>
      <c r="BS346" s="59"/>
      <c r="BU346" s="116">
        <v>2021</v>
      </c>
      <c r="BV346" s="117" t="s">
        <v>42</v>
      </c>
      <c r="BW346" s="58">
        <f t="shared" si="501"/>
        <v>0.87825651302605212</v>
      </c>
      <c r="BX346" s="58">
        <f t="shared" si="502"/>
        <v>0.96690568119139553</v>
      </c>
      <c r="BY346" s="58">
        <f t="shared" si="503"/>
        <v>0.90831663326653311</v>
      </c>
      <c r="BZ346" s="59">
        <v>1996</v>
      </c>
      <c r="CA346" s="56">
        <f t="shared" si="504"/>
        <v>183</v>
      </c>
      <c r="CB346" s="59">
        <v>1813</v>
      </c>
      <c r="CC346" s="59">
        <v>1753</v>
      </c>
      <c r="CD346" s="59">
        <f t="shared" si="505"/>
        <v>60</v>
      </c>
      <c r="CE346" s="59"/>
      <c r="CG346" s="116">
        <v>2021</v>
      </c>
      <c r="CH346" s="117" t="s">
        <v>42</v>
      </c>
      <c r="CI346" s="58">
        <f t="shared" si="506"/>
        <v>0.4766107678729038</v>
      </c>
      <c r="CJ346" s="58">
        <f t="shared" si="507"/>
        <v>0.98181818181818181</v>
      </c>
      <c r="CK346" s="58">
        <f t="shared" si="508"/>
        <v>0.4854368932038835</v>
      </c>
      <c r="CL346" s="59">
        <v>1133</v>
      </c>
      <c r="CM346" s="56">
        <f t="shared" si="509"/>
        <v>583</v>
      </c>
      <c r="CN346" s="59">
        <v>550</v>
      </c>
      <c r="CO346" s="59">
        <v>540</v>
      </c>
      <c r="CP346" s="59">
        <f t="shared" si="510"/>
        <v>10</v>
      </c>
      <c r="CQ346" s="59"/>
      <c r="CS346" s="116">
        <v>2021</v>
      </c>
      <c r="CT346" s="117" t="s">
        <v>42</v>
      </c>
      <c r="CU346" s="58">
        <f>DA346/CX346</f>
        <v>0.62580645161290327</v>
      </c>
      <c r="CV346" s="58">
        <f>DA346/CZ346</f>
        <v>0.97243107769423553</v>
      </c>
      <c r="CW346" s="58">
        <f>CZ346/CX346</f>
        <v>0.6435483870967742</v>
      </c>
      <c r="CX346" s="59">
        <v>620</v>
      </c>
      <c r="CY346" s="56">
        <f>CX346-CZ346</f>
        <v>221</v>
      </c>
      <c r="CZ346" s="59">
        <v>399</v>
      </c>
      <c r="DA346" s="59">
        <v>388</v>
      </c>
      <c r="DB346" s="59">
        <f>CZ346-DA346</f>
        <v>11</v>
      </c>
      <c r="DC346" s="59"/>
      <c r="DE346" s="116">
        <v>2021</v>
      </c>
      <c r="DF346" s="117" t="s">
        <v>42</v>
      </c>
      <c r="DG346" s="58">
        <f t="shared" si="463"/>
        <v>0.94371482176360222</v>
      </c>
      <c r="DH346" s="58">
        <f t="shared" si="464"/>
        <v>0.96606914212548012</v>
      </c>
      <c r="DI346" s="58">
        <f t="shared" si="465"/>
        <v>0.97686053783614757</v>
      </c>
      <c r="DJ346" s="59">
        <v>1599</v>
      </c>
      <c r="DK346" s="56">
        <f t="shared" si="466"/>
        <v>37</v>
      </c>
      <c r="DL346" s="59">
        <v>1562</v>
      </c>
      <c r="DM346" s="59">
        <v>1509</v>
      </c>
      <c r="DN346" s="59">
        <f t="shared" si="467"/>
        <v>53</v>
      </c>
      <c r="DO346" s="59"/>
      <c r="DQ346" s="116">
        <v>2021</v>
      </c>
      <c r="DR346" s="117" t="s">
        <v>42</v>
      </c>
      <c r="DS346" s="58">
        <f t="shared" si="468"/>
        <v>0.27737226277372262</v>
      </c>
      <c r="DT346" s="58">
        <f t="shared" si="469"/>
        <v>1</v>
      </c>
      <c r="DU346" s="58">
        <f t="shared" si="470"/>
        <v>0.27737226277372262</v>
      </c>
      <c r="DV346" s="59">
        <v>274</v>
      </c>
      <c r="DW346" s="56">
        <f t="shared" si="471"/>
        <v>198</v>
      </c>
      <c r="DX346" s="59">
        <v>76</v>
      </c>
      <c r="DY346" s="59">
        <v>76</v>
      </c>
      <c r="DZ346" s="59">
        <f t="shared" si="472"/>
        <v>0</v>
      </c>
      <c r="EA346" s="56"/>
    </row>
    <row r="347" spans="1:142">
      <c r="A347" s="116">
        <v>2021</v>
      </c>
      <c r="B347" s="117" t="s">
        <v>43</v>
      </c>
      <c r="C347" s="101">
        <f t="shared" si="519"/>
        <v>0.84120957655887085</v>
      </c>
      <c r="D347" s="101">
        <f t="shared" si="520"/>
        <v>0.95686413982318874</v>
      </c>
      <c r="E347" s="101">
        <f t="shared" si="521"/>
        <v>0.87913167768447387</v>
      </c>
      <c r="F347" s="59">
        <f t="shared" si="522"/>
        <v>22388</v>
      </c>
      <c r="G347" s="56">
        <f t="shared" si="523"/>
        <v>2706</v>
      </c>
      <c r="H347" s="59">
        <f t="shared" si="524"/>
        <v>19682</v>
      </c>
      <c r="I347" s="59">
        <f t="shared" si="525"/>
        <v>18833</v>
      </c>
      <c r="J347" s="59">
        <f t="shared" si="526"/>
        <v>849</v>
      </c>
      <c r="K347" s="59"/>
      <c r="M347" s="116">
        <v>2021</v>
      </c>
      <c r="N347" s="117" t="s">
        <v>43</v>
      </c>
      <c r="O347" s="58">
        <f t="shared" si="481"/>
        <v>0.92345340642129992</v>
      </c>
      <c r="P347" s="58">
        <f t="shared" si="482"/>
        <v>0.96186786296900484</v>
      </c>
      <c r="Q347" s="58">
        <f t="shared" si="483"/>
        <v>0.96006264682850428</v>
      </c>
      <c r="R347" s="59">
        <v>5108</v>
      </c>
      <c r="S347" s="56">
        <f t="shared" si="484"/>
        <v>204</v>
      </c>
      <c r="T347" s="59">
        <v>4904</v>
      </c>
      <c r="U347" s="59">
        <v>4717</v>
      </c>
      <c r="V347" s="59">
        <f t="shared" si="485"/>
        <v>187</v>
      </c>
      <c r="W347" s="59"/>
      <c r="Y347" s="114"/>
      <c r="Z347" s="115"/>
      <c r="AA347" s="58"/>
      <c r="AB347" s="58"/>
      <c r="AC347" s="58"/>
      <c r="AD347" s="59"/>
      <c r="AE347" s="56"/>
      <c r="AF347" s="59"/>
      <c r="AG347" s="59"/>
      <c r="AH347" s="59"/>
      <c r="AI347" s="59"/>
      <c r="AK347" s="116">
        <v>2021</v>
      </c>
      <c r="AL347" s="117" t="s">
        <v>43</v>
      </c>
      <c r="AM347" s="58">
        <f t="shared" si="486"/>
        <v>0.94548034049452778</v>
      </c>
      <c r="AN347" s="58">
        <f t="shared" si="487"/>
        <v>0.9702579034941764</v>
      </c>
      <c r="AO347" s="58">
        <f t="shared" si="488"/>
        <v>0.9744629104175111</v>
      </c>
      <c r="AP347" s="59">
        <v>4934</v>
      </c>
      <c r="AQ347" s="56">
        <f t="shared" si="489"/>
        <v>126</v>
      </c>
      <c r="AR347" s="59">
        <v>4808</v>
      </c>
      <c r="AS347" s="59">
        <v>4665</v>
      </c>
      <c r="AT347" s="59">
        <f t="shared" si="490"/>
        <v>143</v>
      </c>
      <c r="AU347" s="59"/>
      <c r="AW347" s="116">
        <v>2021</v>
      </c>
      <c r="AX347" s="117" t="s">
        <v>43</v>
      </c>
      <c r="AY347" s="58">
        <f t="shared" si="491"/>
        <v>0.75904697684873002</v>
      </c>
      <c r="AZ347" s="58">
        <f t="shared" si="492"/>
        <v>0.92091628033815109</v>
      </c>
      <c r="BA347" s="58">
        <f t="shared" si="493"/>
        <v>0.82423016408181615</v>
      </c>
      <c r="BB347" s="59">
        <v>4449</v>
      </c>
      <c r="BC347" s="56">
        <f t="shared" si="494"/>
        <v>782</v>
      </c>
      <c r="BD347" s="59">
        <v>3667</v>
      </c>
      <c r="BE347" s="59">
        <v>3377</v>
      </c>
      <c r="BF347" s="59">
        <f t="shared" si="495"/>
        <v>290</v>
      </c>
      <c r="BG347" s="59"/>
      <c r="BI347" s="116">
        <v>2021</v>
      </c>
      <c r="BJ347" s="117" t="s">
        <v>43</v>
      </c>
      <c r="BK347" s="58">
        <f t="shared" si="496"/>
        <v>0.90201850294365016</v>
      </c>
      <c r="BL347" s="58">
        <f t="shared" si="497"/>
        <v>0.96578117964880683</v>
      </c>
      <c r="BM347" s="58">
        <f t="shared" si="498"/>
        <v>0.93397813288477716</v>
      </c>
      <c r="BN347" s="59">
        <v>2378</v>
      </c>
      <c r="BO347" s="56">
        <f t="shared" si="499"/>
        <v>157</v>
      </c>
      <c r="BP347" s="59">
        <v>2221</v>
      </c>
      <c r="BQ347" s="59">
        <v>2145</v>
      </c>
      <c r="BR347" s="59">
        <f t="shared" si="500"/>
        <v>76</v>
      </c>
      <c r="BS347" s="59"/>
      <c r="BU347" s="116">
        <v>2021</v>
      </c>
      <c r="BV347" s="117" t="s">
        <v>43</v>
      </c>
      <c r="BW347" s="58">
        <f t="shared" si="501"/>
        <v>0.79012961116650049</v>
      </c>
      <c r="BX347" s="58">
        <f t="shared" si="502"/>
        <v>0.96060606060606057</v>
      </c>
      <c r="BY347" s="58">
        <f t="shared" si="503"/>
        <v>0.82253240279162509</v>
      </c>
      <c r="BZ347" s="59">
        <v>2006</v>
      </c>
      <c r="CA347" s="56">
        <f t="shared" si="504"/>
        <v>356</v>
      </c>
      <c r="CB347" s="59">
        <v>1650</v>
      </c>
      <c r="CC347" s="59">
        <v>1585</v>
      </c>
      <c r="CD347" s="59">
        <f t="shared" si="505"/>
        <v>65</v>
      </c>
      <c r="CE347" s="59"/>
      <c r="CG347" s="116">
        <v>2021</v>
      </c>
      <c r="CH347" s="117" t="s">
        <v>43</v>
      </c>
      <c r="CI347" s="58">
        <f t="shared" si="506"/>
        <v>0.40687160940325495</v>
      </c>
      <c r="CJ347" s="58">
        <f t="shared" si="507"/>
        <v>0.98253275109170302</v>
      </c>
      <c r="CK347" s="58">
        <f t="shared" si="508"/>
        <v>0.41410488245931282</v>
      </c>
      <c r="CL347" s="59">
        <v>1106</v>
      </c>
      <c r="CM347" s="56">
        <f t="shared" si="509"/>
        <v>648</v>
      </c>
      <c r="CN347" s="59">
        <v>458</v>
      </c>
      <c r="CO347" s="59">
        <v>450</v>
      </c>
      <c r="CP347" s="59">
        <f t="shared" si="510"/>
        <v>8</v>
      </c>
      <c r="CQ347" s="59"/>
      <c r="CS347" s="116">
        <v>2021</v>
      </c>
      <c r="CT347" s="117" t="s">
        <v>43</v>
      </c>
      <c r="CU347" s="58">
        <f>DA347/CX347</f>
        <v>0.56499999999999995</v>
      </c>
      <c r="CV347" s="58">
        <f>DA347/CZ347</f>
        <v>0.96857142857142853</v>
      </c>
      <c r="CW347" s="58">
        <f>CZ347/CX347</f>
        <v>0.58333333333333337</v>
      </c>
      <c r="CX347" s="59">
        <v>600</v>
      </c>
      <c r="CY347" s="56">
        <f>CX347-CZ347</f>
        <v>250</v>
      </c>
      <c r="CZ347" s="59">
        <v>350</v>
      </c>
      <c r="DA347" s="59">
        <v>339</v>
      </c>
      <c r="DB347" s="59">
        <f>CZ347-DA347</f>
        <v>11</v>
      </c>
      <c r="DC347" s="59"/>
      <c r="DE347" s="116">
        <v>2021</v>
      </c>
      <c r="DF347" s="117" t="s">
        <v>43</v>
      </c>
      <c r="DG347" s="58">
        <f t="shared" si="463"/>
        <v>0.92583280955373981</v>
      </c>
      <c r="DH347" s="58">
        <f t="shared" si="464"/>
        <v>0.95649350649350651</v>
      </c>
      <c r="DI347" s="58">
        <f t="shared" si="465"/>
        <v>0.96794468887492147</v>
      </c>
      <c r="DJ347" s="59">
        <v>1591</v>
      </c>
      <c r="DK347" s="56">
        <f t="shared" si="466"/>
        <v>51</v>
      </c>
      <c r="DL347" s="59">
        <v>1540</v>
      </c>
      <c r="DM347" s="59">
        <v>1473</v>
      </c>
      <c r="DN347" s="59">
        <f t="shared" si="467"/>
        <v>67</v>
      </c>
      <c r="DO347" s="59"/>
      <c r="DQ347" s="116">
        <v>2021</v>
      </c>
      <c r="DR347" s="117" t="s">
        <v>43</v>
      </c>
      <c r="DS347" s="58">
        <f t="shared" si="468"/>
        <v>0.37962962962962965</v>
      </c>
      <c r="DT347" s="58">
        <f t="shared" si="469"/>
        <v>0.97619047619047616</v>
      </c>
      <c r="DU347" s="58">
        <f t="shared" si="470"/>
        <v>0.3888888888888889</v>
      </c>
      <c r="DV347" s="59">
        <v>216</v>
      </c>
      <c r="DW347" s="56">
        <f t="shared" si="471"/>
        <v>132</v>
      </c>
      <c r="DX347" s="59">
        <v>84</v>
      </c>
      <c r="DY347" s="59">
        <v>82</v>
      </c>
      <c r="DZ347" s="59">
        <f t="shared" si="472"/>
        <v>2</v>
      </c>
      <c r="EA347" s="56"/>
    </row>
    <row r="348" spans="1:142">
      <c r="A348" s="116">
        <v>2021</v>
      </c>
      <c r="B348" s="117" t="s">
        <v>44</v>
      </c>
      <c r="C348" s="101">
        <f>I348/F348</f>
        <v>0.81838671925794282</v>
      </c>
      <c r="D348" s="101">
        <f>I348/H348</f>
        <v>0.94089799172771216</v>
      </c>
      <c r="E348" s="101">
        <f>H348/F348</f>
        <v>0.86979324693337956</v>
      </c>
      <c r="F348" s="59">
        <f>+R348+AP348+BB348+BZ348+CL348+CX348+DJ348+BN348+DV348</f>
        <v>23071</v>
      </c>
      <c r="G348" s="56">
        <f>F348-H348</f>
        <v>3004</v>
      </c>
      <c r="H348" s="59">
        <f>+T348+AR348+BD348+CB348+CN348+CZ348+DL348+BP348+DX348</f>
        <v>20067</v>
      </c>
      <c r="I348" s="59">
        <f>+U348+AS348+BE348+CC348+CO348+DA348+DM348+BQ348+DY348</f>
        <v>18881</v>
      </c>
      <c r="J348" s="59">
        <f>H348-I348</f>
        <v>1186</v>
      </c>
      <c r="K348" s="59"/>
      <c r="M348" s="116">
        <v>2021</v>
      </c>
      <c r="N348" s="117" t="s">
        <v>44</v>
      </c>
      <c r="O348" s="58">
        <f>U348/R348</f>
        <v>0.828125</v>
      </c>
      <c r="P348" s="58">
        <f>U348/T348</f>
        <v>0.95015303891560998</v>
      </c>
      <c r="Q348" s="58">
        <f>T348/R348</f>
        <v>0.87157012195121952</v>
      </c>
      <c r="R348" s="59">
        <v>5248</v>
      </c>
      <c r="S348" s="56">
        <f t="shared" si="484"/>
        <v>674</v>
      </c>
      <c r="T348" s="59">
        <v>4574</v>
      </c>
      <c r="U348" s="59">
        <v>4346</v>
      </c>
      <c r="V348" s="59">
        <f>T348-U348</f>
        <v>228</v>
      </c>
      <c r="W348" s="59"/>
      <c r="Y348" s="159"/>
      <c r="Z348" s="160"/>
      <c r="AA348" s="58"/>
      <c r="AB348" s="58"/>
      <c r="AC348" s="58"/>
      <c r="AD348" s="59"/>
      <c r="AE348" s="56"/>
      <c r="AF348" s="59"/>
      <c r="AG348" s="59"/>
      <c r="AH348" s="59"/>
      <c r="AI348" s="59"/>
      <c r="AK348" s="116">
        <v>2021</v>
      </c>
      <c r="AL348" s="117" t="s">
        <v>44</v>
      </c>
      <c r="AM348" s="58">
        <f>AS348/AP348</f>
        <v>0.9106332609982245</v>
      </c>
      <c r="AN348" s="58">
        <f>AS348/AR348</f>
        <v>0.96609460025115113</v>
      </c>
      <c r="AO348" s="58">
        <f>AR348/AP348</f>
        <v>0.94259222726376013</v>
      </c>
      <c r="AP348" s="59">
        <v>5069</v>
      </c>
      <c r="AQ348" s="56">
        <f t="shared" si="489"/>
        <v>291</v>
      </c>
      <c r="AR348" s="59">
        <v>4778</v>
      </c>
      <c r="AS348" s="59">
        <v>4616</v>
      </c>
      <c r="AT348" s="59">
        <f>AR348-AS348</f>
        <v>162</v>
      </c>
      <c r="AU348" s="59"/>
      <c r="AW348" s="116">
        <v>2021</v>
      </c>
      <c r="AX348" s="117" t="s">
        <v>44</v>
      </c>
      <c r="AY348" s="58">
        <f>BE348/BB348</f>
        <v>0.7713912475506205</v>
      </c>
      <c r="AZ348" s="58">
        <f>BE348/BD348</f>
        <v>0.87503087182020256</v>
      </c>
      <c r="BA348" s="58">
        <f>BD348/BB348</f>
        <v>0.88155889396908338</v>
      </c>
      <c r="BB348" s="59">
        <v>4593</v>
      </c>
      <c r="BC348" s="56">
        <f t="shared" si="494"/>
        <v>544</v>
      </c>
      <c r="BD348" s="59">
        <v>4049</v>
      </c>
      <c r="BE348" s="59">
        <v>3543</v>
      </c>
      <c r="BF348" s="59">
        <f>BD348-BE348</f>
        <v>506</v>
      </c>
      <c r="BG348" s="59"/>
      <c r="BI348" s="116">
        <v>2021</v>
      </c>
      <c r="BJ348" s="117" t="s">
        <v>44</v>
      </c>
      <c r="BK348" s="58">
        <f>BQ348/BN348</f>
        <v>0.88304808475957619</v>
      </c>
      <c r="BL348" s="58">
        <f>BQ348/BP348</f>
        <v>0.97174887892376682</v>
      </c>
      <c r="BM348" s="58">
        <f>BP348/BN348</f>
        <v>0.90872045639771803</v>
      </c>
      <c r="BN348" s="59">
        <v>2454</v>
      </c>
      <c r="BO348" s="56">
        <f t="shared" si="499"/>
        <v>224</v>
      </c>
      <c r="BP348" s="59">
        <v>2230</v>
      </c>
      <c r="BQ348" s="59">
        <v>2167</v>
      </c>
      <c r="BR348" s="59">
        <f>BP348-BQ348</f>
        <v>63</v>
      </c>
      <c r="BS348" s="59"/>
      <c r="BU348" s="116">
        <v>2021</v>
      </c>
      <c r="BV348" s="117" t="s">
        <v>44</v>
      </c>
      <c r="BW348" s="58">
        <f>CC348/BZ348</f>
        <v>0.82429816069699902</v>
      </c>
      <c r="BX348" s="58">
        <f>CC348/CB348</f>
        <v>0.9398454746136865</v>
      </c>
      <c r="BY348" s="58">
        <f>CB348/BZ348</f>
        <v>0.87705711519845109</v>
      </c>
      <c r="BZ348" s="59">
        <v>2066</v>
      </c>
      <c r="CA348" s="56">
        <f t="shared" si="504"/>
        <v>254</v>
      </c>
      <c r="CB348" s="59">
        <v>1812</v>
      </c>
      <c r="CC348" s="59">
        <v>1703</v>
      </c>
      <c r="CD348" s="59">
        <f>CB348-CC348</f>
        <v>109</v>
      </c>
      <c r="CE348" s="59"/>
      <c r="CG348" s="116">
        <v>2021</v>
      </c>
      <c r="CH348" s="117" t="s">
        <v>44</v>
      </c>
      <c r="CI348" s="58">
        <f>CO348/CL348</f>
        <v>0.47285464098073554</v>
      </c>
      <c r="CJ348" s="58">
        <f>CO348/CN348</f>
        <v>0.98360655737704916</v>
      </c>
      <c r="CK348" s="58">
        <f>CN348/CL348</f>
        <v>0.48073555166374782</v>
      </c>
      <c r="CL348" s="59">
        <v>1142</v>
      </c>
      <c r="CM348" s="56">
        <f t="shared" si="509"/>
        <v>593</v>
      </c>
      <c r="CN348" s="59">
        <v>549</v>
      </c>
      <c r="CO348" s="59">
        <v>540</v>
      </c>
      <c r="CP348" s="59">
        <f>CN348-CO348</f>
        <v>9</v>
      </c>
      <c r="CQ348" s="59"/>
      <c r="CS348" s="116">
        <v>2021</v>
      </c>
      <c r="CT348" s="117" t="s">
        <v>44</v>
      </c>
      <c r="CU348" s="58">
        <f>DA348/CX348</f>
        <v>0.6</v>
      </c>
      <c r="CV348" s="58">
        <f>DA348/CZ348</f>
        <v>0.96875</v>
      </c>
      <c r="CW348" s="58">
        <f>CZ348/CX348</f>
        <v>0.61935483870967745</v>
      </c>
      <c r="CX348" s="59">
        <v>620</v>
      </c>
      <c r="CY348" s="56">
        <f>CX348-CZ348</f>
        <v>236</v>
      </c>
      <c r="CZ348" s="59">
        <v>384</v>
      </c>
      <c r="DA348" s="59">
        <v>372</v>
      </c>
      <c r="DB348" s="59">
        <f>CZ348-DA348</f>
        <v>12</v>
      </c>
      <c r="DC348" s="59"/>
      <c r="DE348" s="116">
        <v>2021</v>
      </c>
      <c r="DF348" s="117" t="s">
        <v>44</v>
      </c>
      <c r="DG348" s="58">
        <f>DM348/DJ348</f>
        <v>0.92486255345143553</v>
      </c>
      <c r="DH348" s="58">
        <f>DM348/DL348</f>
        <v>0.94212818917237084</v>
      </c>
      <c r="DI348" s="58">
        <f>DL348/DJ348</f>
        <v>0.98167379352474038</v>
      </c>
      <c r="DJ348" s="59">
        <v>1637</v>
      </c>
      <c r="DK348" s="56">
        <f t="shared" si="466"/>
        <v>30</v>
      </c>
      <c r="DL348" s="59">
        <v>1607</v>
      </c>
      <c r="DM348" s="59">
        <v>1514</v>
      </c>
      <c r="DN348" s="59">
        <f>DL348-DM348</f>
        <v>93</v>
      </c>
      <c r="DO348" s="59"/>
      <c r="DQ348" s="116">
        <v>2021</v>
      </c>
      <c r="DR348" s="117" t="s">
        <v>44</v>
      </c>
      <c r="DS348" s="58">
        <f>DY348/DV348</f>
        <v>0.33057851239669422</v>
      </c>
      <c r="DT348" s="58">
        <f>DY348/DX348</f>
        <v>0.95238095238095233</v>
      </c>
      <c r="DU348" s="58">
        <f>DX348/DV348</f>
        <v>0.34710743801652894</v>
      </c>
      <c r="DV348" s="59">
        <v>242</v>
      </c>
      <c r="DW348" s="56">
        <f t="shared" si="471"/>
        <v>158</v>
      </c>
      <c r="DX348" s="59">
        <v>84</v>
      </c>
      <c r="DY348" s="59">
        <v>80</v>
      </c>
      <c r="DZ348" s="59">
        <f>DX348-DY348</f>
        <v>4</v>
      </c>
      <c r="EA348" s="56"/>
    </row>
    <row r="349" spans="1:142">
      <c r="A349" s="116">
        <v>2021</v>
      </c>
      <c r="B349" s="117" t="s">
        <v>45</v>
      </c>
      <c r="C349" s="101">
        <f>I349/F349</f>
        <v>0.78986809237915767</v>
      </c>
      <c r="D349" s="101">
        <f>I349/H349</f>
        <v>0.899580754641645</v>
      </c>
      <c r="E349" s="101">
        <f>H349/F349</f>
        <v>0.87804022963320039</v>
      </c>
      <c r="F349" s="59">
        <f>+R349+AP349+BB349+BZ349+CL349+CX349+DJ349+BN349+DV349</f>
        <v>22819</v>
      </c>
      <c r="G349" s="56">
        <f>F349-H349</f>
        <v>2783</v>
      </c>
      <c r="H349" s="59">
        <f>+T349+AR349+BD349+CB349+CN349+CZ349+DL349+BP349+DX349</f>
        <v>20036</v>
      </c>
      <c r="I349" s="59">
        <f>+U349+AS349+BE349+CC349+CO349+DA349+DM349+BQ349+DY349</f>
        <v>18024</v>
      </c>
      <c r="J349" s="59">
        <f>H349-I349</f>
        <v>2012</v>
      </c>
      <c r="K349" s="59"/>
      <c r="M349" s="116">
        <v>2021</v>
      </c>
      <c r="N349" s="117" t="s">
        <v>45</v>
      </c>
      <c r="O349" s="58">
        <f>U349/R349</f>
        <v>0.67913613575009646</v>
      </c>
      <c r="P349" s="58">
        <f>U349/T349</f>
        <v>0.8743793445878848</v>
      </c>
      <c r="Q349" s="58">
        <f>T349/R349</f>
        <v>0.77670651754724263</v>
      </c>
      <c r="R349" s="59">
        <v>5186</v>
      </c>
      <c r="S349" s="56">
        <f t="shared" si="484"/>
        <v>1158</v>
      </c>
      <c r="T349" s="59">
        <v>4028</v>
      </c>
      <c r="U349" s="59">
        <v>3522</v>
      </c>
      <c r="V349" s="59">
        <f>T349-U349</f>
        <v>506</v>
      </c>
      <c r="W349" s="59"/>
      <c r="Y349" s="159"/>
      <c r="Z349" s="160"/>
      <c r="AA349" s="58"/>
      <c r="AB349" s="58"/>
      <c r="AC349" s="58"/>
      <c r="AD349" s="59"/>
      <c r="AE349" s="56"/>
      <c r="AF349" s="59"/>
      <c r="AG349" s="59"/>
      <c r="AH349" s="59"/>
      <c r="AI349" s="59"/>
      <c r="AK349" s="116">
        <v>2021</v>
      </c>
      <c r="AL349" s="117" t="s">
        <v>45</v>
      </c>
      <c r="AM349" s="58">
        <f>AS349/AP349</f>
        <v>0.90176070428171273</v>
      </c>
      <c r="AN349" s="58">
        <f>AS349/AR349</f>
        <v>0.92280917280917285</v>
      </c>
      <c r="AO349" s="58">
        <f>AR349/AP349</f>
        <v>0.97719087635054025</v>
      </c>
      <c r="AP349" s="59">
        <v>4998</v>
      </c>
      <c r="AQ349" s="56">
        <f t="shared" si="489"/>
        <v>114</v>
      </c>
      <c r="AR349" s="59">
        <v>4884</v>
      </c>
      <c r="AS349" s="59">
        <v>4507</v>
      </c>
      <c r="AT349" s="59">
        <f>AR349-AS349</f>
        <v>377</v>
      </c>
      <c r="AU349" s="59"/>
      <c r="AW349" s="116">
        <v>2021</v>
      </c>
      <c r="AX349" s="117" t="s">
        <v>45</v>
      </c>
      <c r="AY349" s="58">
        <f>BE349/BB349</f>
        <v>0.79295154185022021</v>
      </c>
      <c r="AZ349" s="58">
        <f>BE349/BD349</f>
        <v>0.84171148000935236</v>
      </c>
      <c r="BA349" s="58">
        <f>BD349/BB349</f>
        <v>0.94207048458149778</v>
      </c>
      <c r="BB349" s="59">
        <v>4540</v>
      </c>
      <c r="BC349" s="56">
        <f t="shared" si="494"/>
        <v>263</v>
      </c>
      <c r="BD349" s="59">
        <v>4277</v>
      </c>
      <c r="BE349" s="59">
        <v>3600</v>
      </c>
      <c r="BF349" s="59">
        <f>BD349-BE349</f>
        <v>677</v>
      </c>
      <c r="BG349" s="59"/>
      <c r="BI349" s="116">
        <v>2021</v>
      </c>
      <c r="BJ349" s="117" t="s">
        <v>45</v>
      </c>
      <c r="BK349" s="58">
        <f>BQ349/BN349</f>
        <v>0.83877635386523353</v>
      </c>
      <c r="BL349" s="58">
        <f>BQ349/BP349</f>
        <v>0.89541041482789052</v>
      </c>
      <c r="BM349" s="58">
        <f>BP349/BN349</f>
        <v>0.93675072343943777</v>
      </c>
      <c r="BN349" s="59">
        <v>2419</v>
      </c>
      <c r="BO349" s="56">
        <f t="shared" si="499"/>
        <v>153</v>
      </c>
      <c r="BP349" s="59">
        <v>2266</v>
      </c>
      <c r="BQ349" s="59">
        <v>2029</v>
      </c>
      <c r="BR349" s="59">
        <f>BP349-BQ349</f>
        <v>237</v>
      </c>
      <c r="BS349" s="59"/>
      <c r="BU349" s="116">
        <v>2021</v>
      </c>
      <c r="BV349" s="117" t="s">
        <v>45</v>
      </c>
      <c r="BW349" s="58">
        <f>CC349/BZ349</f>
        <v>0.85539215686274506</v>
      </c>
      <c r="BX349" s="58">
        <f>CC349/CB349</f>
        <v>0.9198734844491302</v>
      </c>
      <c r="BY349" s="58">
        <f>CB349/BZ349</f>
        <v>0.92990196078431375</v>
      </c>
      <c r="BZ349" s="59">
        <v>2040</v>
      </c>
      <c r="CA349" s="56">
        <f t="shared" si="504"/>
        <v>143</v>
      </c>
      <c r="CB349" s="59">
        <v>1897</v>
      </c>
      <c r="CC349" s="59">
        <v>1745</v>
      </c>
      <c r="CD349" s="59">
        <f>CB349-CC349</f>
        <v>152</v>
      </c>
      <c r="CE349" s="59"/>
      <c r="CG349" s="116">
        <v>2021</v>
      </c>
      <c r="CH349" s="117" t="s">
        <v>45</v>
      </c>
      <c r="CI349" s="58">
        <f>CO349/CL349</f>
        <v>0.49430324276950044</v>
      </c>
      <c r="CJ349" s="58">
        <f>CO349/CN349</f>
        <v>0.98774080560420319</v>
      </c>
      <c r="CK349" s="58">
        <f>CN349/CL349</f>
        <v>0.50043821209465378</v>
      </c>
      <c r="CL349" s="59">
        <v>1141</v>
      </c>
      <c r="CM349" s="56">
        <f t="shared" si="509"/>
        <v>570</v>
      </c>
      <c r="CN349" s="59">
        <v>571</v>
      </c>
      <c r="CO349" s="59">
        <v>564</v>
      </c>
      <c r="CP349" s="59">
        <f>CN349-CO349</f>
        <v>7</v>
      </c>
      <c r="CQ349" s="59"/>
      <c r="CS349" s="116">
        <v>2021</v>
      </c>
      <c r="CT349" s="117" t="s">
        <v>45</v>
      </c>
      <c r="CU349" s="58">
        <f>DA349/CX349</f>
        <v>0.67096774193548392</v>
      </c>
      <c r="CV349" s="58">
        <f>DA349/CZ349</f>
        <v>0.99047619047619051</v>
      </c>
      <c r="CW349" s="58">
        <f>CZ349/CX349</f>
        <v>0.67741935483870963</v>
      </c>
      <c r="CX349" s="59">
        <v>620</v>
      </c>
      <c r="CY349" s="56">
        <f>CX349-CZ349</f>
        <v>200</v>
      </c>
      <c r="CZ349" s="59">
        <v>420</v>
      </c>
      <c r="DA349" s="59">
        <v>416</v>
      </c>
      <c r="DB349" s="59">
        <f>CZ349-DA349</f>
        <v>4</v>
      </c>
      <c r="DC349" s="59"/>
      <c r="DE349" s="116">
        <v>2021</v>
      </c>
      <c r="DF349" s="117" t="s">
        <v>45</v>
      </c>
      <c r="DG349" s="58">
        <f>DM349/DJ349</f>
        <v>0.95468462951622779</v>
      </c>
      <c r="DH349" s="58">
        <f>DM349/DL349</f>
        <v>0.96892479801118703</v>
      </c>
      <c r="DI349" s="58">
        <f>DL349/DJ349</f>
        <v>0.98530312308634416</v>
      </c>
      <c r="DJ349" s="59">
        <v>1633</v>
      </c>
      <c r="DK349" s="56">
        <f t="shared" si="466"/>
        <v>24</v>
      </c>
      <c r="DL349" s="59">
        <v>1609</v>
      </c>
      <c r="DM349" s="59">
        <v>1559</v>
      </c>
      <c r="DN349" s="59">
        <f>DL349-DM349</f>
        <v>50</v>
      </c>
      <c r="DO349" s="59"/>
      <c r="DQ349" s="116">
        <v>2021</v>
      </c>
      <c r="DR349" s="117" t="s">
        <v>45</v>
      </c>
      <c r="DS349" s="58">
        <f>DY349/DV349</f>
        <v>0.33884297520661155</v>
      </c>
      <c r="DT349" s="58">
        <f>DY349/DX349</f>
        <v>0.97619047619047616</v>
      </c>
      <c r="DU349" s="58">
        <f>DX349/DV349</f>
        <v>0.34710743801652894</v>
      </c>
      <c r="DV349" s="59">
        <v>242</v>
      </c>
      <c r="DW349" s="56">
        <f t="shared" si="471"/>
        <v>158</v>
      </c>
      <c r="DX349" s="59">
        <v>84</v>
      </c>
      <c r="DY349" s="59">
        <v>82</v>
      </c>
      <c r="DZ349" s="59">
        <f>DX349-DY349</f>
        <v>2</v>
      </c>
      <c r="EA349" s="56"/>
    </row>
    <row r="350" spans="1:142">
      <c r="A350" s="140" t="s">
        <v>93</v>
      </c>
      <c r="B350" s="139"/>
      <c r="C350" s="58">
        <f t="shared" ref="C350" si="527">I350/F350</f>
        <v>0.84447641435468757</v>
      </c>
      <c r="D350" s="58">
        <f t="shared" ref="D350" si="528">I350/H350</f>
        <v>0.89703720589285696</v>
      </c>
      <c r="E350" s="58">
        <f t="shared" ref="E350" si="529">H350/F350</f>
        <v>0.94140623020663505</v>
      </c>
      <c r="F350" s="124">
        <f>SUBTOTAL(109,ROCA[Trenes Programados])</f>
        <v>7302005</v>
      </c>
      <c r="G350" s="121">
        <f>SUBTOTAL(109,ROCA[Trenes Cancelados])</f>
        <v>427852</v>
      </c>
      <c r="H350" s="124">
        <f>SUBTOTAL(109,ROCA[Trenes Corridos])</f>
        <v>6874153</v>
      </c>
      <c r="I350" s="124">
        <f>SUBTOTAL(109,ROCA[Trenes Puntuales])</f>
        <v>6166371</v>
      </c>
      <c r="J350" s="124">
        <f>SUBTOTAL(109,ROCA[Trenes Atrasados])</f>
        <v>707782</v>
      </c>
      <c r="K350" s="123">
        <f>SUBTOTAL(103,ROCA[Observaciones])</f>
        <v>1</v>
      </c>
      <c r="AD350" s="89"/>
      <c r="AF350" s="89"/>
      <c r="AG350" s="89"/>
      <c r="DP350" s="89"/>
    </row>
    <row r="351" spans="1:142">
      <c r="R351" s="89"/>
      <c r="T351" s="89"/>
      <c r="U351" s="89"/>
      <c r="AD351" s="89"/>
      <c r="AF351" s="89"/>
      <c r="AG351" s="89"/>
      <c r="DJ351" s="89"/>
      <c r="DL351" s="89"/>
      <c r="DM351" s="89"/>
      <c r="DN351" s="89"/>
      <c r="DO351" s="89"/>
      <c r="DP351" s="89"/>
    </row>
    <row r="352" spans="1:142">
      <c r="R352" s="89"/>
      <c r="T352" s="89"/>
      <c r="U352" s="89"/>
      <c r="AD352" s="89"/>
      <c r="AF352" s="89"/>
      <c r="AG352" s="89"/>
      <c r="DJ352" s="89"/>
      <c r="DL352" s="89"/>
      <c r="DM352" s="89"/>
      <c r="DN352" s="89"/>
      <c r="DO352" s="89"/>
      <c r="DP352" s="89"/>
    </row>
    <row r="353" spans="18:120">
      <c r="R353" s="89"/>
      <c r="T353" s="89"/>
      <c r="U353" s="89"/>
      <c r="AD353" s="89"/>
      <c r="AF353" s="89"/>
      <c r="AG353" s="89"/>
      <c r="DJ353" s="89"/>
      <c r="DL353" s="89"/>
      <c r="DM353" s="89"/>
      <c r="DN353" s="89"/>
      <c r="DO353" s="89"/>
      <c r="DP353" s="89"/>
    </row>
    <row r="354" spans="18:120">
      <c r="R354" s="89"/>
      <c r="T354" s="89"/>
      <c r="U354" s="89"/>
      <c r="AD354" s="89"/>
      <c r="AF354" s="89"/>
      <c r="AG354" s="89"/>
      <c r="DJ354" s="89"/>
      <c r="DL354" s="89"/>
      <c r="DM354" s="89"/>
      <c r="DN354" s="89"/>
      <c r="DO354" s="89"/>
      <c r="DP354" s="89"/>
    </row>
    <row r="355" spans="18:120">
      <c r="R355" s="89"/>
      <c r="T355" s="89"/>
      <c r="U355" s="89"/>
      <c r="AD355" s="89"/>
      <c r="AF355" s="89"/>
      <c r="AG355" s="89"/>
      <c r="DJ355" s="89"/>
      <c r="DL355" s="89"/>
      <c r="DM355" s="89"/>
      <c r="DN355" s="89"/>
      <c r="DO355" s="89"/>
      <c r="DP355" s="89"/>
    </row>
    <row r="356" spans="18:120">
      <c r="R356" s="89"/>
      <c r="T356" s="89"/>
      <c r="U356" s="89"/>
      <c r="AD356" s="89"/>
      <c r="AF356" s="89"/>
      <c r="AG356" s="89"/>
      <c r="DJ356" s="89"/>
      <c r="DL356" s="89"/>
      <c r="DM356" s="89"/>
      <c r="DN356" s="89"/>
      <c r="DO356" s="89"/>
      <c r="DP356" s="89"/>
    </row>
    <row r="357" spans="18:120">
      <c r="R357" s="89"/>
      <c r="T357" s="89"/>
      <c r="U357" s="89"/>
      <c r="AD357" s="89"/>
      <c r="AF357" s="89"/>
      <c r="AG357" s="89"/>
      <c r="DJ357" s="89"/>
      <c r="DL357" s="89"/>
      <c r="DM357" s="89"/>
      <c r="DN357" s="89"/>
      <c r="DO357" s="89"/>
      <c r="DP357" s="89"/>
    </row>
    <row r="358" spans="18:120">
      <c r="R358" s="89"/>
      <c r="T358" s="89"/>
      <c r="U358" s="89"/>
      <c r="AD358" s="89"/>
      <c r="AF358" s="89"/>
      <c r="AG358" s="89"/>
      <c r="DJ358" s="89"/>
      <c r="DL358" s="89"/>
      <c r="DM358" s="89"/>
      <c r="DN358" s="89"/>
      <c r="DO358" s="89"/>
      <c r="DP358" s="89"/>
    </row>
    <row r="359" spans="18:120">
      <c r="R359" s="89"/>
      <c r="T359" s="89"/>
      <c r="U359" s="89"/>
      <c r="AD359" s="89"/>
      <c r="AF359" s="89"/>
      <c r="AG359" s="89"/>
      <c r="DJ359" s="89"/>
      <c r="DL359" s="89"/>
      <c r="DM359" s="89"/>
      <c r="DN359" s="89"/>
      <c r="DO359" s="89"/>
      <c r="DP359" s="89"/>
    </row>
    <row r="360" spans="18:120">
      <c r="R360" s="89"/>
      <c r="T360" s="89"/>
      <c r="U360" s="89"/>
      <c r="AD360" s="89"/>
      <c r="AF360" s="89"/>
      <c r="AG360" s="89"/>
      <c r="DJ360" s="89"/>
      <c r="DL360" s="89"/>
      <c r="DM360" s="89"/>
      <c r="DN360" s="89"/>
      <c r="DO360" s="89"/>
      <c r="DP360" s="89"/>
    </row>
    <row r="361" spans="18:120">
      <c r="R361" s="89"/>
      <c r="T361" s="89"/>
      <c r="U361" s="89"/>
      <c r="AD361" s="89"/>
      <c r="AF361" s="89"/>
      <c r="AG361" s="89"/>
      <c r="DJ361" s="89"/>
      <c r="DL361" s="89"/>
      <c r="DM361" s="89"/>
      <c r="DN361" s="89"/>
      <c r="DO361" s="89"/>
      <c r="DP361" s="89"/>
    </row>
    <row r="362" spans="18:120">
      <c r="R362" s="89"/>
      <c r="T362" s="89"/>
      <c r="U362" s="89"/>
      <c r="DJ362" s="89"/>
      <c r="DL362" s="89"/>
      <c r="DM362" s="89"/>
      <c r="DN362" s="89"/>
      <c r="DO362" s="89"/>
    </row>
  </sheetData>
  <mergeCells count="7">
    <mergeCell ref="M4:P4"/>
    <mergeCell ref="Y4:AB4"/>
    <mergeCell ref="CG3:CO3"/>
    <mergeCell ref="DE3:DM3"/>
    <mergeCell ref="M3:W3"/>
    <mergeCell ref="AW3:BG3"/>
    <mergeCell ref="Y3:AI3"/>
  </mergeCells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fitToWidth="3" orientation="landscape" horizontalDpi="300" verticalDpi="300" r:id="rId1"/>
  <headerFooter alignWithMargins="0">
    <oddHeader>&amp;C&amp;14Cumplimiento del Servicio de Trenes
Línea Roca</oddHeader>
  </headerFooter>
  <ignoredErrors>
    <ignoredError sqref="F5:I133 F134:I212 F213:I291 F292:I341" calculatedColumn="1"/>
  </ignoredErrors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>
    <pageSetUpPr fitToPage="1"/>
  </sheetPr>
  <dimension ref="A1:K350"/>
  <sheetViews>
    <sheetView showGridLines="0" zoomScale="80" zoomScaleNormal="80" workbookViewId="0">
      <pane ySplit="5" topLeftCell="A328" activePane="bottomLeft" state="frozen"/>
      <selection pane="bottomLeft" activeCell="G349" sqref="G349"/>
    </sheetView>
  </sheetViews>
  <sheetFormatPr baseColWidth="10" defaultColWidth="11.5546875" defaultRowHeight="15"/>
  <cols>
    <col min="1" max="1" width="6" style="32" customWidth="1"/>
    <col min="2" max="10" width="8.77734375" style="32" customWidth="1"/>
    <col min="11" max="11" width="14" style="32" customWidth="1"/>
    <col min="12" max="16384" width="11.5546875" style="32"/>
  </cols>
  <sheetData>
    <row r="1" spans="1:11" s="70" customFormat="1" ht="20.25">
      <c r="A1" s="70" t="s">
        <v>7</v>
      </c>
    </row>
    <row r="2" spans="1:11" s="70" customFormat="1" ht="20.25">
      <c r="A2" s="70" t="s">
        <v>1</v>
      </c>
    </row>
    <row r="3" spans="1:11" s="75" customFormat="1" ht="15.75">
      <c r="A3" s="85" t="s">
        <v>76</v>
      </c>
      <c r="B3" s="72"/>
      <c r="C3" s="72"/>
      <c r="D3" s="72"/>
      <c r="E3" s="72"/>
      <c r="F3" s="72"/>
      <c r="G3" s="72"/>
      <c r="H3" s="72"/>
      <c r="I3" s="72"/>
    </row>
    <row r="4" spans="1:11" s="29" customFormat="1" ht="12.75">
      <c r="B4" s="80"/>
      <c r="C4" s="24"/>
      <c r="D4" s="24"/>
      <c r="E4" s="24"/>
      <c r="F4" s="24"/>
      <c r="G4" s="24"/>
      <c r="H4" s="24"/>
      <c r="I4" s="24"/>
      <c r="J4" s="24"/>
    </row>
    <row r="5" spans="1:11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</row>
    <row r="6" spans="1:11" s="29" customFormat="1" ht="13.5" thickTop="1">
      <c r="A6" s="45">
        <v>1993</v>
      </c>
      <c r="B6" s="48" t="s">
        <v>38</v>
      </c>
      <c r="C6" s="35">
        <f>I6/F6</f>
        <v>0.77551020408163263</v>
      </c>
      <c r="D6" s="35">
        <f>I6/H6</f>
        <v>0.83353365384615385</v>
      </c>
      <c r="E6" s="35">
        <f>H6/F6</f>
        <v>0.93038859379368188</v>
      </c>
      <c r="F6" s="20">
        <v>3577</v>
      </c>
      <c r="G6" s="20">
        <f t="shared" ref="G6:G17" si="0">F6-H6</f>
        <v>249</v>
      </c>
      <c r="H6" s="20">
        <v>3328</v>
      </c>
      <c r="I6" s="20">
        <v>2774</v>
      </c>
      <c r="J6" s="20">
        <f t="shared" ref="J6:J17" si="1">H6-I6</f>
        <v>554</v>
      </c>
    </row>
    <row r="7" spans="1:11" s="29" customFormat="1" ht="12.75">
      <c r="A7" s="46">
        <v>1993</v>
      </c>
      <c r="B7" s="47" t="s">
        <v>39</v>
      </c>
      <c r="C7" s="35">
        <f t="shared" ref="C7:C70" si="2">I7/F7</f>
        <v>0.78778718258766622</v>
      </c>
      <c r="D7" s="35">
        <f t="shared" ref="D7:D70" si="3">I7/H7</f>
        <v>0.81692789968652035</v>
      </c>
      <c r="E7" s="35">
        <f t="shared" ref="E7:E70" si="4">H7/F7</f>
        <v>0.964328899637243</v>
      </c>
      <c r="F7" s="20">
        <v>3308</v>
      </c>
      <c r="G7" s="20">
        <f t="shared" si="0"/>
        <v>118</v>
      </c>
      <c r="H7" s="20">
        <v>3190</v>
      </c>
      <c r="I7" s="20">
        <v>2606</v>
      </c>
      <c r="J7" s="20">
        <f t="shared" si="1"/>
        <v>584</v>
      </c>
    </row>
    <row r="8" spans="1:11" s="29" customFormat="1" ht="12.75">
      <c r="A8" s="45">
        <v>1993</v>
      </c>
      <c r="B8" s="48" t="s">
        <v>40</v>
      </c>
      <c r="C8" s="35">
        <f t="shared" si="2"/>
        <v>0.84287652645861599</v>
      </c>
      <c r="D8" s="35">
        <f t="shared" si="3"/>
        <v>0.88515246508976919</v>
      </c>
      <c r="E8" s="35">
        <f t="shared" si="4"/>
        <v>0.9522388059701492</v>
      </c>
      <c r="F8" s="20">
        <v>3685</v>
      </c>
      <c r="G8" s="20">
        <f t="shared" si="0"/>
        <v>176</v>
      </c>
      <c r="H8" s="20">
        <v>3509</v>
      </c>
      <c r="I8" s="20">
        <v>3106</v>
      </c>
      <c r="J8" s="20">
        <f t="shared" si="1"/>
        <v>403</v>
      </c>
    </row>
    <row r="9" spans="1:11" s="29" customFormat="1" ht="12.75">
      <c r="A9" s="46">
        <v>1993</v>
      </c>
      <c r="B9" s="47" t="s">
        <v>41</v>
      </c>
      <c r="C9" s="35">
        <f t="shared" si="2"/>
        <v>0.85376162299239222</v>
      </c>
      <c r="D9" s="35">
        <f t="shared" si="3"/>
        <v>0.87144089732528041</v>
      </c>
      <c r="E9" s="35">
        <f t="shared" si="4"/>
        <v>0.97971259509721054</v>
      </c>
      <c r="F9" s="20">
        <v>3549</v>
      </c>
      <c r="G9" s="20">
        <f t="shared" si="0"/>
        <v>72</v>
      </c>
      <c r="H9" s="20">
        <v>3477</v>
      </c>
      <c r="I9" s="20">
        <v>3030</v>
      </c>
      <c r="J9" s="20">
        <f t="shared" si="1"/>
        <v>447</v>
      </c>
    </row>
    <row r="10" spans="1:11" s="29" customFormat="1" ht="12.75">
      <c r="A10" s="45">
        <v>1993</v>
      </c>
      <c r="B10" s="48" t="s">
        <v>42</v>
      </c>
      <c r="C10" s="35">
        <f t="shared" si="2"/>
        <v>0.78636741479634242</v>
      </c>
      <c r="D10" s="35">
        <f t="shared" si="3"/>
        <v>0.83544303797468356</v>
      </c>
      <c r="E10" s="35">
        <f t="shared" si="4"/>
        <v>0.94125796619562208</v>
      </c>
      <c r="F10" s="20">
        <v>3609</v>
      </c>
      <c r="G10" s="20">
        <f t="shared" si="0"/>
        <v>212</v>
      </c>
      <c r="H10" s="20">
        <v>3397</v>
      </c>
      <c r="I10" s="20">
        <v>2838</v>
      </c>
      <c r="J10" s="20">
        <f t="shared" si="1"/>
        <v>559</v>
      </c>
    </row>
    <row r="11" spans="1:11" s="29" customFormat="1" ht="12.75">
      <c r="A11" s="46">
        <v>1993</v>
      </c>
      <c r="B11" s="47" t="s">
        <v>43</v>
      </c>
      <c r="C11" s="35">
        <f t="shared" si="2"/>
        <v>0.71163719338277243</v>
      </c>
      <c r="D11" s="35">
        <f t="shared" si="3"/>
        <v>0.7868180384736676</v>
      </c>
      <c r="E11" s="35">
        <f t="shared" si="4"/>
        <v>0.90444951511694238</v>
      </c>
      <c r="F11" s="20">
        <v>3506</v>
      </c>
      <c r="G11" s="20">
        <f t="shared" si="0"/>
        <v>335</v>
      </c>
      <c r="H11" s="20">
        <v>3171</v>
      </c>
      <c r="I11" s="20">
        <v>2495</v>
      </c>
      <c r="J11" s="20">
        <f t="shared" si="1"/>
        <v>676</v>
      </c>
    </row>
    <row r="12" spans="1:11" s="29" customFormat="1" ht="12.75">
      <c r="A12" s="45">
        <v>1993</v>
      </c>
      <c r="B12" s="48" t="s">
        <v>44</v>
      </c>
      <c r="C12" s="35">
        <f t="shared" si="2"/>
        <v>0.80418617460754616</v>
      </c>
      <c r="D12" s="35">
        <f t="shared" si="3"/>
        <v>0.84859052600988083</v>
      </c>
      <c r="E12" s="35">
        <f t="shared" si="4"/>
        <v>0.94767281740567333</v>
      </c>
      <c r="F12" s="20">
        <v>3631</v>
      </c>
      <c r="G12" s="20">
        <f t="shared" si="0"/>
        <v>190</v>
      </c>
      <c r="H12" s="20">
        <v>3441</v>
      </c>
      <c r="I12" s="20">
        <v>2920</v>
      </c>
      <c r="J12" s="20">
        <f t="shared" si="1"/>
        <v>521</v>
      </c>
    </row>
    <row r="13" spans="1:11" s="29" customFormat="1" ht="12.75">
      <c r="A13" s="46">
        <v>1993</v>
      </c>
      <c r="B13" s="47" t="s">
        <v>45</v>
      </c>
      <c r="C13" s="35">
        <f t="shared" si="2"/>
        <v>0.86916410399776345</v>
      </c>
      <c r="D13" s="35">
        <f t="shared" si="3"/>
        <v>0.90483119906868448</v>
      </c>
      <c r="E13" s="35">
        <f t="shared" si="4"/>
        <v>0.96058149287112105</v>
      </c>
      <c r="F13" s="20">
        <v>3577</v>
      </c>
      <c r="G13" s="20">
        <f t="shared" si="0"/>
        <v>141</v>
      </c>
      <c r="H13" s="20">
        <v>3436</v>
      </c>
      <c r="I13" s="20">
        <v>3109</v>
      </c>
      <c r="J13" s="20">
        <f t="shared" si="1"/>
        <v>327</v>
      </c>
    </row>
    <row r="14" spans="1:11" s="29" customFormat="1" ht="12.75">
      <c r="A14" s="45">
        <v>1993</v>
      </c>
      <c r="B14" s="48" t="s">
        <v>46</v>
      </c>
      <c r="C14" s="35">
        <f t="shared" si="2"/>
        <v>0.9185393258426966</v>
      </c>
      <c r="D14" s="35">
        <f t="shared" si="3"/>
        <v>0.92660810427883256</v>
      </c>
      <c r="E14" s="35">
        <f t="shared" si="4"/>
        <v>0.99129213483146073</v>
      </c>
      <c r="F14" s="20">
        <v>3560</v>
      </c>
      <c r="G14" s="20">
        <f t="shared" si="0"/>
        <v>31</v>
      </c>
      <c r="H14" s="20">
        <v>3529</v>
      </c>
      <c r="I14" s="20">
        <v>3270</v>
      </c>
      <c r="J14" s="20">
        <f t="shared" si="1"/>
        <v>259</v>
      </c>
    </row>
    <row r="15" spans="1:11" s="29" customFormat="1" ht="12.75">
      <c r="A15" s="46">
        <v>1993</v>
      </c>
      <c r="B15" s="47" t="s">
        <v>47</v>
      </c>
      <c r="C15" s="35">
        <f t="shared" si="2"/>
        <v>0.8607062780269058</v>
      </c>
      <c r="D15" s="35">
        <f t="shared" si="3"/>
        <v>0.87793024585477419</v>
      </c>
      <c r="E15" s="35">
        <f t="shared" si="4"/>
        <v>0.98038116591928248</v>
      </c>
      <c r="F15" s="20">
        <v>3568</v>
      </c>
      <c r="G15" s="20">
        <f t="shared" si="0"/>
        <v>70</v>
      </c>
      <c r="H15" s="20">
        <v>3498</v>
      </c>
      <c r="I15" s="20">
        <v>3071</v>
      </c>
      <c r="J15" s="20">
        <f t="shared" si="1"/>
        <v>427</v>
      </c>
    </row>
    <row r="16" spans="1:11" s="29" customFormat="1" ht="12.75">
      <c r="A16" s="45">
        <v>1993</v>
      </c>
      <c r="B16" s="48" t="s">
        <v>48</v>
      </c>
      <c r="C16" s="35">
        <f t="shared" si="2"/>
        <v>0.87721768515911014</v>
      </c>
      <c r="D16" s="35">
        <f t="shared" si="3"/>
        <v>0.89306192660550454</v>
      </c>
      <c r="E16" s="35">
        <f t="shared" si="4"/>
        <v>0.98225851872711911</v>
      </c>
      <c r="F16" s="20">
        <v>3551</v>
      </c>
      <c r="G16" s="20">
        <f t="shared" si="0"/>
        <v>63</v>
      </c>
      <c r="H16" s="20">
        <v>3488</v>
      </c>
      <c r="I16" s="20">
        <v>3115</v>
      </c>
      <c r="J16" s="20">
        <f t="shared" si="1"/>
        <v>373</v>
      </c>
    </row>
    <row r="17" spans="1:10" s="29" customFormat="1" ht="12.75">
      <c r="A17" s="46">
        <v>1993</v>
      </c>
      <c r="B17" s="47" t="s">
        <v>49</v>
      </c>
      <c r="C17" s="35">
        <f t="shared" si="2"/>
        <v>0.90311896218603371</v>
      </c>
      <c r="D17" s="35">
        <f t="shared" si="3"/>
        <v>0.91422184967868114</v>
      </c>
      <c r="E17" s="35">
        <f t="shared" si="4"/>
        <v>0.98785536847916089</v>
      </c>
      <c r="F17" s="20">
        <v>3623</v>
      </c>
      <c r="G17" s="20">
        <f t="shared" si="0"/>
        <v>44</v>
      </c>
      <c r="H17" s="20">
        <v>3579</v>
      </c>
      <c r="I17" s="20">
        <v>3272</v>
      </c>
      <c r="J17" s="20">
        <f t="shared" si="1"/>
        <v>307</v>
      </c>
    </row>
    <row r="18" spans="1:10" s="29" customFormat="1" ht="12.75">
      <c r="A18" s="45">
        <v>1994</v>
      </c>
      <c r="B18" s="48" t="s">
        <v>38</v>
      </c>
      <c r="C18" s="35">
        <f t="shared" si="2"/>
        <v>0.89402859545836832</v>
      </c>
      <c r="D18" s="35">
        <f t="shared" si="3"/>
        <v>0.92220936957779065</v>
      </c>
      <c r="E18" s="35">
        <f t="shared" si="4"/>
        <v>0.96944210821418564</v>
      </c>
      <c r="F18" s="20">
        <v>3567</v>
      </c>
      <c r="G18" s="20">
        <f t="shared" ref="G18:G29" si="5">F18-H18</f>
        <v>109</v>
      </c>
      <c r="H18" s="20">
        <v>3458</v>
      </c>
      <c r="I18" s="20">
        <v>3189</v>
      </c>
      <c r="J18" s="20">
        <f t="shared" ref="J18:J29" si="6">H18-I18</f>
        <v>269</v>
      </c>
    </row>
    <row r="19" spans="1:10" s="29" customFormat="1" ht="12.75">
      <c r="A19" s="46">
        <v>1994</v>
      </c>
      <c r="B19" s="47" t="s">
        <v>39</v>
      </c>
      <c r="C19" s="35">
        <f t="shared" si="2"/>
        <v>0.92212121212121212</v>
      </c>
      <c r="D19" s="35">
        <f t="shared" si="3"/>
        <v>0.93630769230769229</v>
      </c>
      <c r="E19" s="35">
        <f t="shared" si="4"/>
        <v>0.98484848484848486</v>
      </c>
      <c r="F19" s="20">
        <v>3300</v>
      </c>
      <c r="G19" s="20">
        <f t="shared" si="5"/>
        <v>50</v>
      </c>
      <c r="H19" s="20">
        <v>3250</v>
      </c>
      <c r="I19" s="20">
        <v>3043</v>
      </c>
      <c r="J19" s="20">
        <f t="shared" si="6"/>
        <v>207</v>
      </c>
    </row>
    <row r="20" spans="1:10" s="29" customFormat="1" ht="12.75">
      <c r="A20" s="45">
        <v>1994</v>
      </c>
      <c r="B20" s="48" t="s">
        <v>40</v>
      </c>
      <c r="C20" s="35">
        <f t="shared" si="2"/>
        <v>0.79934747145187601</v>
      </c>
      <c r="D20" s="35">
        <f t="shared" si="3"/>
        <v>0.85044836563494364</v>
      </c>
      <c r="E20" s="35">
        <f t="shared" si="4"/>
        <v>0.93991299619358348</v>
      </c>
      <c r="F20" s="20">
        <v>3678</v>
      </c>
      <c r="G20" s="20">
        <f t="shared" si="5"/>
        <v>221</v>
      </c>
      <c r="H20" s="20">
        <v>3457</v>
      </c>
      <c r="I20" s="20">
        <v>2940</v>
      </c>
      <c r="J20" s="20">
        <f t="shared" si="6"/>
        <v>517</v>
      </c>
    </row>
    <row r="21" spans="1:10" s="29" customFormat="1" ht="12.75">
      <c r="A21" s="46">
        <v>1994</v>
      </c>
      <c r="B21" s="47" t="s">
        <v>41</v>
      </c>
      <c r="C21" s="35">
        <f t="shared" si="2"/>
        <v>0.80096501809408926</v>
      </c>
      <c r="D21" s="35">
        <f t="shared" si="3"/>
        <v>0.83759066540523497</v>
      </c>
      <c r="E21" s="35">
        <f t="shared" si="4"/>
        <v>0.95627261761158022</v>
      </c>
      <c r="F21" s="20">
        <v>3316</v>
      </c>
      <c r="G21" s="20">
        <f t="shared" si="5"/>
        <v>145</v>
      </c>
      <c r="H21" s="20">
        <v>3171</v>
      </c>
      <c r="I21" s="20">
        <v>2656</v>
      </c>
      <c r="J21" s="20">
        <f t="shared" si="6"/>
        <v>515</v>
      </c>
    </row>
    <row r="22" spans="1:10" s="29" customFormat="1" ht="12.75">
      <c r="A22" s="45">
        <v>1994</v>
      </c>
      <c r="B22" s="48" t="s">
        <v>42</v>
      </c>
      <c r="C22" s="35">
        <f t="shared" si="2"/>
        <v>0.82090379817022452</v>
      </c>
      <c r="D22" s="35">
        <f t="shared" si="3"/>
        <v>0.86200873362445418</v>
      </c>
      <c r="E22" s="35">
        <f t="shared" si="4"/>
        <v>0.95231494316606602</v>
      </c>
      <c r="F22" s="20">
        <v>3607</v>
      </c>
      <c r="G22" s="20">
        <f t="shared" si="5"/>
        <v>172</v>
      </c>
      <c r="H22" s="20">
        <v>3435</v>
      </c>
      <c r="I22" s="20">
        <v>2961</v>
      </c>
      <c r="J22" s="20">
        <f t="shared" si="6"/>
        <v>474</v>
      </c>
    </row>
    <row r="23" spans="1:10" s="29" customFormat="1" ht="12.75">
      <c r="A23" s="46">
        <v>1994</v>
      </c>
      <c r="B23" s="47" t="s">
        <v>43</v>
      </c>
      <c r="C23" s="35">
        <f t="shared" si="2"/>
        <v>0.82936621737883565</v>
      </c>
      <c r="D23" s="35">
        <f t="shared" si="3"/>
        <v>0.89397217928902628</v>
      </c>
      <c r="E23" s="35">
        <f t="shared" si="4"/>
        <v>0.92773157441927157</v>
      </c>
      <c r="F23" s="20">
        <v>3487</v>
      </c>
      <c r="G23" s="20">
        <f t="shared" si="5"/>
        <v>252</v>
      </c>
      <c r="H23" s="20">
        <v>3235</v>
      </c>
      <c r="I23" s="20">
        <v>2892</v>
      </c>
      <c r="J23" s="20">
        <f t="shared" si="6"/>
        <v>343</v>
      </c>
    </row>
    <row r="24" spans="1:10" s="29" customFormat="1" ht="12.75">
      <c r="A24" s="45">
        <v>1994</v>
      </c>
      <c r="B24" s="48" t="s">
        <v>44</v>
      </c>
      <c r="C24" s="35">
        <f t="shared" si="2"/>
        <v>0.87074453362856352</v>
      </c>
      <c r="D24" s="35">
        <f t="shared" si="3"/>
        <v>0.89527603870233352</v>
      </c>
      <c r="E24" s="35">
        <f t="shared" si="4"/>
        <v>0.97259894824245774</v>
      </c>
      <c r="F24" s="20">
        <v>3613</v>
      </c>
      <c r="G24" s="20">
        <f t="shared" si="5"/>
        <v>99</v>
      </c>
      <c r="H24" s="20">
        <v>3514</v>
      </c>
      <c r="I24" s="20">
        <v>3146</v>
      </c>
      <c r="J24" s="20">
        <f t="shared" si="6"/>
        <v>368</v>
      </c>
    </row>
    <row r="25" spans="1:10" s="29" customFormat="1" ht="12.75">
      <c r="A25" s="46">
        <v>1994</v>
      </c>
      <c r="B25" s="47" t="s">
        <v>45</v>
      </c>
      <c r="C25" s="35">
        <f t="shared" si="2"/>
        <v>0.89500954458685578</v>
      </c>
      <c r="D25" s="35">
        <f t="shared" si="3"/>
        <v>0.90662983425414367</v>
      </c>
      <c r="E25" s="35">
        <f t="shared" si="4"/>
        <v>0.98718298336514865</v>
      </c>
      <c r="F25" s="20">
        <v>3667</v>
      </c>
      <c r="G25" s="20">
        <f t="shared" si="5"/>
        <v>47</v>
      </c>
      <c r="H25" s="20">
        <v>3620</v>
      </c>
      <c r="I25" s="20">
        <v>3282</v>
      </c>
      <c r="J25" s="20">
        <f t="shared" si="6"/>
        <v>338</v>
      </c>
    </row>
    <row r="26" spans="1:10" s="29" customFormat="1" ht="12.75">
      <c r="A26" s="45">
        <v>1994</v>
      </c>
      <c r="B26" s="48" t="s">
        <v>46</v>
      </c>
      <c r="C26" s="35">
        <f t="shared" si="2"/>
        <v>0.95641838351822506</v>
      </c>
      <c r="D26" s="35">
        <f t="shared" si="3"/>
        <v>0.96277585748471151</v>
      </c>
      <c r="E26" s="35">
        <f t="shared" si="4"/>
        <v>0.99339672477548868</v>
      </c>
      <c r="F26" s="20">
        <v>3786</v>
      </c>
      <c r="G26" s="20">
        <f t="shared" si="5"/>
        <v>25</v>
      </c>
      <c r="H26" s="20">
        <v>3761</v>
      </c>
      <c r="I26" s="20">
        <v>3621</v>
      </c>
      <c r="J26" s="20">
        <f t="shared" si="6"/>
        <v>140</v>
      </c>
    </row>
    <row r="27" spans="1:10" s="29" customFormat="1" ht="12.75">
      <c r="A27" s="46">
        <v>1994</v>
      </c>
      <c r="B27" s="47" t="s">
        <v>47</v>
      </c>
      <c r="C27" s="35">
        <f t="shared" si="2"/>
        <v>0.92661021298434698</v>
      </c>
      <c r="D27" s="35">
        <f t="shared" si="3"/>
        <v>0.94060953373274292</v>
      </c>
      <c r="E27" s="35">
        <f t="shared" si="4"/>
        <v>0.98511675647934305</v>
      </c>
      <c r="F27" s="20">
        <v>3897</v>
      </c>
      <c r="G27" s="20">
        <f t="shared" si="5"/>
        <v>58</v>
      </c>
      <c r="H27" s="20">
        <v>3839</v>
      </c>
      <c r="I27" s="20">
        <v>3611</v>
      </c>
      <c r="J27" s="20">
        <f t="shared" si="6"/>
        <v>228</v>
      </c>
    </row>
    <row r="28" spans="1:10" s="29" customFormat="1" ht="12.75">
      <c r="A28" s="45">
        <v>1994</v>
      </c>
      <c r="B28" s="48" t="s">
        <v>48</v>
      </c>
      <c r="C28" s="35">
        <f t="shared" si="2"/>
        <v>0.90169840452907879</v>
      </c>
      <c r="D28" s="35">
        <f t="shared" si="3"/>
        <v>0.91297550807712347</v>
      </c>
      <c r="E28" s="35">
        <f t="shared" si="4"/>
        <v>0.98764796706124547</v>
      </c>
      <c r="F28" s="20">
        <v>3886</v>
      </c>
      <c r="G28" s="20">
        <f t="shared" si="5"/>
        <v>48</v>
      </c>
      <c r="H28" s="20">
        <v>3838</v>
      </c>
      <c r="I28" s="20">
        <v>3504</v>
      </c>
      <c r="J28" s="20">
        <f t="shared" si="6"/>
        <v>334</v>
      </c>
    </row>
    <row r="29" spans="1:10" s="29" customFormat="1" ht="12.75">
      <c r="A29" s="46">
        <v>1994</v>
      </c>
      <c r="B29" s="47" t="s">
        <v>49</v>
      </c>
      <c r="C29" s="35">
        <f t="shared" si="2"/>
        <v>0.94938917975567194</v>
      </c>
      <c r="D29" s="35">
        <f t="shared" si="3"/>
        <v>0.95462521935322131</v>
      </c>
      <c r="E29" s="35">
        <f t="shared" si="4"/>
        <v>0.99451508352031914</v>
      </c>
      <c r="F29" s="20">
        <v>4011</v>
      </c>
      <c r="G29" s="20">
        <f t="shared" si="5"/>
        <v>22</v>
      </c>
      <c r="H29" s="20">
        <v>3989</v>
      </c>
      <c r="I29" s="20">
        <v>3808</v>
      </c>
      <c r="J29" s="20">
        <f t="shared" si="6"/>
        <v>181</v>
      </c>
    </row>
    <row r="30" spans="1:10" s="29" customFormat="1" ht="12.75">
      <c r="A30" s="45">
        <v>1995</v>
      </c>
      <c r="B30" s="48" t="s">
        <v>38</v>
      </c>
      <c r="C30" s="35">
        <f t="shared" si="2"/>
        <v>0.95740927419354838</v>
      </c>
      <c r="D30" s="35">
        <f t="shared" si="3"/>
        <v>0.96543837357052098</v>
      </c>
      <c r="E30" s="35">
        <f t="shared" si="4"/>
        <v>0.9916834677419355</v>
      </c>
      <c r="F30" s="20">
        <v>3968</v>
      </c>
      <c r="G30" s="20">
        <f t="shared" ref="G30:G41" si="7">F30-H30</f>
        <v>33</v>
      </c>
      <c r="H30" s="20">
        <v>3935</v>
      </c>
      <c r="I30" s="20">
        <v>3799</v>
      </c>
      <c r="J30" s="20">
        <f t="shared" ref="J30:J41" si="8">H30-I30</f>
        <v>136</v>
      </c>
    </row>
    <row r="31" spans="1:10" s="29" customFormat="1" ht="12.75">
      <c r="A31" s="46">
        <v>1995</v>
      </c>
      <c r="B31" s="47" t="s">
        <v>39</v>
      </c>
      <c r="C31" s="35">
        <f t="shared" si="2"/>
        <v>0.93070953436807091</v>
      </c>
      <c r="D31" s="35">
        <f t="shared" si="3"/>
        <v>0.94939214023183494</v>
      </c>
      <c r="E31" s="35">
        <f t="shared" si="4"/>
        <v>0.98032150776053217</v>
      </c>
      <c r="F31" s="20">
        <v>3608</v>
      </c>
      <c r="G31" s="20">
        <f t="shared" si="7"/>
        <v>71</v>
      </c>
      <c r="H31" s="20">
        <v>3537</v>
      </c>
      <c r="I31" s="20">
        <v>3358</v>
      </c>
      <c r="J31" s="20">
        <f t="shared" si="8"/>
        <v>179</v>
      </c>
    </row>
    <row r="32" spans="1:10" s="29" customFormat="1" ht="12.75">
      <c r="A32" s="45">
        <v>1995</v>
      </c>
      <c r="B32" s="48" t="s">
        <v>40</v>
      </c>
      <c r="C32" s="35">
        <f t="shared" si="2"/>
        <v>0.92233489982686123</v>
      </c>
      <c r="D32" s="35">
        <f t="shared" si="3"/>
        <v>0.929925187032419</v>
      </c>
      <c r="E32" s="35">
        <f t="shared" si="4"/>
        <v>0.99183774424931981</v>
      </c>
      <c r="F32" s="20">
        <v>4043</v>
      </c>
      <c r="G32" s="20">
        <f t="shared" si="7"/>
        <v>33</v>
      </c>
      <c r="H32" s="20">
        <v>4010</v>
      </c>
      <c r="I32" s="20">
        <v>3729</v>
      </c>
      <c r="J32" s="20">
        <f t="shared" si="8"/>
        <v>281</v>
      </c>
    </row>
    <row r="33" spans="1:10" s="29" customFormat="1" ht="12.75">
      <c r="A33" s="46">
        <v>1995</v>
      </c>
      <c r="B33" s="47" t="s">
        <v>41</v>
      </c>
      <c r="C33" s="35">
        <f t="shared" si="2"/>
        <v>0.86054499656514771</v>
      </c>
      <c r="D33" s="35">
        <f t="shared" si="3"/>
        <v>0.87619491723012355</v>
      </c>
      <c r="E33" s="35">
        <f t="shared" si="4"/>
        <v>0.98213876803297462</v>
      </c>
      <c r="F33" s="20">
        <v>4367</v>
      </c>
      <c r="G33" s="20">
        <f t="shared" si="7"/>
        <v>78</v>
      </c>
      <c r="H33" s="20">
        <v>4289</v>
      </c>
      <c r="I33" s="20">
        <v>3758</v>
      </c>
      <c r="J33" s="20">
        <f t="shared" si="8"/>
        <v>531</v>
      </c>
    </row>
    <row r="34" spans="1:10" s="29" customFormat="1" ht="12.75">
      <c r="A34" s="45">
        <v>1995</v>
      </c>
      <c r="B34" s="48" t="s">
        <v>42</v>
      </c>
      <c r="C34" s="35">
        <f t="shared" si="2"/>
        <v>0.87923681257014585</v>
      </c>
      <c r="D34" s="35">
        <f t="shared" si="3"/>
        <v>0.89470077661032432</v>
      </c>
      <c r="E34" s="35">
        <f t="shared" si="4"/>
        <v>0.98271604938271606</v>
      </c>
      <c r="F34" s="20">
        <v>4455</v>
      </c>
      <c r="G34" s="20">
        <f t="shared" si="7"/>
        <v>77</v>
      </c>
      <c r="H34" s="20">
        <v>4378</v>
      </c>
      <c r="I34" s="20">
        <v>3917</v>
      </c>
      <c r="J34" s="20">
        <f t="shared" si="8"/>
        <v>461</v>
      </c>
    </row>
    <row r="35" spans="1:10" s="29" customFormat="1" ht="12.75">
      <c r="A35" s="46">
        <v>1995</v>
      </c>
      <c r="B35" s="47" t="s">
        <v>43</v>
      </c>
      <c r="C35" s="35">
        <f t="shared" si="2"/>
        <v>0.94069529652351735</v>
      </c>
      <c r="D35" s="35">
        <f t="shared" si="3"/>
        <v>0.94910591471801931</v>
      </c>
      <c r="E35" s="35">
        <f t="shared" si="4"/>
        <v>0.99113837764144508</v>
      </c>
      <c r="F35" s="20">
        <v>4401</v>
      </c>
      <c r="G35" s="20">
        <f t="shared" si="7"/>
        <v>39</v>
      </c>
      <c r="H35" s="20">
        <v>4362</v>
      </c>
      <c r="I35" s="20">
        <v>4140</v>
      </c>
      <c r="J35" s="20">
        <f t="shared" si="8"/>
        <v>222</v>
      </c>
    </row>
    <row r="36" spans="1:10" s="29" customFormat="1" ht="12.75">
      <c r="A36" s="45">
        <v>1995</v>
      </c>
      <c r="B36" s="48" t="s">
        <v>44</v>
      </c>
      <c r="C36" s="35">
        <f t="shared" si="2"/>
        <v>0.96280809859154926</v>
      </c>
      <c r="D36" s="35">
        <f t="shared" si="3"/>
        <v>0.96985147417424078</v>
      </c>
      <c r="E36" s="35">
        <f t="shared" si="4"/>
        <v>0.992737676056338</v>
      </c>
      <c r="F36" s="20">
        <v>4544</v>
      </c>
      <c r="G36" s="20">
        <f t="shared" si="7"/>
        <v>33</v>
      </c>
      <c r="H36" s="20">
        <v>4511</v>
      </c>
      <c r="I36" s="20">
        <v>4375</v>
      </c>
      <c r="J36" s="20">
        <f t="shared" si="8"/>
        <v>136</v>
      </c>
    </row>
    <row r="37" spans="1:10" s="29" customFormat="1" ht="12.75">
      <c r="A37" s="46">
        <v>1995</v>
      </c>
      <c r="B37" s="47" t="s">
        <v>45</v>
      </c>
      <c r="C37" s="35">
        <f t="shared" si="2"/>
        <v>0.96509598603839442</v>
      </c>
      <c r="D37" s="35">
        <f t="shared" si="3"/>
        <v>0.97466402291253584</v>
      </c>
      <c r="E37" s="35">
        <f t="shared" si="4"/>
        <v>0.99018324607329844</v>
      </c>
      <c r="F37" s="20">
        <v>4584</v>
      </c>
      <c r="G37" s="20">
        <f t="shared" si="7"/>
        <v>45</v>
      </c>
      <c r="H37" s="20">
        <v>4539</v>
      </c>
      <c r="I37" s="20">
        <v>4424</v>
      </c>
      <c r="J37" s="20">
        <f t="shared" si="8"/>
        <v>115</v>
      </c>
    </row>
    <row r="38" spans="1:10" s="29" customFormat="1" ht="12.75">
      <c r="A38" s="45">
        <v>1995</v>
      </c>
      <c r="B38" s="48" t="s">
        <v>46</v>
      </c>
      <c r="C38" s="35">
        <f t="shared" si="2"/>
        <v>0.96081540203850513</v>
      </c>
      <c r="D38" s="35">
        <f t="shared" si="3"/>
        <v>0.97382920110192839</v>
      </c>
      <c r="E38" s="35">
        <f t="shared" si="4"/>
        <v>0.98663646659116644</v>
      </c>
      <c r="F38" s="20">
        <v>4415</v>
      </c>
      <c r="G38" s="20">
        <f t="shared" si="7"/>
        <v>59</v>
      </c>
      <c r="H38" s="20">
        <v>4356</v>
      </c>
      <c r="I38" s="20">
        <v>4242</v>
      </c>
      <c r="J38" s="20">
        <f t="shared" si="8"/>
        <v>114</v>
      </c>
    </row>
    <row r="39" spans="1:10" s="29" customFormat="1" ht="12.75">
      <c r="A39" s="46">
        <v>1995</v>
      </c>
      <c r="B39" s="47" t="s">
        <v>47</v>
      </c>
      <c r="C39" s="35">
        <f t="shared" si="2"/>
        <v>0.97621669235851138</v>
      </c>
      <c r="D39" s="35">
        <f t="shared" si="3"/>
        <v>0.97945205479452058</v>
      </c>
      <c r="E39" s="35">
        <f t="shared" si="4"/>
        <v>0.99669676282757103</v>
      </c>
      <c r="F39" s="20">
        <v>4541</v>
      </c>
      <c r="G39" s="20">
        <f t="shared" si="7"/>
        <v>15</v>
      </c>
      <c r="H39" s="20">
        <v>4526</v>
      </c>
      <c r="I39" s="20">
        <v>4433</v>
      </c>
      <c r="J39" s="20">
        <f t="shared" si="8"/>
        <v>93</v>
      </c>
    </row>
    <row r="40" spans="1:10" s="29" customFormat="1" ht="12.75">
      <c r="A40" s="45">
        <v>1995</v>
      </c>
      <c r="B40" s="48" t="s">
        <v>48</v>
      </c>
      <c r="C40" s="35">
        <f t="shared" si="2"/>
        <v>0.95682326621923941</v>
      </c>
      <c r="D40" s="35">
        <f t="shared" si="3"/>
        <v>0.97072174307762138</v>
      </c>
      <c r="E40" s="35">
        <f t="shared" si="4"/>
        <v>0.9856823266219239</v>
      </c>
      <c r="F40" s="20">
        <v>4470</v>
      </c>
      <c r="G40" s="20">
        <f t="shared" si="7"/>
        <v>64</v>
      </c>
      <c r="H40" s="20">
        <v>4406</v>
      </c>
      <c r="I40" s="20">
        <v>4277</v>
      </c>
      <c r="J40" s="20">
        <f t="shared" si="8"/>
        <v>129</v>
      </c>
    </row>
    <row r="41" spans="1:10" s="29" customFormat="1" ht="12.75">
      <c r="A41" s="46">
        <v>1995</v>
      </c>
      <c r="B41" s="47" t="s">
        <v>49</v>
      </c>
      <c r="C41" s="35">
        <f t="shared" si="2"/>
        <v>0.92881053336308861</v>
      </c>
      <c r="D41" s="35">
        <f t="shared" si="3"/>
        <v>0.9506624029237094</v>
      </c>
      <c r="E41" s="35">
        <f t="shared" si="4"/>
        <v>0.97701405936174957</v>
      </c>
      <c r="F41" s="20">
        <v>4481</v>
      </c>
      <c r="G41" s="20">
        <f t="shared" si="7"/>
        <v>103</v>
      </c>
      <c r="H41" s="20">
        <v>4378</v>
      </c>
      <c r="I41" s="20">
        <v>4162</v>
      </c>
      <c r="J41" s="20">
        <f t="shared" si="8"/>
        <v>216</v>
      </c>
    </row>
    <row r="42" spans="1:10" s="29" customFormat="1" ht="12.75">
      <c r="A42" s="45">
        <v>1996</v>
      </c>
      <c r="B42" s="48" t="s">
        <v>38</v>
      </c>
      <c r="C42" s="35">
        <f t="shared" si="2"/>
        <v>0.95765116786727789</v>
      </c>
      <c r="D42" s="35">
        <f t="shared" si="3"/>
        <v>0.96693850562045403</v>
      </c>
      <c r="E42" s="35">
        <f t="shared" si="4"/>
        <v>0.99039511023793936</v>
      </c>
      <c r="F42" s="20">
        <v>4581</v>
      </c>
      <c r="G42" s="20">
        <f t="shared" ref="G42:G53" si="9">F42-H42</f>
        <v>44</v>
      </c>
      <c r="H42" s="20">
        <v>4537</v>
      </c>
      <c r="I42" s="20">
        <v>4387</v>
      </c>
      <c r="J42" s="20">
        <f t="shared" ref="J42:J53" si="10">H42-I42</f>
        <v>150</v>
      </c>
    </row>
    <row r="43" spans="1:10" s="29" customFormat="1" ht="12.75">
      <c r="A43" s="46">
        <v>1996</v>
      </c>
      <c r="B43" s="47" t="s">
        <v>39</v>
      </c>
      <c r="C43" s="35">
        <f t="shared" si="2"/>
        <v>0.96383028054718289</v>
      </c>
      <c r="D43" s="35">
        <f t="shared" si="3"/>
        <v>0.97399250234301782</v>
      </c>
      <c r="E43" s="35">
        <f t="shared" si="4"/>
        <v>0.98956642708091813</v>
      </c>
      <c r="F43" s="20">
        <v>4313</v>
      </c>
      <c r="G43" s="20">
        <f t="shared" si="9"/>
        <v>45</v>
      </c>
      <c r="H43" s="20">
        <v>4268</v>
      </c>
      <c r="I43" s="20">
        <v>4157</v>
      </c>
      <c r="J43" s="20">
        <f t="shared" si="10"/>
        <v>111</v>
      </c>
    </row>
    <row r="44" spans="1:10" s="29" customFormat="1" ht="12.75">
      <c r="A44" s="45">
        <v>1996</v>
      </c>
      <c r="B44" s="48" t="s">
        <v>40</v>
      </c>
      <c r="C44" s="35">
        <f t="shared" si="2"/>
        <v>0.95160937157871683</v>
      </c>
      <c r="D44" s="35">
        <f t="shared" si="3"/>
        <v>0.96513435487452814</v>
      </c>
      <c r="E44" s="35">
        <f t="shared" si="4"/>
        <v>0.98598642434858774</v>
      </c>
      <c r="F44" s="20">
        <v>4567</v>
      </c>
      <c r="G44" s="20">
        <f t="shared" si="9"/>
        <v>64</v>
      </c>
      <c r="H44" s="20">
        <v>4503</v>
      </c>
      <c r="I44" s="20">
        <v>4346</v>
      </c>
      <c r="J44" s="20">
        <f t="shared" si="10"/>
        <v>157</v>
      </c>
    </row>
    <row r="45" spans="1:10" s="29" customFormat="1" ht="12.75">
      <c r="A45" s="46">
        <v>1996</v>
      </c>
      <c r="B45" s="47" t="s">
        <v>41</v>
      </c>
      <c r="C45" s="35">
        <f t="shared" si="2"/>
        <v>0.9615992771628642</v>
      </c>
      <c r="D45" s="35">
        <f t="shared" si="3"/>
        <v>0.97391901166781059</v>
      </c>
      <c r="E45" s="35">
        <f t="shared" si="4"/>
        <v>0.98735035012423766</v>
      </c>
      <c r="F45" s="20">
        <v>4427</v>
      </c>
      <c r="G45" s="20">
        <f t="shared" si="9"/>
        <v>56</v>
      </c>
      <c r="H45" s="20">
        <v>4371</v>
      </c>
      <c r="I45" s="20">
        <v>4257</v>
      </c>
      <c r="J45" s="20">
        <f t="shared" si="10"/>
        <v>114</v>
      </c>
    </row>
    <row r="46" spans="1:10" s="29" customFormat="1" ht="12.75">
      <c r="A46" s="45">
        <v>1996</v>
      </c>
      <c r="B46" s="48" t="s">
        <v>42</v>
      </c>
      <c r="C46" s="35">
        <f t="shared" si="2"/>
        <v>0.94142167617376038</v>
      </c>
      <c r="D46" s="35">
        <f t="shared" si="3"/>
        <v>0.95567928730512253</v>
      </c>
      <c r="E46" s="35">
        <f t="shared" si="4"/>
        <v>0.98508117595436595</v>
      </c>
      <c r="F46" s="20">
        <v>4558</v>
      </c>
      <c r="G46" s="20">
        <f t="shared" si="9"/>
        <v>68</v>
      </c>
      <c r="H46" s="20">
        <v>4490</v>
      </c>
      <c r="I46" s="20">
        <v>4291</v>
      </c>
      <c r="J46" s="20">
        <f t="shared" si="10"/>
        <v>199</v>
      </c>
    </row>
    <row r="47" spans="1:10" s="29" customFormat="1" ht="12.75">
      <c r="A47" s="46">
        <v>1996</v>
      </c>
      <c r="B47" s="47" t="s">
        <v>43</v>
      </c>
      <c r="C47" s="35">
        <f t="shared" si="2"/>
        <v>0.88737280296022203</v>
      </c>
      <c r="D47" s="35">
        <f t="shared" si="3"/>
        <v>0.91313660161827703</v>
      </c>
      <c r="E47" s="35">
        <f t="shared" si="4"/>
        <v>0.97178538390379277</v>
      </c>
      <c r="F47" s="20">
        <v>4324</v>
      </c>
      <c r="G47" s="20">
        <f t="shared" si="9"/>
        <v>122</v>
      </c>
      <c r="H47" s="20">
        <v>4202</v>
      </c>
      <c r="I47" s="20">
        <v>3837</v>
      </c>
      <c r="J47" s="20">
        <f t="shared" si="10"/>
        <v>365</v>
      </c>
    </row>
    <row r="48" spans="1:10" s="29" customFormat="1" ht="12.75">
      <c r="A48" s="45">
        <v>1996</v>
      </c>
      <c r="B48" s="48" t="s">
        <v>44</v>
      </c>
      <c r="C48" s="35">
        <f t="shared" si="2"/>
        <v>0.93673647469458987</v>
      </c>
      <c r="D48" s="35">
        <f t="shared" si="3"/>
        <v>0.95105204872646731</v>
      </c>
      <c r="E48" s="35">
        <f t="shared" si="4"/>
        <v>0.98494764397905754</v>
      </c>
      <c r="F48" s="20">
        <v>4584</v>
      </c>
      <c r="G48" s="20">
        <f t="shared" si="9"/>
        <v>69</v>
      </c>
      <c r="H48" s="20">
        <v>4515</v>
      </c>
      <c r="I48" s="20">
        <v>4294</v>
      </c>
      <c r="J48" s="20">
        <f t="shared" si="10"/>
        <v>221</v>
      </c>
    </row>
    <row r="49" spans="1:10" s="29" customFormat="1" ht="12.75">
      <c r="A49" s="46">
        <v>1996</v>
      </c>
      <c r="B49" s="47" t="s">
        <v>45</v>
      </c>
      <c r="C49" s="35">
        <f t="shared" si="2"/>
        <v>0.87565905096660812</v>
      </c>
      <c r="D49" s="35">
        <f t="shared" si="3"/>
        <v>0.92418270345467191</v>
      </c>
      <c r="E49" s="35">
        <f t="shared" si="4"/>
        <v>0.94749560632688923</v>
      </c>
      <c r="F49" s="20">
        <v>4552</v>
      </c>
      <c r="G49" s="20">
        <f t="shared" si="9"/>
        <v>239</v>
      </c>
      <c r="H49" s="20">
        <v>4313</v>
      </c>
      <c r="I49" s="20">
        <v>3986</v>
      </c>
      <c r="J49" s="20">
        <f t="shared" si="10"/>
        <v>327</v>
      </c>
    </row>
    <row r="50" spans="1:10" s="29" customFormat="1" ht="12.75">
      <c r="A50" s="45">
        <v>1996</v>
      </c>
      <c r="B50" s="48" t="s">
        <v>46</v>
      </c>
      <c r="C50" s="35">
        <f t="shared" si="2"/>
        <v>0.86417657045840413</v>
      </c>
      <c r="D50" s="35">
        <f t="shared" si="3"/>
        <v>0.91443970357062654</v>
      </c>
      <c r="E50" s="35">
        <f t="shared" si="4"/>
        <v>0.94503395585738537</v>
      </c>
      <c r="F50" s="20">
        <v>4712</v>
      </c>
      <c r="G50" s="20">
        <f t="shared" si="9"/>
        <v>259</v>
      </c>
      <c r="H50" s="20">
        <v>4453</v>
      </c>
      <c r="I50" s="20">
        <v>4072</v>
      </c>
      <c r="J50" s="20">
        <f t="shared" si="10"/>
        <v>381</v>
      </c>
    </row>
    <row r="51" spans="1:10" s="29" customFormat="1" ht="12.75">
      <c r="A51" s="46">
        <v>1996</v>
      </c>
      <c r="B51" s="47" t="s">
        <v>47</v>
      </c>
      <c r="C51" s="35">
        <f t="shared" si="2"/>
        <v>0.80095482923246419</v>
      </c>
      <c r="D51" s="35">
        <f t="shared" si="3"/>
        <v>0.87766599597585515</v>
      </c>
      <c r="E51" s="35">
        <f t="shared" si="4"/>
        <v>0.91259640102827766</v>
      </c>
      <c r="F51" s="20">
        <v>5446</v>
      </c>
      <c r="G51" s="20">
        <f t="shared" si="9"/>
        <v>476</v>
      </c>
      <c r="H51" s="20">
        <v>4970</v>
      </c>
      <c r="I51" s="20">
        <v>4362</v>
      </c>
      <c r="J51" s="20">
        <f t="shared" si="10"/>
        <v>608</v>
      </c>
    </row>
    <row r="52" spans="1:10" s="29" customFormat="1" ht="12.75">
      <c r="A52" s="45">
        <v>1996</v>
      </c>
      <c r="B52" s="48" t="s">
        <v>48</v>
      </c>
      <c r="C52" s="35">
        <f t="shared" si="2"/>
        <v>0.86730841827104566</v>
      </c>
      <c r="D52" s="35">
        <f t="shared" si="3"/>
        <v>0.93603585251578736</v>
      </c>
      <c r="E52" s="35">
        <f t="shared" si="4"/>
        <v>0.9265760664401661</v>
      </c>
      <c r="F52" s="20">
        <v>5298</v>
      </c>
      <c r="G52" s="20">
        <f t="shared" si="9"/>
        <v>389</v>
      </c>
      <c r="H52" s="20">
        <v>4909</v>
      </c>
      <c r="I52" s="20">
        <v>4595</v>
      </c>
      <c r="J52" s="20">
        <f t="shared" si="10"/>
        <v>314</v>
      </c>
    </row>
    <row r="53" spans="1:10" s="29" customFormat="1" ht="12.75">
      <c r="A53" s="46">
        <v>1996</v>
      </c>
      <c r="B53" s="47" t="s">
        <v>49</v>
      </c>
      <c r="C53" s="35">
        <f t="shared" si="2"/>
        <v>0.82300209803547586</v>
      </c>
      <c r="D53" s="35">
        <f t="shared" si="3"/>
        <v>0.90158796489761805</v>
      </c>
      <c r="E53" s="35">
        <f t="shared" si="4"/>
        <v>0.91283616250238409</v>
      </c>
      <c r="F53" s="20">
        <v>5243</v>
      </c>
      <c r="G53" s="20">
        <f t="shared" si="9"/>
        <v>457</v>
      </c>
      <c r="H53" s="20">
        <v>4786</v>
      </c>
      <c r="I53" s="20">
        <v>4315</v>
      </c>
      <c r="J53" s="20">
        <f t="shared" si="10"/>
        <v>471</v>
      </c>
    </row>
    <row r="54" spans="1:10" s="29" customFormat="1" ht="12.75">
      <c r="A54" s="45">
        <v>1997</v>
      </c>
      <c r="B54" s="48" t="s">
        <v>38</v>
      </c>
      <c r="C54" s="35">
        <f t="shared" si="2"/>
        <v>0.8882397286091217</v>
      </c>
      <c r="D54" s="35">
        <f t="shared" si="3"/>
        <v>0.91817650496785508</v>
      </c>
      <c r="E54" s="35">
        <f t="shared" si="4"/>
        <v>0.96739540143234071</v>
      </c>
      <c r="F54" s="20">
        <v>5306</v>
      </c>
      <c r="G54" s="20">
        <f t="shared" ref="G54:G65" si="11">F54-H54</f>
        <v>173</v>
      </c>
      <c r="H54" s="20">
        <v>5133</v>
      </c>
      <c r="I54" s="20">
        <v>4713</v>
      </c>
      <c r="J54" s="20">
        <f t="shared" ref="J54:J65" si="12">H54-I54</f>
        <v>420</v>
      </c>
    </row>
    <row r="55" spans="1:10" s="29" customFormat="1" ht="12.75">
      <c r="A55" s="46">
        <v>1997</v>
      </c>
      <c r="B55" s="47" t="s">
        <v>39</v>
      </c>
      <c r="C55" s="35">
        <f t="shared" si="2"/>
        <v>0.88329187396351572</v>
      </c>
      <c r="D55" s="35">
        <f t="shared" si="3"/>
        <v>0.90891638225255977</v>
      </c>
      <c r="E55" s="35">
        <f t="shared" si="4"/>
        <v>0.97180762852404645</v>
      </c>
      <c r="F55" s="20">
        <v>4824</v>
      </c>
      <c r="G55" s="20">
        <f t="shared" si="11"/>
        <v>136</v>
      </c>
      <c r="H55" s="20">
        <v>4688</v>
      </c>
      <c r="I55" s="20">
        <v>4261</v>
      </c>
      <c r="J55" s="20">
        <f t="shared" si="12"/>
        <v>427</v>
      </c>
    </row>
    <row r="56" spans="1:10" s="29" customFormat="1" ht="12.75">
      <c r="A56" s="45">
        <v>1997</v>
      </c>
      <c r="B56" s="48" t="s">
        <v>40</v>
      </c>
      <c r="C56" s="35">
        <f t="shared" si="2"/>
        <v>0.87850826605151866</v>
      </c>
      <c r="D56" s="35">
        <f t="shared" si="3"/>
        <v>0.90477133240942387</v>
      </c>
      <c r="E56" s="35">
        <f t="shared" si="4"/>
        <v>0.97097270280661285</v>
      </c>
      <c r="F56" s="20">
        <v>5202</v>
      </c>
      <c r="G56" s="20">
        <f t="shared" si="11"/>
        <v>151</v>
      </c>
      <c r="H56" s="20">
        <v>5051</v>
      </c>
      <c r="I56" s="20">
        <v>4570</v>
      </c>
      <c r="J56" s="20">
        <f t="shared" si="12"/>
        <v>481</v>
      </c>
    </row>
    <row r="57" spans="1:10" s="29" customFormat="1" ht="12.75">
      <c r="A57" s="46">
        <v>1997</v>
      </c>
      <c r="B57" s="47" t="s">
        <v>41</v>
      </c>
      <c r="C57" s="35">
        <f t="shared" si="2"/>
        <v>0.85866202629543698</v>
      </c>
      <c r="D57" s="35">
        <f t="shared" si="3"/>
        <v>0.90966816878328549</v>
      </c>
      <c r="E57" s="35">
        <f t="shared" si="4"/>
        <v>0.9439288476411446</v>
      </c>
      <c r="F57" s="20">
        <v>5172</v>
      </c>
      <c r="G57" s="20">
        <f t="shared" si="11"/>
        <v>290</v>
      </c>
      <c r="H57" s="20">
        <v>4882</v>
      </c>
      <c r="I57" s="20">
        <v>4441</v>
      </c>
      <c r="J57" s="20">
        <f t="shared" si="12"/>
        <v>441</v>
      </c>
    </row>
    <row r="58" spans="1:10" s="29" customFormat="1" ht="12.75">
      <c r="A58" s="45">
        <v>1997</v>
      </c>
      <c r="B58" s="48" t="s">
        <v>42</v>
      </c>
      <c r="C58" s="35">
        <f t="shared" si="2"/>
        <v>0.91478458910609228</v>
      </c>
      <c r="D58" s="35">
        <f t="shared" si="3"/>
        <v>0.96207584830339321</v>
      </c>
      <c r="E58" s="35">
        <f t="shared" si="4"/>
        <v>0.95084456253558547</v>
      </c>
      <c r="F58" s="20">
        <v>5269</v>
      </c>
      <c r="G58" s="20">
        <f t="shared" si="11"/>
        <v>259</v>
      </c>
      <c r="H58" s="20">
        <v>5010</v>
      </c>
      <c r="I58" s="20">
        <v>4820</v>
      </c>
      <c r="J58" s="20">
        <f t="shared" si="12"/>
        <v>190</v>
      </c>
    </row>
    <row r="59" spans="1:10" s="29" customFormat="1" ht="12.75">
      <c r="A59" s="46">
        <v>1997</v>
      </c>
      <c r="B59" s="47" t="s">
        <v>43</v>
      </c>
      <c r="C59" s="35">
        <f t="shared" si="2"/>
        <v>0.95273833671399599</v>
      </c>
      <c r="D59" s="35">
        <f t="shared" si="3"/>
        <v>0.96626208599053698</v>
      </c>
      <c r="E59" s="35">
        <f t="shared" si="4"/>
        <v>0.98600405679513181</v>
      </c>
      <c r="F59" s="20">
        <v>4930</v>
      </c>
      <c r="G59" s="20">
        <f t="shared" si="11"/>
        <v>69</v>
      </c>
      <c r="H59" s="20">
        <v>4861</v>
      </c>
      <c r="I59" s="20">
        <v>4697</v>
      </c>
      <c r="J59" s="20">
        <f t="shared" si="12"/>
        <v>164</v>
      </c>
    </row>
    <row r="60" spans="1:10" s="29" customFormat="1" ht="12.75">
      <c r="A60" s="45">
        <v>1997</v>
      </c>
      <c r="B60" s="48" t="s">
        <v>44</v>
      </c>
      <c r="C60" s="35">
        <f t="shared" si="2"/>
        <v>0.9632825040128411</v>
      </c>
      <c r="D60" s="35">
        <f t="shared" si="3"/>
        <v>0.97403124365997162</v>
      </c>
      <c r="E60" s="35">
        <f t="shared" si="4"/>
        <v>0.9889646869983949</v>
      </c>
      <c r="F60" s="20">
        <v>4984</v>
      </c>
      <c r="G60" s="20">
        <f t="shared" si="11"/>
        <v>55</v>
      </c>
      <c r="H60" s="20">
        <v>4929</v>
      </c>
      <c r="I60" s="20">
        <v>4801</v>
      </c>
      <c r="J60" s="20">
        <f t="shared" si="12"/>
        <v>128</v>
      </c>
    </row>
    <row r="61" spans="1:10" s="29" customFormat="1" ht="12.75">
      <c r="A61" s="46">
        <v>1997</v>
      </c>
      <c r="B61" s="47" t="s">
        <v>45</v>
      </c>
      <c r="C61" s="35">
        <f t="shared" si="2"/>
        <v>0.96191300584289119</v>
      </c>
      <c r="D61" s="35">
        <f t="shared" si="3"/>
        <v>0.98101964246303242</v>
      </c>
      <c r="E61" s="35">
        <f t="shared" si="4"/>
        <v>0.98052369616966029</v>
      </c>
      <c r="F61" s="20">
        <v>4621</v>
      </c>
      <c r="G61" s="20">
        <f t="shared" si="11"/>
        <v>90</v>
      </c>
      <c r="H61" s="20">
        <v>4531</v>
      </c>
      <c r="I61" s="20">
        <v>4445</v>
      </c>
      <c r="J61" s="20">
        <f t="shared" si="12"/>
        <v>86</v>
      </c>
    </row>
    <row r="62" spans="1:10" s="29" customFormat="1" ht="12.75">
      <c r="A62" s="45">
        <v>1997</v>
      </c>
      <c r="B62" s="48" t="s">
        <v>46</v>
      </c>
      <c r="C62" s="35">
        <f t="shared" si="2"/>
        <v>0.96854663774403471</v>
      </c>
      <c r="D62" s="35">
        <f t="shared" si="3"/>
        <v>0.97895198421398821</v>
      </c>
      <c r="E62" s="35">
        <f t="shared" si="4"/>
        <v>0.98937093275488064</v>
      </c>
      <c r="F62" s="20">
        <v>4610</v>
      </c>
      <c r="G62" s="20">
        <f t="shared" si="11"/>
        <v>49</v>
      </c>
      <c r="H62" s="20">
        <v>4561</v>
      </c>
      <c r="I62" s="20">
        <v>4465</v>
      </c>
      <c r="J62" s="20">
        <f t="shared" si="12"/>
        <v>96</v>
      </c>
    </row>
    <row r="63" spans="1:10" s="29" customFormat="1" ht="12.75">
      <c r="A63" s="46">
        <v>1997</v>
      </c>
      <c r="B63" s="47" t="s">
        <v>47</v>
      </c>
      <c r="C63" s="35">
        <f t="shared" si="2"/>
        <v>0.96041244706315598</v>
      </c>
      <c r="D63" s="35">
        <f t="shared" si="3"/>
        <v>0.9736792981146164</v>
      </c>
      <c r="E63" s="35">
        <f t="shared" si="4"/>
        <v>0.98637451666359788</v>
      </c>
      <c r="F63" s="20">
        <v>5431</v>
      </c>
      <c r="G63" s="20">
        <f t="shared" si="11"/>
        <v>74</v>
      </c>
      <c r="H63" s="20">
        <v>5357</v>
      </c>
      <c r="I63" s="20">
        <v>5216</v>
      </c>
      <c r="J63" s="20">
        <f t="shared" si="12"/>
        <v>141</v>
      </c>
    </row>
    <row r="64" spans="1:10" s="29" customFormat="1" ht="12.75">
      <c r="A64" s="45">
        <v>1997</v>
      </c>
      <c r="B64" s="48" t="s">
        <v>48</v>
      </c>
      <c r="C64" s="35">
        <f t="shared" si="2"/>
        <v>0.93927203065134102</v>
      </c>
      <c r="D64" s="35">
        <f t="shared" si="3"/>
        <v>0.94762272902976419</v>
      </c>
      <c r="E64" s="35">
        <f t="shared" si="4"/>
        <v>0.9911877394636015</v>
      </c>
      <c r="F64" s="20">
        <v>5220</v>
      </c>
      <c r="G64" s="20">
        <f t="shared" si="11"/>
        <v>46</v>
      </c>
      <c r="H64" s="20">
        <v>5174</v>
      </c>
      <c r="I64" s="20">
        <v>4903</v>
      </c>
      <c r="J64" s="20">
        <f t="shared" si="12"/>
        <v>271</v>
      </c>
    </row>
    <row r="65" spans="1:10" s="29" customFormat="1" ht="12.75">
      <c r="A65" s="46">
        <v>1997</v>
      </c>
      <c r="B65" s="47" t="s">
        <v>49</v>
      </c>
      <c r="C65" s="35">
        <f t="shared" si="2"/>
        <v>0.9530841121495327</v>
      </c>
      <c r="D65" s="35">
        <f t="shared" si="3"/>
        <v>0.96243865609664025</v>
      </c>
      <c r="E65" s="35">
        <f t="shared" si="4"/>
        <v>0.9902803738317757</v>
      </c>
      <c r="F65" s="20">
        <v>5350</v>
      </c>
      <c r="G65" s="20">
        <f t="shared" si="11"/>
        <v>52</v>
      </c>
      <c r="H65" s="20">
        <v>5298</v>
      </c>
      <c r="I65" s="20">
        <v>5099</v>
      </c>
      <c r="J65" s="20">
        <f t="shared" si="12"/>
        <v>199</v>
      </c>
    </row>
    <row r="66" spans="1:10" s="29" customFormat="1" ht="12.75">
      <c r="A66" s="45">
        <v>1998</v>
      </c>
      <c r="B66" s="48" t="s">
        <v>38</v>
      </c>
      <c r="C66" s="35">
        <f t="shared" si="2"/>
        <v>0.95415896487985208</v>
      </c>
      <c r="D66" s="35">
        <f t="shared" si="3"/>
        <v>0.96001487818486142</v>
      </c>
      <c r="E66" s="35">
        <f t="shared" si="4"/>
        <v>0.99390018484288356</v>
      </c>
      <c r="F66" s="20">
        <v>5410</v>
      </c>
      <c r="G66" s="20">
        <f t="shared" ref="G66:G77" si="13">F66-H66</f>
        <v>33</v>
      </c>
      <c r="H66" s="20">
        <v>5377</v>
      </c>
      <c r="I66" s="20">
        <v>5162</v>
      </c>
      <c r="J66" s="20">
        <f t="shared" ref="J66:J77" si="14">H66-I66</f>
        <v>215</v>
      </c>
    </row>
    <row r="67" spans="1:10" s="29" customFormat="1" ht="12.75">
      <c r="A67" s="46">
        <v>1998</v>
      </c>
      <c r="B67" s="47" t="s">
        <v>39</v>
      </c>
      <c r="C67" s="35">
        <f t="shared" si="2"/>
        <v>0.94590761750405183</v>
      </c>
      <c r="D67" s="35">
        <f t="shared" si="3"/>
        <v>0.95422031473533619</v>
      </c>
      <c r="E67" s="35">
        <f t="shared" si="4"/>
        <v>0.9912884927066451</v>
      </c>
      <c r="F67" s="20">
        <v>4936</v>
      </c>
      <c r="G67" s="20">
        <f t="shared" si="13"/>
        <v>43</v>
      </c>
      <c r="H67" s="20">
        <v>4893</v>
      </c>
      <c r="I67" s="20">
        <v>4669</v>
      </c>
      <c r="J67" s="20">
        <f t="shared" si="14"/>
        <v>224</v>
      </c>
    </row>
    <row r="68" spans="1:10" s="29" customFormat="1" ht="12.75">
      <c r="A68" s="45">
        <v>1998</v>
      </c>
      <c r="B68" s="48" t="s">
        <v>40</v>
      </c>
      <c r="C68" s="35">
        <f t="shared" si="2"/>
        <v>0.96020633750921147</v>
      </c>
      <c r="D68" s="35">
        <f t="shared" si="3"/>
        <v>0.9684132292827945</v>
      </c>
      <c r="E68" s="35">
        <f t="shared" si="4"/>
        <v>0.99152542372881358</v>
      </c>
      <c r="F68" s="20">
        <v>5428</v>
      </c>
      <c r="G68" s="20">
        <f t="shared" si="13"/>
        <v>46</v>
      </c>
      <c r="H68" s="20">
        <v>5382</v>
      </c>
      <c r="I68" s="20">
        <v>5212</v>
      </c>
      <c r="J68" s="20">
        <f t="shared" si="14"/>
        <v>170</v>
      </c>
    </row>
    <row r="69" spans="1:10" s="29" customFormat="1" ht="12.75">
      <c r="A69" s="46">
        <v>1998</v>
      </c>
      <c r="B69" s="47" t="s">
        <v>41</v>
      </c>
      <c r="C69" s="35">
        <f t="shared" si="2"/>
        <v>0.96697212676594124</v>
      </c>
      <c r="D69" s="35">
        <f t="shared" si="3"/>
        <v>0.97497593840230989</v>
      </c>
      <c r="E69" s="35">
        <f t="shared" si="4"/>
        <v>0.99179075983199694</v>
      </c>
      <c r="F69" s="20">
        <v>5238</v>
      </c>
      <c r="G69" s="20">
        <f t="shared" si="13"/>
        <v>43</v>
      </c>
      <c r="H69" s="20">
        <v>5195</v>
      </c>
      <c r="I69" s="20">
        <v>5065</v>
      </c>
      <c r="J69" s="20">
        <f t="shared" si="14"/>
        <v>130</v>
      </c>
    </row>
    <row r="70" spans="1:10" s="29" customFormat="1" ht="12.75">
      <c r="A70" s="45">
        <v>1998</v>
      </c>
      <c r="B70" s="48" t="s">
        <v>42</v>
      </c>
      <c r="C70" s="35">
        <f t="shared" si="2"/>
        <v>0.98439284354777312</v>
      </c>
      <c r="D70" s="35">
        <f t="shared" si="3"/>
        <v>0.98739977090492559</v>
      </c>
      <c r="E70" s="35">
        <f t="shared" si="4"/>
        <v>0.99695470118005325</v>
      </c>
      <c r="F70" s="20">
        <v>5254</v>
      </c>
      <c r="G70" s="20">
        <f t="shared" si="13"/>
        <v>16</v>
      </c>
      <c r="H70" s="20">
        <v>5238</v>
      </c>
      <c r="I70" s="20">
        <v>5172</v>
      </c>
      <c r="J70" s="20">
        <f t="shared" si="14"/>
        <v>66</v>
      </c>
    </row>
    <row r="71" spans="1:10" s="29" customFormat="1" ht="12.75">
      <c r="A71" s="46">
        <v>1998</v>
      </c>
      <c r="B71" s="47" t="s">
        <v>43</v>
      </c>
      <c r="C71" s="35">
        <f t="shared" ref="C71:C134" si="15">I71/F71</f>
        <v>0.97209302325581393</v>
      </c>
      <c r="D71" s="35">
        <f t="shared" ref="D71:D134" si="16">I71/H71</f>
        <v>0.97606538237011087</v>
      </c>
      <c r="E71" s="35">
        <f t="shared" ref="E71:E134" si="17">H71/F71</f>
        <v>0.99593023255813951</v>
      </c>
      <c r="F71" s="20">
        <v>5160</v>
      </c>
      <c r="G71" s="20">
        <f t="shared" si="13"/>
        <v>21</v>
      </c>
      <c r="H71" s="20">
        <v>5139</v>
      </c>
      <c r="I71" s="20">
        <v>5016</v>
      </c>
      <c r="J71" s="20">
        <f t="shared" si="14"/>
        <v>123</v>
      </c>
    </row>
    <row r="72" spans="1:10" s="29" customFormat="1" ht="12.75">
      <c r="A72" s="45">
        <v>1998</v>
      </c>
      <c r="B72" s="48" t="s">
        <v>44</v>
      </c>
      <c r="C72" s="35">
        <f t="shared" si="15"/>
        <v>0.97688073394495412</v>
      </c>
      <c r="D72" s="35">
        <f t="shared" si="16"/>
        <v>0.98174442190669375</v>
      </c>
      <c r="E72" s="35">
        <f t="shared" si="17"/>
        <v>0.99504587155963298</v>
      </c>
      <c r="F72" s="20">
        <v>5450</v>
      </c>
      <c r="G72" s="20">
        <f t="shared" si="13"/>
        <v>27</v>
      </c>
      <c r="H72" s="20">
        <v>5423</v>
      </c>
      <c r="I72" s="20">
        <v>5324</v>
      </c>
      <c r="J72" s="20">
        <f t="shared" si="14"/>
        <v>99</v>
      </c>
    </row>
    <row r="73" spans="1:10" s="29" customFormat="1" ht="12.75">
      <c r="A73" s="46">
        <v>1998</v>
      </c>
      <c r="B73" s="47" t="s">
        <v>45</v>
      </c>
      <c r="C73" s="35">
        <f t="shared" si="15"/>
        <v>0.97786946736684166</v>
      </c>
      <c r="D73" s="35">
        <f t="shared" si="16"/>
        <v>0.98118178396687994</v>
      </c>
      <c r="E73" s="35">
        <f t="shared" si="17"/>
        <v>0.99662415603900978</v>
      </c>
      <c r="F73" s="20">
        <v>5332</v>
      </c>
      <c r="G73" s="20">
        <f t="shared" si="13"/>
        <v>18</v>
      </c>
      <c r="H73" s="20">
        <v>5314</v>
      </c>
      <c r="I73" s="20">
        <v>5214</v>
      </c>
      <c r="J73" s="20">
        <f t="shared" si="14"/>
        <v>100</v>
      </c>
    </row>
    <row r="74" spans="1:10" s="29" customFormat="1" ht="12.75">
      <c r="A74" s="45">
        <v>1998</v>
      </c>
      <c r="B74" s="48" t="s">
        <v>46</v>
      </c>
      <c r="C74" s="35">
        <f t="shared" si="15"/>
        <v>0.97959565705728191</v>
      </c>
      <c r="D74" s="35">
        <f t="shared" si="16"/>
        <v>0.98364661654135344</v>
      </c>
      <c r="E74" s="35">
        <f t="shared" si="17"/>
        <v>0.9958816922500936</v>
      </c>
      <c r="F74" s="20">
        <v>5342</v>
      </c>
      <c r="G74" s="20">
        <f t="shared" si="13"/>
        <v>22</v>
      </c>
      <c r="H74" s="20">
        <v>5320</v>
      </c>
      <c r="I74" s="20">
        <v>5233</v>
      </c>
      <c r="J74" s="20">
        <f t="shared" si="14"/>
        <v>87</v>
      </c>
    </row>
    <row r="75" spans="1:10" s="29" customFormat="1" ht="12.75">
      <c r="A75" s="46">
        <v>1998</v>
      </c>
      <c r="B75" s="47" t="s">
        <v>47</v>
      </c>
      <c r="C75" s="35">
        <f t="shared" si="15"/>
        <v>0.98391866913123849</v>
      </c>
      <c r="D75" s="35">
        <f t="shared" si="16"/>
        <v>0.98738638471526619</v>
      </c>
      <c r="E75" s="35">
        <f t="shared" si="17"/>
        <v>0.99648798521256932</v>
      </c>
      <c r="F75" s="20">
        <v>5410</v>
      </c>
      <c r="G75" s="20">
        <f t="shared" si="13"/>
        <v>19</v>
      </c>
      <c r="H75" s="20">
        <v>5391</v>
      </c>
      <c r="I75" s="20">
        <v>5323</v>
      </c>
      <c r="J75" s="20">
        <f t="shared" si="14"/>
        <v>68</v>
      </c>
    </row>
    <row r="76" spans="1:10" s="29" customFormat="1" ht="12.75">
      <c r="A76" s="45">
        <v>1998</v>
      </c>
      <c r="B76" s="48" t="s">
        <v>48</v>
      </c>
      <c r="C76" s="35">
        <f t="shared" si="15"/>
        <v>0.9864452080946926</v>
      </c>
      <c r="D76" s="35">
        <f t="shared" si="16"/>
        <v>0.99231803341655467</v>
      </c>
      <c r="E76" s="35">
        <f t="shared" si="17"/>
        <v>0.99408171057655592</v>
      </c>
      <c r="F76" s="20">
        <v>5238</v>
      </c>
      <c r="G76" s="20">
        <f t="shared" si="13"/>
        <v>31</v>
      </c>
      <c r="H76" s="20">
        <v>5207</v>
      </c>
      <c r="I76" s="20">
        <v>5167</v>
      </c>
      <c r="J76" s="20">
        <f t="shared" si="14"/>
        <v>40</v>
      </c>
    </row>
    <row r="77" spans="1:10" s="29" customFormat="1" ht="12.75">
      <c r="A77" s="46">
        <v>1998</v>
      </c>
      <c r="B77" s="47" t="s">
        <v>49</v>
      </c>
      <c r="C77" s="35">
        <f t="shared" si="15"/>
        <v>0.91869767441860462</v>
      </c>
      <c r="D77" s="35">
        <f t="shared" si="16"/>
        <v>0.99196464443551624</v>
      </c>
      <c r="E77" s="35">
        <f t="shared" si="17"/>
        <v>0.92613953488372092</v>
      </c>
      <c r="F77" s="20">
        <v>5375</v>
      </c>
      <c r="G77" s="20">
        <f t="shared" si="13"/>
        <v>397</v>
      </c>
      <c r="H77" s="20">
        <v>4978</v>
      </c>
      <c r="I77" s="20">
        <v>4938</v>
      </c>
      <c r="J77" s="20">
        <f t="shared" si="14"/>
        <v>40</v>
      </c>
    </row>
    <row r="78" spans="1:10" s="29" customFormat="1" ht="12.75">
      <c r="A78" s="45">
        <v>1999</v>
      </c>
      <c r="B78" s="48" t="s">
        <v>38</v>
      </c>
      <c r="C78" s="35">
        <f t="shared" si="15"/>
        <v>0.99010640283740903</v>
      </c>
      <c r="D78" s="35">
        <f t="shared" si="16"/>
        <v>0.99307245834113467</v>
      </c>
      <c r="E78" s="35">
        <f t="shared" si="17"/>
        <v>0.99701325368676497</v>
      </c>
      <c r="F78" s="20">
        <v>5357</v>
      </c>
      <c r="G78" s="20">
        <f t="shared" ref="G78:G89" si="18">F78-H78</f>
        <v>16</v>
      </c>
      <c r="H78" s="20">
        <v>5341</v>
      </c>
      <c r="I78" s="20">
        <v>5304</v>
      </c>
      <c r="J78" s="20">
        <f t="shared" ref="J78:J89" si="19">H78-I78</f>
        <v>37</v>
      </c>
    </row>
    <row r="79" spans="1:10" s="29" customFormat="1" ht="12.75">
      <c r="A79" s="46">
        <v>1999</v>
      </c>
      <c r="B79" s="47" t="s">
        <v>39</v>
      </c>
      <c r="C79" s="35">
        <f t="shared" si="15"/>
        <v>0.98326612903225807</v>
      </c>
      <c r="D79" s="35">
        <f t="shared" si="16"/>
        <v>0.98644822006472488</v>
      </c>
      <c r="E79" s="35">
        <f t="shared" si="17"/>
        <v>0.99677419354838714</v>
      </c>
      <c r="F79" s="20">
        <v>4960</v>
      </c>
      <c r="G79" s="20">
        <f t="shared" si="18"/>
        <v>16</v>
      </c>
      <c r="H79" s="20">
        <v>4944</v>
      </c>
      <c r="I79" s="20">
        <v>4877</v>
      </c>
      <c r="J79" s="20">
        <f t="shared" si="19"/>
        <v>67</v>
      </c>
    </row>
    <row r="80" spans="1:10" s="29" customFormat="1" ht="12.75">
      <c r="A80" s="45">
        <v>1999</v>
      </c>
      <c r="B80" s="48" t="s">
        <v>40</v>
      </c>
      <c r="C80" s="35">
        <f t="shared" si="15"/>
        <v>0.97451653714079156</v>
      </c>
      <c r="D80" s="35">
        <f t="shared" si="16"/>
        <v>0.98143429195485987</v>
      </c>
      <c r="E80" s="35">
        <f t="shared" si="17"/>
        <v>0.99295138261341043</v>
      </c>
      <c r="F80" s="20">
        <v>5533</v>
      </c>
      <c r="G80" s="20">
        <f t="shared" si="18"/>
        <v>39</v>
      </c>
      <c r="H80" s="20">
        <v>5494</v>
      </c>
      <c r="I80" s="20">
        <v>5392</v>
      </c>
      <c r="J80" s="20">
        <f t="shared" si="19"/>
        <v>102</v>
      </c>
    </row>
    <row r="81" spans="1:10" s="29" customFormat="1" ht="12.75">
      <c r="A81" s="46">
        <v>1999</v>
      </c>
      <c r="B81" s="47" t="s">
        <v>41</v>
      </c>
      <c r="C81" s="35">
        <f t="shared" si="15"/>
        <v>0.96530028598665396</v>
      </c>
      <c r="D81" s="35">
        <f t="shared" si="16"/>
        <v>0.9749663007895244</v>
      </c>
      <c r="E81" s="35">
        <f t="shared" si="17"/>
        <v>0.99008579599618685</v>
      </c>
      <c r="F81" s="20">
        <v>5245</v>
      </c>
      <c r="G81" s="20">
        <f t="shared" si="18"/>
        <v>52</v>
      </c>
      <c r="H81" s="20">
        <v>5193</v>
      </c>
      <c r="I81" s="20">
        <v>5063</v>
      </c>
      <c r="J81" s="20">
        <f t="shared" si="19"/>
        <v>130</v>
      </c>
    </row>
    <row r="82" spans="1:10" s="29" customFormat="1" ht="12.75">
      <c r="A82" s="45">
        <v>1999</v>
      </c>
      <c r="B82" s="48" t="s">
        <v>42</v>
      </c>
      <c r="C82" s="35">
        <f t="shared" si="15"/>
        <v>0.96544561933534745</v>
      </c>
      <c r="D82" s="35">
        <f t="shared" si="16"/>
        <v>0.97576335877862597</v>
      </c>
      <c r="E82" s="35">
        <f t="shared" si="17"/>
        <v>0.98942598187311182</v>
      </c>
      <c r="F82" s="20">
        <v>5296</v>
      </c>
      <c r="G82" s="20">
        <f t="shared" si="18"/>
        <v>56</v>
      </c>
      <c r="H82" s="20">
        <v>5240</v>
      </c>
      <c r="I82" s="20">
        <v>5113</v>
      </c>
      <c r="J82" s="20">
        <f t="shared" si="19"/>
        <v>127</v>
      </c>
    </row>
    <row r="83" spans="1:10" s="29" customFormat="1" ht="12.75">
      <c r="A83" s="46">
        <v>1999</v>
      </c>
      <c r="B83" s="47" t="s">
        <v>43</v>
      </c>
      <c r="C83" s="35">
        <f t="shared" si="15"/>
        <v>0.97048611111111116</v>
      </c>
      <c r="D83" s="35">
        <f t="shared" si="16"/>
        <v>0.98031956352299299</v>
      </c>
      <c r="E83" s="35">
        <f t="shared" si="17"/>
        <v>0.98996913580246915</v>
      </c>
      <c r="F83" s="20">
        <v>5184</v>
      </c>
      <c r="G83" s="20">
        <f t="shared" si="18"/>
        <v>52</v>
      </c>
      <c r="H83" s="20">
        <v>5132</v>
      </c>
      <c r="I83" s="20">
        <v>5031</v>
      </c>
      <c r="J83" s="20">
        <f t="shared" si="19"/>
        <v>101</v>
      </c>
    </row>
    <row r="84" spans="1:10" s="29" customFormat="1" ht="12.75">
      <c r="A84" s="45">
        <v>1999</v>
      </c>
      <c r="B84" s="48" t="s">
        <v>44</v>
      </c>
      <c r="C84" s="35">
        <f t="shared" si="15"/>
        <v>0.96339220014716709</v>
      </c>
      <c r="D84" s="35">
        <f t="shared" si="16"/>
        <v>0.97396317649246789</v>
      </c>
      <c r="E84" s="35">
        <f t="shared" si="17"/>
        <v>0.98914643119941137</v>
      </c>
      <c r="F84" s="20">
        <v>5436</v>
      </c>
      <c r="G84" s="20">
        <f t="shared" si="18"/>
        <v>59</v>
      </c>
      <c r="H84" s="20">
        <v>5377</v>
      </c>
      <c r="I84" s="20">
        <v>5237</v>
      </c>
      <c r="J84" s="20">
        <f t="shared" si="19"/>
        <v>140</v>
      </c>
    </row>
    <row r="85" spans="1:10" s="29" customFormat="1" ht="12.75">
      <c r="A85" s="46">
        <v>1999</v>
      </c>
      <c r="B85" s="47" t="s">
        <v>45</v>
      </c>
      <c r="C85" s="35">
        <f t="shared" si="15"/>
        <v>0.97562790697674417</v>
      </c>
      <c r="D85" s="35">
        <f t="shared" si="16"/>
        <v>0.98165481093223517</v>
      </c>
      <c r="E85" s="35">
        <f t="shared" si="17"/>
        <v>0.99386046511627912</v>
      </c>
      <c r="F85" s="20">
        <v>5375</v>
      </c>
      <c r="G85" s="20">
        <f t="shared" si="18"/>
        <v>33</v>
      </c>
      <c r="H85" s="20">
        <v>5342</v>
      </c>
      <c r="I85" s="20">
        <v>5244</v>
      </c>
      <c r="J85" s="20">
        <f t="shared" si="19"/>
        <v>98</v>
      </c>
    </row>
    <row r="86" spans="1:10" s="29" customFormat="1" ht="12.75">
      <c r="A86" s="45">
        <v>1999</v>
      </c>
      <c r="B86" s="48" t="s">
        <v>46</v>
      </c>
      <c r="C86" s="35">
        <f t="shared" si="15"/>
        <v>0.96405840509172591</v>
      </c>
      <c r="D86" s="35">
        <f t="shared" si="16"/>
        <v>0.97500946611132144</v>
      </c>
      <c r="E86" s="35">
        <f t="shared" si="17"/>
        <v>0.98876825159116433</v>
      </c>
      <c r="F86" s="20">
        <v>5342</v>
      </c>
      <c r="G86" s="20">
        <f t="shared" si="18"/>
        <v>60</v>
      </c>
      <c r="H86" s="20">
        <v>5282</v>
      </c>
      <c r="I86" s="20">
        <v>5150</v>
      </c>
      <c r="J86" s="20">
        <f t="shared" si="19"/>
        <v>132</v>
      </c>
    </row>
    <row r="87" spans="1:10" s="29" customFormat="1" ht="12.75">
      <c r="A87" s="46">
        <v>1999</v>
      </c>
      <c r="B87" s="47" t="s">
        <v>47</v>
      </c>
      <c r="C87" s="35">
        <f t="shared" si="15"/>
        <v>0.98077282060854953</v>
      </c>
      <c r="D87" s="35">
        <f t="shared" si="16"/>
        <v>0.98629622676928852</v>
      </c>
      <c r="E87" s="35">
        <f t="shared" si="17"/>
        <v>0.99439985066268433</v>
      </c>
      <c r="F87" s="20">
        <v>5357</v>
      </c>
      <c r="G87" s="20">
        <f t="shared" si="18"/>
        <v>30</v>
      </c>
      <c r="H87" s="20">
        <v>5327</v>
      </c>
      <c r="I87" s="20">
        <v>5254</v>
      </c>
      <c r="J87" s="20">
        <f t="shared" si="19"/>
        <v>73</v>
      </c>
    </row>
    <row r="88" spans="1:10" s="29" customFormat="1" ht="12.75">
      <c r="A88" s="45">
        <v>1999</v>
      </c>
      <c r="B88" s="48" t="s">
        <v>48</v>
      </c>
      <c r="C88" s="35">
        <f t="shared" si="15"/>
        <v>0.95937850992137774</v>
      </c>
      <c r="D88" s="35">
        <f t="shared" si="16"/>
        <v>0.97693480747235995</v>
      </c>
      <c r="E88" s="35">
        <f t="shared" si="17"/>
        <v>0.98202920254586301</v>
      </c>
      <c r="F88" s="20">
        <v>5342</v>
      </c>
      <c r="G88" s="20">
        <f t="shared" si="18"/>
        <v>96</v>
      </c>
      <c r="H88" s="20">
        <v>5246</v>
      </c>
      <c r="I88" s="20">
        <v>5125</v>
      </c>
      <c r="J88" s="20">
        <f t="shared" si="19"/>
        <v>121</v>
      </c>
    </row>
    <row r="89" spans="1:10" s="29" customFormat="1" ht="12.75">
      <c r="A89" s="46">
        <v>1999</v>
      </c>
      <c r="B89" s="47" t="s">
        <v>49</v>
      </c>
      <c r="C89" s="35">
        <f t="shared" si="15"/>
        <v>0.97830521045800112</v>
      </c>
      <c r="D89" s="35">
        <f t="shared" si="16"/>
        <v>0.98524743230625589</v>
      </c>
      <c r="E89" s="35">
        <f t="shared" si="17"/>
        <v>0.9929538290376414</v>
      </c>
      <c r="F89" s="20">
        <v>5393</v>
      </c>
      <c r="G89" s="20">
        <f t="shared" si="18"/>
        <v>38</v>
      </c>
      <c r="H89" s="20">
        <v>5355</v>
      </c>
      <c r="I89" s="20">
        <v>5276</v>
      </c>
      <c r="J89" s="20">
        <f t="shared" si="19"/>
        <v>79</v>
      </c>
    </row>
    <row r="90" spans="1:10" s="29" customFormat="1" ht="12.75">
      <c r="A90" s="45">
        <v>2000</v>
      </c>
      <c r="B90" s="48" t="s">
        <v>38</v>
      </c>
      <c r="C90" s="35">
        <f t="shared" si="15"/>
        <v>0.97953488372093023</v>
      </c>
      <c r="D90" s="35">
        <f t="shared" si="16"/>
        <v>0.98503274087932646</v>
      </c>
      <c r="E90" s="35">
        <f t="shared" si="17"/>
        <v>0.99441860465116283</v>
      </c>
      <c r="F90" s="20">
        <v>5375</v>
      </c>
      <c r="G90" s="20">
        <f t="shared" ref="G90:G101" si="20">F90-H90</f>
        <v>30</v>
      </c>
      <c r="H90" s="20">
        <v>5345</v>
      </c>
      <c r="I90" s="20">
        <v>5265</v>
      </c>
      <c r="J90" s="20">
        <f t="shared" ref="J90:J101" si="21">H90-I90</f>
        <v>80</v>
      </c>
    </row>
    <row r="91" spans="1:10" s="29" customFormat="1" ht="12.75">
      <c r="A91" s="46">
        <v>2000</v>
      </c>
      <c r="B91" s="47" t="s">
        <v>39</v>
      </c>
      <c r="C91" s="35">
        <f t="shared" si="15"/>
        <v>0.97903319743739081</v>
      </c>
      <c r="D91" s="35">
        <f t="shared" si="16"/>
        <v>0.98515335026372342</v>
      </c>
      <c r="E91" s="35">
        <f t="shared" si="17"/>
        <v>0.99378761405552318</v>
      </c>
      <c r="F91" s="20">
        <v>5151</v>
      </c>
      <c r="G91" s="20">
        <f t="shared" si="20"/>
        <v>32</v>
      </c>
      <c r="H91" s="20">
        <v>5119</v>
      </c>
      <c r="I91" s="20">
        <v>5043</v>
      </c>
      <c r="J91" s="20">
        <f t="shared" si="21"/>
        <v>76</v>
      </c>
    </row>
    <row r="92" spans="1:10" s="29" customFormat="1" ht="12.75">
      <c r="A92" s="45">
        <v>2000</v>
      </c>
      <c r="B92" s="48" t="s">
        <v>40</v>
      </c>
      <c r="C92" s="35">
        <f t="shared" si="15"/>
        <v>0.96764865353334539</v>
      </c>
      <c r="D92" s="35">
        <f t="shared" si="16"/>
        <v>0.97540535616687918</v>
      </c>
      <c r="E92" s="35">
        <f t="shared" si="17"/>
        <v>0.99204771371769385</v>
      </c>
      <c r="F92" s="20">
        <v>5533</v>
      </c>
      <c r="G92" s="20">
        <f t="shared" si="20"/>
        <v>44</v>
      </c>
      <c r="H92" s="20">
        <v>5489</v>
      </c>
      <c r="I92" s="20">
        <v>5354</v>
      </c>
      <c r="J92" s="20">
        <f t="shared" si="21"/>
        <v>135</v>
      </c>
    </row>
    <row r="93" spans="1:10" s="29" customFormat="1" ht="12.75">
      <c r="A93" s="46">
        <v>2000</v>
      </c>
      <c r="B93" s="47" t="s">
        <v>41</v>
      </c>
      <c r="C93" s="35">
        <f t="shared" si="15"/>
        <v>0.97222222222222221</v>
      </c>
      <c r="D93" s="35">
        <f t="shared" si="16"/>
        <v>0.9769666211204372</v>
      </c>
      <c r="E93" s="35">
        <f t="shared" si="17"/>
        <v>0.99514374514374515</v>
      </c>
      <c r="F93" s="20">
        <v>5148</v>
      </c>
      <c r="G93" s="20">
        <f t="shared" si="20"/>
        <v>25</v>
      </c>
      <c r="H93" s="20">
        <v>5123</v>
      </c>
      <c r="I93" s="20">
        <v>5005</v>
      </c>
      <c r="J93" s="20">
        <f t="shared" si="21"/>
        <v>118</v>
      </c>
    </row>
    <row r="94" spans="1:10" s="29" customFormat="1" ht="12.75">
      <c r="A94" s="45">
        <v>2000</v>
      </c>
      <c r="B94" s="48" t="s">
        <v>42</v>
      </c>
      <c r="C94" s="35">
        <f t="shared" si="15"/>
        <v>0.94976744186046513</v>
      </c>
      <c r="D94" s="35">
        <f t="shared" si="16"/>
        <v>0.96905846621108582</v>
      </c>
      <c r="E94" s="35">
        <f t="shared" si="17"/>
        <v>0.98009302325581393</v>
      </c>
      <c r="F94" s="20">
        <v>5375</v>
      </c>
      <c r="G94" s="20">
        <f t="shared" si="20"/>
        <v>107</v>
      </c>
      <c r="H94" s="20">
        <v>5268</v>
      </c>
      <c r="I94" s="20">
        <v>5105</v>
      </c>
      <c r="J94" s="20">
        <f t="shared" si="21"/>
        <v>163</v>
      </c>
    </row>
    <row r="95" spans="1:10" s="29" customFormat="1" ht="12.75">
      <c r="A95" s="46">
        <v>2000</v>
      </c>
      <c r="B95" s="47" t="s">
        <v>43</v>
      </c>
      <c r="C95" s="35">
        <f t="shared" si="15"/>
        <v>0.87735486351403302</v>
      </c>
      <c r="D95" s="35">
        <f t="shared" si="16"/>
        <v>0.93199918317337149</v>
      </c>
      <c r="E95" s="35">
        <f t="shared" si="17"/>
        <v>0.94136870434448294</v>
      </c>
      <c r="F95" s="20">
        <v>5202</v>
      </c>
      <c r="G95" s="20">
        <f t="shared" si="20"/>
        <v>305</v>
      </c>
      <c r="H95" s="20">
        <v>4897</v>
      </c>
      <c r="I95" s="20">
        <v>4564</v>
      </c>
      <c r="J95" s="20">
        <f t="shared" si="21"/>
        <v>333</v>
      </c>
    </row>
    <row r="96" spans="1:10" s="29" customFormat="1" ht="12.75">
      <c r="A96" s="45">
        <v>2000</v>
      </c>
      <c r="B96" s="48" t="s">
        <v>44</v>
      </c>
      <c r="C96" s="35">
        <f t="shared" si="15"/>
        <v>0.96467991169977929</v>
      </c>
      <c r="D96" s="35">
        <f t="shared" si="16"/>
        <v>0.97093130901684876</v>
      </c>
      <c r="E96" s="35">
        <f t="shared" si="17"/>
        <v>0.99356144223693887</v>
      </c>
      <c r="F96" s="20">
        <v>5436</v>
      </c>
      <c r="G96" s="20">
        <f t="shared" si="20"/>
        <v>35</v>
      </c>
      <c r="H96" s="20">
        <v>5401</v>
      </c>
      <c r="I96" s="20">
        <v>5244</v>
      </c>
      <c r="J96" s="20">
        <f t="shared" si="21"/>
        <v>157</v>
      </c>
    </row>
    <row r="97" spans="1:10" s="29" customFormat="1" ht="12.75">
      <c r="A97" s="46">
        <v>2000</v>
      </c>
      <c r="B97" s="47" t="s">
        <v>45</v>
      </c>
      <c r="C97" s="35">
        <f t="shared" si="15"/>
        <v>0.97433076640997429</v>
      </c>
      <c r="D97" s="35">
        <f t="shared" si="16"/>
        <v>0.97953917050691242</v>
      </c>
      <c r="E97" s="35">
        <f t="shared" si="17"/>
        <v>0.99468280161349465</v>
      </c>
      <c r="F97" s="20">
        <v>5454</v>
      </c>
      <c r="G97" s="20">
        <f t="shared" si="20"/>
        <v>29</v>
      </c>
      <c r="H97" s="20">
        <v>5425</v>
      </c>
      <c r="I97" s="20">
        <v>5314</v>
      </c>
      <c r="J97" s="20">
        <f t="shared" si="21"/>
        <v>111</v>
      </c>
    </row>
    <row r="98" spans="1:10" s="29" customFormat="1" ht="12.75">
      <c r="A98" s="45">
        <v>2000</v>
      </c>
      <c r="B98" s="48" t="s">
        <v>46</v>
      </c>
      <c r="C98" s="35">
        <f t="shared" si="15"/>
        <v>0.94440270473328325</v>
      </c>
      <c r="D98" s="35">
        <f t="shared" si="16"/>
        <v>0.95335608646188852</v>
      </c>
      <c r="E98" s="35">
        <f t="shared" si="17"/>
        <v>0.99060856498873029</v>
      </c>
      <c r="F98" s="20">
        <v>5324</v>
      </c>
      <c r="G98" s="20">
        <f t="shared" si="20"/>
        <v>50</v>
      </c>
      <c r="H98" s="20">
        <v>5274</v>
      </c>
      <c r="I98" s="20">
        <v>5028</v>
      </c>
      <c r="J98" s="20">
        <f t="shared" si="21"/>
        <v>246</v>
      </c>
    </row>
    <row r="99" spans="1:10" s="29" customFormat="1" ht="12.75">
      <c r="A99" s="46">
        <v>2000</v>
      </c>
      <c r="B99" s="47" t="s">
        <v>47</v>
      </c>
      <c r="C99" s="35">
        <f t="shared" si="15"/>
        <v>0.98027906976744184</v>
      </c>
      <c r="D99" s="35">
        <f t="shared" si="16"/>
        <v>0.982839022570416</v>
      </c>
      <c r="E99" s="35">
        <f t="shared" si="17"/>
        <v>0.99739534883720926</v>
      </c>
      <c r="F99" s="20">
        <v>5375</v>
      </c>
      <c r="G99" s="20">
        <f t="shared" si="20"/>
        <v>14</v>
      </c>
      <c r="H99" s="20">
        <v>5361</v>
      </c>
      <c r="I99" s="20">
        <v>5269</v>
      </c>
      <c r="J99" s="20">
        <f t="shared" si="21"/>
        <v>92</v>
      </c>
    </row>
    <row r="100" spans="1:10" s="29" customFormat="1" ht="12.75">
      <c r="A100" s="45">
        <v>2000</v>
      </c>
      <c r="B100" s="48" t="s">
        <v>48</v>
      </c>
      <c r="C100" s="35">
        <f t="shared" si="15"/>
        <v>0.9477697293175753</v>
      </c>
      <c r="D100" s="35">
        <f t="shared" si="16"/>
        <v>0.97528442526480974</v>
      </c>
      <c r="E100" s="35">
        <f t="shared" si="17"/>
        <v>0.97178802897445671</v>
      </c>
      <c r="F100" s="20">
        <v>5246</v>
      </c>
      <c r="G100" s="20">
        <f t="shared" si="20"/>
        <v>148</v>
      </c>
      <c r="H100" s="20">
        <v>5098</v>
      </c>
      <c r="I100" s="20">
        <v>4972</v>
      </c>
      <c r="J100" s="20">
        <f t="shared" si="21"/>
        <v>126</v>
      </c>
    </row>
    <row r="101" spans="1:10" s="29" customFormat="1" ht="12.75">
      <c r="A101" s="46">
        <v>2000</v>
      </c>
      <c r="B101" s="47" t="s">
        <v>49</v>
      </c>
      <c r="C101" s="35">
        <f t="shared" si="15"/>
        <v>0.91114058355437666</v>
      </c>
      <c r="D101" s="35">
        <f t="shared" si="16"/>
        <v>0.95171185434395411</v>
      </c>
      <c r="E101" s="35">
        <f t="shared" si="17"/>
        <v>0.95737021599090566</v>
      </c>
      <c r="F101" s="20">
        <v>5278</v>
      </c>
      <c r="G101" s="20">
        <f t="shared" si="20"/>
        <v>225</v>
      </c>
      <c r="H101" s="20">
        <v>5053</v>
      </c>
      <c r="I101" s="20">
        <v>4809</v>
      </c>
      <c r="J101" s="20">
        <f t="shared" si="21"/>
        <v>244</v>
      </c>
    </row>
    <row r="102" spans="1:10" s="29" customFormat="1" ht="12.75">
      <c r="A102" s="45">
        <v>2001</v>
      </c>
      <c r="B102" s="48" t="s">
        <v>38</v>
      </c>
      <c r="C102" s="35">
        <f t="shared" si="15"/>
        <v>0.9741784037558685</v>
      </c>
      <c r="D102" s="35">
        <f t="shared" si="16"/>
        <v>0.97770931496919178</v>
      </c>
      <c r="E102" s="35">
        <f t="shared" si="17"/>
        <v>0.99638858793788376</v>
      </c>
      <c r="F102" s="20">
        <v>5538</v>
      </c>
      <c r="G102" s="20">
        <f t="shared" ref="G102:G113" si="22">F102-H102</f>
        <v>20</v>
      </c>
      <c r="H102" s="20">
        <v>5518</v>
      </c>
      <c r="I102" s="20">
        <v>5395</v>
      </c>
      <c r="J102" s="20">
        <f t="shared" ref="J102:J113" si="23">H102-I102</f>
        <v>123</v>
      </c>
    </row>
    <row r="103" spans="1:10" s="29" customFormat="1" ht="12.75">
      <c r="A103" s="46">
        <v>2001</v>
      </c>
      <c r="B103" s="47" t="s">
        <v>39</v>
      </c>
      <c r="C103" s="35">
        <f t="shared" si="15"/>
        <v>0.96557971014492749</v>
      </c>
      <c r="D103" s="35">
        <f t="shared" si="16"/>
        <v>0.97519821101849968</v>
      </c>
      <c r="E103" s="35">
        <f t="shared" si="17"/>
        <v>0.99013687600644118</v>
      </c>
      <c r="F103" s="20">
        <v>4968</v>
      </c>
      <c r="G103" s="20">
        <f t="shared" si="22"/>
        <v>49</v>
      </c>
      <c r="H103" s="20">
        <v>4919</v>
      </c>
      <c r="I103" s="20">
        <v>4797</v>
      </c>
      <c r="J103" s="20">
        <f t="shared" si="23"/>
        <v>122</v>
      </c>
    </row>
    <row r="104" spans="1:10" s="29" customFormat="1" ht="12.75">
      <c r="A104" s="45">
        <v>2001</v>
      </c>
      <c r="B104" s="48" t="s">
        <v>40</v>
      </c>
      <c r="C104" s="35">
        <f t="shared" si="15"/>
        <v>0.96252036936447583</v>
      </c>
      <c r="D104" s="35">
        <f t="shared" si="16"/>
        <v>0.97380472614031877</v>
      </c>
      <c r="E104" s="35">
        <f t="shared" si="17"/>
        <v>0.98841209487597326</v>
      </c>
      <c r="F104" s="20">
        <v>5523</v>
      </c>
      <c r="G104" s="20">
        <f t="shared" si="22"/>
        <v>64</v>
      </c>
      <c r="H104" s="20">
        <v>5459</v>
      </c>
      <c r="I104" s="20">
        <v>5316</v>
      </c>
      <c r="J104" s="20">
        <f t="shared" si="23"/>
        <v>143</v>
      </c>
    </row>
    <row r="105" spans="1:10" s="29" customFormat="1" ht="12.75">
      <c r="A105" s="46">
        <v>2001</v>
      </c>
      <c r="B105" s="47" t="s">
        <v>41</v>
      </c>
      <c r="C105" s="35">
        <f t="shared" si="15"/>
        <v>0.9656741892660724</v>
      </c>
      <c r="D105" s="35">
        <f t="shared" si="16"/>
        <v>0.9752920896380004</v>
      </c>
      <c r="E105" s="35">
        <f t="shared" si="17"/>
        <v>0.99013844111511473</v>
      </c>
      <c r="F105" s="20">
        <v>5273</v>
      </c>
      <c r="G105" s="20">
        <f t="shared" si="22"/>
        <v>52</v>
      </c>
      <c r="H105" s="20">
        <v>5221</v>
      </c>
      <c r="I105" s="20">
        <v>5092</v>
      </c>
      <c r="J105" s="20">
        <f t="shared" si="23"/>
        <v>129</v>
      </c>
    </row>
    <row r="106" spans="1:10" s="29" customFormat="1" ht="12.75">
      <c r="A106" s="45">
        <v>2001</v>
      </c>
      <c r="B106" s="48" t="s">
        <v>42</v>
      </c>
      <c r="C106" s="35">
        <f t="shared" si="15"/>
        <v>0.95576739752144901</v>
      </c>
      <c r="D106" s="35">
        <f t="shared" si="16"/>
        <v>0.97207678883071558</v>
      </c>
      <c r="E106" s="35">
        <f t="shared" si="17"/>
        <v>0.98322211630123924</v>
      </c>
      <c r="F106" s="20">
        <v>5245</v>
      </c>
      <c r="G106" s="20">
        <f t="shared" si="22"/>
        <v>88</v>
      </c>
      <c r="H106" s="20">
        <v>5157</v>
      </c>
      <c r="I106" s="20">
        <v>5013</v>
      </c>
      <c r="J106" s="20">
        <f t="shared" si="23"/>
        <v>144</v>
      </c>
    </row>
    <row r="107" spans="1:10" s="29" customFormat="1" ht="12.75">
      <c r="A107" s="46">
        <v>2001</v>
      </c>
      <c r="B107" s="47" t="s">
        <v>43</v>
      </c>
      <c r="C107" s="35">
        <f t="shared" si="15"/>
        <v>0.95623674571042994</v>
      </c>
      <c r="D107" s="35">
        <f t="shared" si="16"/>
        <v>0.96723868954758185</v>
      </c>
      <c r="E107" s="35">
        <f t="shared" si="17"/>
        <v>0.98862540967804124</v>
      </c>
      <c r="F107" s="20">
        <v>5187</v>
      </c>
      <c r="G107" s="20">
        <f t="shared" si="22"/>
        <v>59</v>
      </c>
      <c r="H107" s="20">
        <v>5128</v>
      </c>
      <c r="I107" s="20">
        <v>4960</v>
      </c>
      <c r="J107" s="20">
        <f t="shared" si="23"/>
        <v>168</v>
      </c>
    </row>
    <row r="108" spans="1:10" s="29" customFormat="1" ht="12.75">
      <c r="A108" s="45">
        <v>2001</v>
      </c>
      <c r="B108" s="48" t="s">
        <v>44</v>
      </c>
      <c r="C108" s="35">
        <f t="shared" si="15"/>
        <v>0.90392931002068055</v>
      </c>
      <c r="D108" s="35">
        <f t="shared" si="16"/>
        <v>0.96720981693824182</v>
      </c>
      <c r="E108" s="35">
        <f t="shared" si="17"/>
        <v>0.93457416807670612</v>
      </c>
      <c r="F108" s="20">
        <v>5319</v>
      </c>
      <c r="G108" s="20">
        <f t="shared" si="22"/>
        <v>348</v>
      </c>
      <c r="H108" s="20">
        <v>4971</v>
      </c>
      <c r="I108" s="20">
        <v>4808</v>
      </c>
      <c r="J108" s="20">
        <f t="shared" si="23"/>
        <v>163</v>
      </c>
    </row>
    <row r="109" spans="1:10" s="29" customFormat="1" ht="12.75">
      <c r="A109" s="46">
        <v>2001</v>
      </c>
      <c r="B109" s="47" t="s">
        <v>45</v>
      </c>
      <c r="C109" s="35">
        <f t="shared" si="15"/>
        <v>0.9652269399707174</v>
      </c>
      <c r="D109" s="35">
        <f t="shared" si="16"/>
        <v>0.97540225633438138</v>
      </c>
      <c r="E109" s="35">
        <f t="shared" si="17"/>
        <v>0.98956808199121526</v>
      </c>
      <c r="F109" s="20">
        <v>5464</v>
      </c>
      <c r="G109" s="20">
        <f t="shared" si="22"/>
        <v>57</v>
      </c>
      <c r="H109" s="20">
        <v>5407</v>
      </c>
      <c r="I109" s="20">
        <v>5274</v>
      </c>
      <c r="J109" s="20">
        <f t="shared" si="23"/>
        <v>133</v>
      </c>
    </row>
    <row r="110" spans="1:10" s="29" customFormat="1" ht="12.75">
      <c r="A110" s="45">
        <v>2001</v>
      </c>
      <c r="B110" s="48" t="s">
        <v>46</v>
      </c>
      <c r="C110" s="35">
        <f t="shared" si="15"/>
        <v>0.96500570559147969</v>
      </c>
      <c r="D110" s="35">
        <f t="shared" si="16"/>
        <v>0.97464464079907798</v>
      </c>
      <c r="E110" s="35">
        <f t="shared" si="17"/>
        <v>0.9901103081019399</v>
      </c>
      <c r="F110" s="20">
        <v>5258</v>
      </c>
      <c r="G110" s="20">
        <f t="shared" si="22"/>
        <v>52</v>
      </c>
      <c r="H110" s="20">
        <v>5206</v>
      </c>
      <c r="I110" s="20">
        <v>5074</v>
      </c>
      <c r="J110" s="20">
        <f t="shared" si="23"/>
        <v>132</v>
      </c>
    </row>
    <row r="111" spans="1:10" s="29" customFormat="1" ht="12.75">
      <c r="A111" s="46">
        <v>2001</v>
      </c>
      <c r="B111" s="47" t="s">
        <v>47</v>
      </c>
      <c r="C111" s="35">
        <f t="shared" si="15"/>
        <v>0.9857169016663615</v>
      </c>
      <c r="D111" s="35">
        <f t="shared" si="16"/>
        <v>0.9875252247294074</v>
      </c>
      <c r="E111" s="35">
        <f t="shared" si="17"/>
        <v>0.99816883354696939</v>
      </c>
      <c r="F111" s="20">
        <v>5461</v>
      </c>
      <c r="G111" s="20">
        <f t="shared" si="22"/>
        <v>10</v>
      </c>
      <c r="H111" s="20">
        <v>5451</v>
      </c>
      <c r="I111" s="20">
        <v>5383</v>
      </c>
      <c r="J111" s="20">
        <f t="shared" si="23"/>
        <v>68</v>
      </c>
    </row>
    <row r="112" spans="1:10" s="29" customFormat="1" ht="12.75">
      <c r="A112" s="45">
        <v>2001</v>
      </c>
      <c r="B112" s="48" t="s">
        <v>48</v>
      </c>
      <c r="C112" s="35">
        <f t="shared" si="15"/>
        <v>0.97371406959152795</v>
      </c>
      <c r="D112" s="35">
        <f t="shared" si="16"/>
        <v>0.97666919575113809</v>
      </c>
      <c r="E112" s="35">
        <f t="shared" si="17"/>
        <v>0.99697428139183053</v>
      </c>
      <c r="F112" s="20">
        <v>5288</v>
      </c>
      <c r="G112" s="20">
        <f t="shared" si="22"/>
        <v>16</v>
      </c>
      <c r="H112" s="20">
        <v>5272</v>
      </c>
      <c r="I112" s="20">
        <v>5149</v>
      </c>
      <c r="J112" s="20">
        <f t="shared" si="23"/>
        <v>123</v>
      </c>
    </row>
    <row r="113" spans="1:10" s="29" customFormat="1" ht="12.75">
      <c r="A113" s="46">
        <v>2001</v>
      </c>
      <c r="B113" s="47" t="s">
        <v>49</v>
      </c>
      <c r="C113" s="35">
        <f t="shared" si="15"/>
        <v>0.87308202311043759</v>
      </c>
      <c r="D113" s="35">
        <f t="shared" si="16"/>
        <v>0.9750370213666173</v>
      </c>
      <c r="E113" s="35">
        <f t="shared" si="17"/>
        <v>0.89543474142830082</v>
      </c>
      <c r="F113" s="20">
        <v>5279</v>
      </c>
      <c r="G113" s="20">
        <f t="shared" si="22"/>
        <v>552</v>
      </c>
      <c r="H113" s="20">
        <v>4727</v>
      </c>
      <c r="I113" s="20">
        <v>4609</v>
      </c>
      <c r="J113" s="20">
        <f t="shared" si="23"/>
        <v>118</v>
      </c>
    </row>
    <row r="114" spans="1:10" s="29" customFormat="1" ht="12.75">
      <c r="A114" s="45">
        <v>2002</v>
      </c>
      <c r="B114" s="48" t="s">
        <v>38</v>
      </c>
      <c r="C114" s="35">
        <f t="shared" si="15"/>
        <v>0.95669651014069068</v>
      </c>
      <c r="D114" s="35">
        <f t="shared" si="16"/>
        <v>0.96712227558182495</v>
      </c>
      <c r="E114" s="35">
        <f t="shared" si="17"/>
        <v>0.98921980632194406</v>
      </c>
      <c r="F114" s="20">
        <v>5473</v>
      </c>
      <c r="G114" s="20">
        <f t="shared" ref="G114:G125" si="24">F114-H114</f>
        <v>59</v>
      </c>
      <c r="H114" s="20">
        <v>5414</v>
      </c>
      <c r="I114" s="20">
        <v>5236</v>
      </c>
      <c r="J114" s="20">
        <f t="shared" ref="J114:J125" si="25">H114-I114</f>
        <v>178</v>
      </c>
    </row>
    <row r="115" spans="1:10" s="29" customFormat="1" ht="12.75">
      <c r="A115" s="46">
        <v>2002</v>
      </c>
      <c r="B115" s="47" t="s">
        <v>39</v>
      </c>
      <c r="C115" s="35">
        <f t="shared" si="15"/>
        <v>0.95297877196986991</v>
      </c>
      <c r="D115" s="35">
        <f t="shared" si="16"/>
        <v>0.9588883785025264</v>
      </c>
      <c r="E115" s="35">
        <f t="shared" si="17"/>
        <v>0.99383702351061398</v>
      </c>
      <c r="F115" s="20">
        <v>4381</v>
      </c>
      <c r="G115" s="20">
        <f t="shared" si="24"/>
        <v>27</v>
      </c>
      <c r="H115" s="20">
        <v>4354</v>
      </c>
      <c r="I115" s="20">
        <v>4175</v>
      </c>
      <c r="J115" s="20">
        <f t="shared" si="25"/>
        <v>179</v>
      </c>
    </row>
    <row r="116" spans="1:10" s="29" customFormat="1" ht="12.75">
      <c r="A116" s="45">
        <v>2002</v>
      </c>
      <c r="B116" s="48" t="s">
        <v>40</v>
      </c>
      <c r="C116" s="35">
        <f t="shared" si="15"/>
        <v>0.94120180917510232</v>
      </c>
      <c r="D116" s="35">
        <f t="shared" si="16"/>
        <v>0.95602712754320718</v>
      </c>
      <c r="E116" s="35">
        <f t="shared" si="17"/>
        <v>0.98449278483738967</v>
      </c>
      <c r="F116" s="20">
        <v>4643</v>
      </c>
      <c r="G116" s="20">
        <f t="shared" si="24"/>
        <v>72</v>
      </c>
      <c r="H116" s="20">
        <v>4571</v>
      </c>
      <c r="I116" s="20">
        <v>4370</v>
      </c>
      <c r="J116" s="20">
        <f t="shared" si="25"/>
        <v>201</v>
      </c>
    </row>
    <row r="117" spans="1:10" s="29" customFormat="1" ht="12.75">
      <c r="A117" s="46">
        <v>2002</v>
      </c>
      <c r="B117" s="47" t="s">
        <v>41</v>
      </c>
      <c r="C117" s="35">
        <f t="shared" si="15"/>
        <v>0.90724441435341907</v>
      </c>
      <c r="D117" s="35">
        <f t="shared" si="16"/>
        <v>0.94788964866776704</v>
      </c>
      <c r="E117" s="35">
        <f t="shared" si="17"/>
        <v>0.95712028887384337</v>
      </c>
      <c r="F117" s="20">
        <v>4431</v>
      </c>
      <c r="G117" s="20">
        <f t="shared" si="24"/>
        <v>190</v>
      </c>
      <c r="H117" s="20">
        <v>4241</v>
      </c>
      <c r="I117" s="20">
        <v>4020</v>
      </c>
      <c r="J117" s="20">
        <f t="shared" si="25"/>
        <v>221</v>
      </c>
    </row>
    <row r="118" spans="1:10" s="29" customFormat="1" ht="12.75">
      <c r="A118" s="45">
        <v>2002</v>
      </c>
      <c r="B118" s="48" t="s">
        <v>42</v>
      </c>
      <c r="C118" s="35">
        <f t="shared" si="15"/>
        <v>0.93153980752405952</v>
      </c>
      <c r="D118" s="35">
        <f t="shared" si="16"/>
        <v>0.94288244410006639</v>
      </c>
      <c r="E118" s="35">
        <f t="shared" si="17"/>
        <v>0.98797025371828517</v>
      </c>
      <c r="F118" s="20">
        <v>4572</v>
      </c>
      <c r="G118" s="20">
        <f t="shared" si="24"/>
        <v>55</v>
      </c>
      <c r="H118" s="20">
        <v>4517</v>
      </c>
      <c r="I118" s="20">
        <v>4259</v>
      </c>
      <c r="J118" s="20">
        <f t="shared" si="25"/>
        <v>258</v>
      </c>
    </row>
    <row r="119" spans="1:10" s="29" customFormat="1" ht="12.75">
      <c r="A119" s="46">
        <v>2002</v>
      </c>
      <c r="B119" s="47" t="s">
        <v>43</v>
      </c>
      <c r="C119" s="35">
        <f t="shared" si="15"/>
        <v>0.90249537892791132</v>
      </c>
      <c r="D119" s="35">
        <f t="shared" si="16"/>
        <v>0.91797884841363098</v>
      </c>
      <c r="E119" s="35">
        <f t="shared" si="17"/>
        <v>0.9831330868761553</v>
      </c>
      <c r="F119" s="20">
        <v>4328</v>
      </c>
      <c r="G119" s="20">
        <f t="shared" si="24"/>
        <v>73</v>
      </c>
      <c r="H119" s="20">
        <v>4255</v>
      </c>
      <c r="I119" s="20">
        <v>3906</v>
      </c>
      <c r="J119" s="20">
        <f t="shared" si="25"/>
        <v>349</v>
      </c>
    </row>
    <row r="120" spans="1:10" s="29" customFormat="1" ht="12.75">
      <c r="A120" s="45">
        <v>2002</v>
      </c>
      <c r="B120" s="48" t="s">
        <v>44</v>
      </c>
      <c r="C120" s="35">
        <f t="shared" si="15"/>
        <v>0.87265999129299088</v>
      </c>
      <c r="D120" s="35">
        <f t="shared" si="16"/>
        <v>0.88950521411138228</v>
      </c>
      <c r="E120" s="35">
        <f t="shared" si="17"/>
        <v>0.98106225511536782</v>
      </c>
      <c r="F120" s="20">
        <v>4594</v>
      </c>
      <c r="G120" s="20">
        <f t="shared" si="24"/>
        <v>87</v>
      </c>
      <c r="H120" s="20">
        <v>4507</v>
      </c>
      <c r="I120" s="20">
        <v>4009</v>
      </c>
      <c r="J120" s="20">
        <f t="shared" si="25"/>
        <v>498</v>
      </c>
    </row>
    <row r="121" spans="1:10" s="29" customFormat="1" ht="12.75">
      <c r="A121" s="46">
        <v>2002</v>
      </c>
      <c r="B121" s="47" t="s">
        <v>45</v>
      </c>
      <c r="C121" s="35">
        <f t="shared" si="15"/>
        <v>0.92244367417677642</v>
      </c>
      <c r="D121" s="35">
        <f t="shared" si="16"/>
        <v>0.94182702941827035</v>
      </c>
      <c r="E121" s="35">
        <f t="shared" si="17"/>
        <v>0.97941941074523398</v>
      </c>
      <c r="F121" s="20">
        <v>4616</v>
      </c>
      <c r="G121" s="20">
        <f t="shared" si="24"/>
        <v>95</v>
      </c>
      <c r="H121" s="20">
        <v>4521</v>
      </c>
      <c r="I121" s="20">
        <v>4258</v>
      </c>
      <c r="J121" s="20">
        <f t="shared" si="25"/>
        <v>263</v>
      </c>
    </row>
    <row r="122" spans="1:10" s="29" customFormat="1" ht="12.75">
      <c r="A122" s="45">
        <v>2002</v>
      </c>
      <c r="B122" s="48" t="s">
        <v>46</v>
      </c>
      <c r="C122" s="35">
        <f t="shared" si="15"/>
        <v>0.96977272727272723</v>
      </c>
      <c r="D122" s="35">
        <f t="shared" si="16"/>
        <v>0.97420091324200908</v>
      </c>
      <c r="E122" s="35">
        <f t="shared" si="17"/>
        <v>0.99545454545454548</v>
      </c>
      <c r="F122" s="20">
        <v>4400</v>
      </c>
      <c r="G122" s="20">
        <f t="shared" si="24"/>
        <v>20</v>
      </c>
      <c r="H122" s="20">
        <v>4380</v>
      </c>
      <c r="I122" s="20">
        <v>4267</v>
      </c>
      <c r="J122" s="20">
        <f t="shared" si="25"/>
        <v>113</v>
      </c>
    </row>
    <row r="123" spans="1:10" s="29" customFormat="1" ht="12.75">
      <c r="A123" s="46">
        <v>2002</v>
      </c>
      <c r="B123" s="47" t="s">
        <v>47</v>
      </c>
      <c r="C123" s="35">
        <f t="shared" si="15"/>
        <v>0.8590308370044053</v>
      </c>
      <c r="D123" s="35">
        <f t="shared" si="16"/>
        <v>0.89142857142857146</v>
      </c>
      <c r="E123" s="35">
        <f t="shared" si="17"/>
        <v>0.96365638766519823</v>
      </c>
      <c r="F123" s="20">
        <v>4540</v>
      </c>
      <c r="G123" s="20">
        <f t="shared" si="24"/>
        <v>165</v>
      </c>
      <c r="H123" s="20">
        <v>4375</v>
      </c>
      <c r="I123" s="20">
        <v>3900</v>
      </c>
      <c r="J123" s="20">
        <f t="shared" si="25"/>
        <v>475</v>
      </c>
    </row>
    <row r="124" spans="1:10" s="29" customFormat="1" ht="12.75">
      <c r="A124" s="45">
        <v>2002</v>
      </c>
      <c r="B124" s="48" t="s">
        <v>48</v>
      </c>
      <c r="C124" s="35">
        <f t="shared" si="15"/>
        <v>0.90954207083239347</v>
      </c>
      <c r="D124" s="35">
        <f t="shared" si="16"/>
        <v>0.92583237657864526</v>
      </c>
      <c r="E124" s="35">
        <f t="shared" si="17"/>
        <v>0.98240469208211145</v>
      </c>
      <c r="F124" s="20">
        <v>4433</v>
      </c>
      <c r="G124" s="20">
        <f t="shared" si="24"/>
        <v>78</v>
      </c>
      <c r="H124" s="20">
        <v>4355</v>
      </c>
      <c r="I124" s="20">
        <v>4032</v>
      </c>
      <c r="J124" s="20">
        <f t="shared" si="25"/>
        <v>323</v>
      </c>
    </row>
    <row r="125" spans="1:10" s="29" customFormat="1" ht="12.75">
      <c r="A125" s="46">
        <v>2002</v>
      </c>
      <c r="B125" s="47" t="s">
        <v>49</v>
      </c>
      <c r="C125" s="35">
        <f t="shared" si="15"/>
        <v>0.89489018377409235</v>
      </c>
      <c r="D125" s="35">
        <f t="shared" si="16"/>
        <v>0.91708773541570965</v>
      </c>
      <c r="E125" s="35">
        <f t="shared" si="17"/>
        <v>0.97579560735096371</v>
      </c>
      <c r="F125" s="20">
        <v>4462</v>
      </c>
      <c r="G125" s="20">
        <f t="shared" si="24"/>
        <v>108</v>
      </c>
      <c r="H125" s="20">
        <v>4354</v>
      </c>
      <c r="I125" s="20">
        <v>3993</v>
      </c>
      <c r="J125" s="20">
        <f t="shared" si="25"/>
        <v>361</v>
      </c>
    </row>
    <row r="126" spans="1:10" s="29" customFormat="1" ht="12.75">
      <c r="A126" s="45">
        <v>2003</v>
      </c>
      <c r="B126" s="48" t="s">
        <v>38</v>
      </c>
      <c r="C126" s="35">
        <f t="shared" si="15"/>
        <v>0.91475770925110134</v>
      </c>
      <c r="D126" s="35">
        <f t="shared" si="16"/>
        <v>0.93451845184518456</v>
      </c>
      <c r="E126" s="35">
        <f t="shared" si="17"/>
        <v>0.97885462555066083</v>
      </c>
      <c r="F126" s="20">
        <v>4540</v>
      </c>
      <c r="G126" s="20">
        <f t="shared" ref="G126:G137" si="26">F126-H126</f>
        <v>96</v>
      </c>
      <c r="H126" s="20">
        <v>4444</v>
      </c>
      <c r="I126" s="20">
        <v>4153</v>
      </c>
      <c r="J126" s="20">
        <f t="shared" ref="J126:J137" si="27">H126-I126</f>
        <v>291</v>
      </c>
    </row>
    <row r="127" spans="1:10" s="29" customFormat="1" ht="12.75">
      <c r="A127" s="46">
        <v>2003</v>
      </c>
      <c r="B127" s="47" t="s">
        <v>39</v>
      </c>
      <c r="C127" s="35">
        <f t="shared" si="15"/>
        <v>0.89085188770571155</v>
      </c>
      <c r="D127" s="35">
        <f t="shared" si="16"/>
        <v>0.94047010730710268</v>
      </c>
      <c r="E127" s="35">
        <f t="shared" si="17"/>
        <v>0.94724104549854793</v>
      </c>
      <c r="F127" s="20">
        <v>4132</v>
      </c>
      <c r="G127" s="20">
        <f t="shared" si="26"/>
        <v>218</v>
      </c>
      <c r="H127" s="20">
        <v>3914</v>
      </c>
      <c r="I127" s="20">
        <v>3681</v>
      </c>
      <c r="J127" s="20">
        <f t="shared" si="27"/>
        <v>233</v>
      </c>
    </row>
    <row r="128" spans="1:10" s="29" customFormat="1" ht="12.75">
      <c r="A128" s="45">
        <v>2003</v>
      </c>
      <c r="B128" s="48" t="s">
        <v>40</v>
      </c>
      <c r="C128" s="35">
        <f t="shared" si="15"/>
        <v>0.86618607794548319</v>
      </c>
      <c r="D128" s="35">
        <f t="shared" si="16"/>
        <v>0.93347899975722259</v>
      </c>
      <c r="E128" s="35">
        <f t="shared" si="17"/>
        <v>0.92791169182248256</v>
      </c>
      <c r="F128" s="20">
        <v>4439</v>
      </c>
      <c r="G128" s="20">
        <f t="shared" si="26"/>
        <v>320</v>
      </c>
      <c r="H128" s="20">
        <v>4119</v>
      </c>
      <c r="I128" s="20">
        <v>3845</v>
      </c>
      <c r="J128" s="20">
        <f t="shared" si="27"/>
        <v>274</v>
      </c>
    </row>
    <row r="129" spans="1:10" s="29" customFormat="1" ht="12.75">
      <c r="A129" s="46">
        <v>2003</v>
      </c>
      <c r="B129" s="47" t="s">
        <v>41</v>
      </c>
      <c r="C129" s="35">
        <f t="shared" si="15"/>
        <v>0.84444952032891729</v>
      </c>
      <c r="D129" s="35">
        <f t="shared" si="16"/>
        <v>0.91374196737518532</v>
      </c>
      <c r="E129" s="35">
        <f t="shared" si="17"/>
        <v>0.92416628597533124</v>
      </c>
      <c r="F129" s="20">
        <v>4378</v>
      </c>
      <c r="G129" s="20">
        <f t="shared" si="26"/>
        <v>332</v>
      </c>
      <c r="H129" s="20">
        <v>4046</v>
      </c>
      <c r="I129" s="20">
        <v>3697</v>
      </c>
      <c r="J129" s="20">
        <f t="shared" si="27"/>
        <v>349</v>
      </c>
    </row>
    <row r="130" spans="1:10" s="29" customFormat="1" ht="12.75">
      <c r="A130" s="45">
        <v>2003</v>
      </c>
      <c r="B130" s="48" t="s">
        <v>42</v>
      </c>
      <c r="C130" s="35">
        <f t="shared" si="15"/>
        <v>0.49522964277790105</v>
      </c>
      <c r="D130" s="35">
        <f t="shared" si="16"/>
        <v>0.81608775137111522</v>
      </c>
      <c r="E130" s="35">
        <f t="shared" si="17"/>
        <v>0.60683381406700687</v>
      </c>
      <c r="F130" s="20">
        <v>4507</v>
      </c>
      <c r="G130" s="20">
        <f t="shared" si="26"/>
        <v>1772</v>
      </c>
      <c r="H130" s="20">
        <v>2735</v>
      </c>
      <c r="I130" s="20">
        <v>2232</v>
      </c>
      <c r="J130" s="20">
        <f t="shared" si="27"/>
        <v>503</v>
      </c>
    </row>
    <row r="131" spans="1:10" s="29" customFormat="1" ht="12.75">
      <c r="A131" s="46">
        <v>2003</v>
      </c>
      <c r="B131" s="47" t="s">
        <v>43</v>
      </c>
      <c r="C131" s="35">
        <f t="shared" si="15"/>
        <v>0.65870221327967804</v>
      </c>
      <c r="D131" s="35">
        <f t="shared" si="16"/>
        <v>0.82853527364757984</v>
      </c>
      <c r="E131" s="35">
        <f t="shared" si="17"/>
        <v>0.79502012072434602</v>
      </c>
      <c r="F131" s="20">
        <v>3976</v>
      </c>
      <c r="G131" s="20">
        <f t="shared" si="26"/>
        <v>815</v>
      </c>
      <c r="H131" s="20">
        <v>3161</v>
      </c>
      <c r="I131" s="20">
        <v>2619</v>
      </c>
      <c r="J131" s="20">
        <f t="shared" si="27"/>
        <v>542</v>
      </c>
    </row>
    <row r="132" spans="1:10" s="29" customFormat="1" ht="12.75">
      <c r="A132" s="45">
        <v>2003</v>
      </c>
      <c r="B132" s="48" t="s">
        <v>44</v>
      </c>
      <c r="C132" s="35">
        <f t="shared" si="15"/>
        <v>0.6766887934400625</v>
      </c>
      <c r="D132" s="35">
        <f t="shared" si="16"/>
        <v>0.79953863898500577</v>
      </c>
      <c r="E132" s="35">
        <f t="shared" si="17"/>
        <v>0.84634908238969153</v>
      </c>
      <c r="F132" s="20">
        <v>5122</v>
      </c>
      <c r="G132" s="20">
        <f t="shared" si="26"/>
        <v>787</v>
      </c>
      <c r="H132" s="20">
        <v>4335</v>
      </c>
      <c r="I132" s="20">
        <v>3466</v>
      </c>
      <c r="J132" s="20">
        <f t="shared" si="27"/>
        <v>869</v>
      </c>
    </row>
    <row r="133" spans="1:10" s="29" customFormat="1" ht="12.75">
      <c r="A133" s="46">
        <v>2003</v>
      </c>
      <c r="B133" s="47" t="s">
        <v>45</v>
      </c>
      <c r="C133" s="35">
        <f t="shared" si="15"/>
        <v>0.72014340129957433</v>
      </c>
      <c r="D133" s="35">
        <f t="shared" si="16"/>
        <v>0.85638156141753263</v>
      </c>
      <c r="E133" s="35">
        <f t="shared" si="17"/>
        <v>0.84091418328478607</v>
      </c>
      <c r="F133" s="20">
        <v>4463</v>
      </c>
      <c r="G133" s="20">
        <f t="shared" si="26"/>
        <v>710</v>
      </c>
      <c r="H133" s="20">
        <v>3753</v>
      </c>
      <c r="I133" s="20">
        <v>3214</v>
      </c>
      <c r="J133" s="20">
        <f t="shared" si="27"/>
        <v>539</v>
      </c>
    </row>
    <row r="134" spans="1:10" s="29" customFormat="1" ht="12.75">
      <c r="A134" s="45">
        <v>2003</v>
      </c>
      <c r="B134" s="48" t="s">
        <v>46</v>
      </c>
      <c r="C134" s="35">
        <f t="shared" si="15"/>
        <v>0.70623877917414724</v>
      </c>
      <c r="D134" s="35">
        <f t="shared" si="16"/>
        <v>0.85284552845528461</v>
      </c>
      <c r="E134" s="35">
        <f t="shared" si="17"/>
        <v>0.82809694793536803</v>
      </c>
      <c r="F134" s="20">
        <v>4456</v>
      </c>
      <c r="G134" s="20">
        <f t="shared" si="26"/>
        <v>766</v>
      </c>
      <c r="H134" s="20">
        <v>3690</v>
      </c>
      <c r="I134" s="20">
        <v>3147</v>
      </c>
      <c r="J134" s="20">
        <f t="shared" si="27"/>
        <v>543</v>
      </c>
    </row>
    <row r="135" spans="1:10" s="29" customFormat="1" ht="12.75">
      <c r="A135" s="46">
        <v>2003</v>
      </c>
      <c r="B135" s="47" t="s">
        <v>47</v>
      </c>
      <c r="C135" s="35">
        <f t="shared" ref="C135:C198" si="28">I135/F135</f>
        <v>0.65066079295154189</v>
      </c>
      <c r="D135" s="35">
        <f t="shared" ref="D135:D198" si="29">I135/H135</f>
        <v>0.83164414414414412</v>
      </c>
      <c r="E135" s="35">
        <f t="shared" ref="E135:E198" si="30">H135/F135</f>
        <v>0.78237885462555068</v>
      </c>
      <c r="F135" s="20">
        <v>4540</v>
      </c>
      <c r="G135" s="20">
        <f t="shared" si="26"/>
        <v>988</v>
      </c>
      <c r="H135" s="20">
        <v>3552</v>
      </c>
      <c r="I135" s="20">
        <v>2954</v>
      </c>
      <c r="J135" s="20">
        <f t="shared" si="27"/>
        <v>598</v>
      </c>
    </row>
    <row r="136" spans="1:10" s="29" customFormat="1" ht="12.75">
      <c r="A136" s="45">
        <v>2003</v>
      </c>
      <c r="B136" s="48" t="s">
        <v>48</v>
      </c>
      <c r="C136" s="35">
        <f t="shared" si="28"/>
        <v>0.65327210103329503</v>
      </c>
      <c r="D136" s="35">
        <f t="shared" si="29"/>
        <v>0.83284543325526927</v>
      </c>
      <c r="E136" s="35">
        <f t="shared" si="30"/>
        <v>0.78438576349024114</v>
      </c>
      <c r="F136" s="20">
        <v>4355</v>
      </c>
      <c r="G136" s="20">
        <f t="shared" si="26"/>
        <v>939</v>
      </c>
      <c r="H136" s="20">
        <v>3416</v>
      </c>
      <c r="I136" s="20">
        <v>2845</v>
      </c>
      <c r="J136" s="20">
        <f t="shared" si="27"/>
        <v>571</v>
      </c>
    </row>
    <row r="137" spans="1:10" s="29" customFormat="1" ht="12.75">
      <c r="A137" s="46">
        <v>2003</v>
      </c>
      <c r="B137" s="47" t="s">
        <v>49</v>
      </c>
      <c r="C137" s="35">
        <f t="shared" si="28"/>
        <v>0.62617660242043927</v>
      </c>
      <c r="D137" s="35">
        <f t="shared" si="29"/>
        <v>0.79578467673027631</v>
      </c>
      <c r="E137" s="35">
        <f t="shared" si="30"/>
        <v>0.78686687584043025</v>
      </c>
      <c r="F137" s="20">
        <v>4462</v>
      </c>
      <c r="G137" s="20">
        <f t="shared" si="26"/>
        <v>951</v>
      </c>
      <c r="H137" s="20">
        <v>3511</v>
      </c>
      <c r="I137" s="20">
        <v>2794</v>
      </c>
      <c r="J137" s="20">
        <f t="shared" si="27"/>
        <v>717</v>
      </c>
    </row>
    <row r="138" spans="1:10" s="29" customFormat="1" ht="12.75">
      <c r="A138" s="45">
        <v>2004</v>
      </c>
      <c r="B138" s="48" t="s">
        <v>38</v>
      </c>
      <c r="C138" s="35">
        <f t="shared" si="28"/>
        <v>0.54947974319238435</v>
      </c>
      <c r="D138" s="35">
        <f t="shared" si="29"/>
        <v>0.75280558083105853</v>
      </c>
      <c r="E138" s="35">
        <f t="shared" si="30"/>
        <v>0.72990923179101175</v>
      </c>
      <c r="F138" s="20">
        <v>4517</v>
      </c>
      <c r="G138" s="20">
        <f t="shared" ref="G138:G144" si="31">F138-H138</f>
        <v>1220</v>
      </c>
      <c r="H138" s="20">
        <v>3297</v>
      </c>
      <c r="I138" s="20">
        <v>2482</v>
      </c>
      <c r="J138" s="20">
        <f t="shared" ref="J138:J144" si="32">H138-I138</f>
        <v>815</v>
      </c>
    </row>
    <row r="139" spans="1:10" s="29" customFormat="1" ht="12.75">
      <c r="A139" s="46">
        <v>2004</v>
      </c>
      <c r="B139" s="47" t="s">
        <v>39</v>
      </c>
      <c r="C139" s="35">
        <f t="shared" si="28"/>
        <v>0.47509487666034156</v>
      </c>
      <c r="D139" s="35">
        <f t="shared" si="29"/>
        <v>0.71484653818700927</v>
      </c>
      <c r="E139" s="35">
        <f t="shared" si="30"/>
        <v>0.66461100569259957</v>
      </c>
      <c r="F139" s="20">
        <v>4216</v>
      </c>
      <c r="G139" s="20">
        <f t="shared" si="31"/>
        <v>1414</v>
      </c>
      <c r="H139" s="20">
        <v>2802</v>
      </c>
      <c r="I139" s="20">
        <v>2003</v>
      </c>
      <c r="J139" s="20">
        <f t="shared" si="32"/>
        <v>799</v>
      </c>
    </row>
    <row r="140" spans="1:10" s="29" customFormat="1" ht="12.75">
      <c r="A140" s="45">
        <v>2004</v>
      </c>
      <c r="B140" s="48" t="s">
        <v>40</v>
      </c>
      <c r="C140" s="35">
        <f t="shared" si="28"/>
        <v>0.55067128627111306</v>
      </c>
      <c r="D140" s="35">
        <f t="shared" si="29"/>
        <v>0.74552917033128119</v>
      </c>
      <c r="E140" s="35">
        <f t="shared" si="30"/>
        <v>0.73863144218276311</v>
      </c>
      <c r="F140" s="20">
        <v>4618</v>
      </c>
      <c r="G140" s="20">
        <f t="shared" si="31"/>
        <v>1207</v>
      </c>
      <c r="H140" s="20">
        <v>3411</v>
      </c>
      <c r="I140" s="20">
        <v>2543</v>
      </c>
      <c r="J140" s="20">
        <f t="shared" si="32"/>
        <v>868</v>
      </c>
    </row>
    <row r="141" spans="1:10" s="29" customFormat="1" ht="12.75">
      <c r="A141" s="46">
        <v>2004</v>
      </c>
      <c r="B141" s="47" t="s">
        <v>41</v>
      </c>
      <c r="C141" s="35">
        <f t="shared" si="28"/>
        <v>0.64860465116279065</v>
      </c>
      <c r="D141" s="35">
        <f t="shared" si="29"/>
        <v>0.79936944683290345</v>
      </c>
      <c r="E141" s="35">
        <f t="shared" si="30"/>
        <v>0.81139534883720932</v>
      </c>
      <c r="F141" s="20">
        <v>4300</v>
      </c>
      <c r="G141" s="20">
        <f t="shared" si="31"/>
        <v>811</v>
      </c>
      <c r="H141" s="20">
        <v>3489</v>
      </c>
      <c r="I141" s="20">
        <v>2789</v>
      </c>
      <c r="J141" s="20">
        <f t="shared" si="32"/>
        <v>700</v>
      </c>
    </row>
    <row r="142" spans="1:10" s="29" customFormat="1" ht="12.75">
      <c r="A142" s="45">
        <v>2004</v>
      </c>
      <c r="B142" s="48" t="s">
        <v>42</v>
      </c>
      <c r="C142" s="35">
        <f t="shared" si="28"/>
        <v>0.73038321167883213</v>
      </c>
      <c r="D142" s="35">
        <f t="shared" si="29"/>
        <v>0.77699587478767285</v>
      </c>
      <c r="E142" s="35">
        <f t="shared" si="30"/>
        <v>0.94000912408759119</v>
      </c>
      <c r="F142" s="20">
        <v>4384</v>
      </c>
      <c r="G142" s="20">
        <f t="shared" si="31"/>
        <v>263</v>
      </c>
      <c r="H142" s="20">
        <v>4121</v>
      </c>
      <c r="I142" s="20">
        <v>3202</v>
      </c>
      <c r="J142" s="20">
        <f t="shared" si="32"/>
        <v>919</v>
      </c>
    </row>
    <row r="143" spans="1:10" s="29" customFormat="1" ht="12.75">
      <c r="A143" s="46">
        <v>2004</v>
      </c>
      <c r="B143" s="47" t="s">
        <v>43</v>
      </c>
      <c r="C143" s="35">
        <f t="shared" si="28"/>
        <v>0.81795340338053901</v>
      </c>
      <c r="D143" s="35">
        <f t="shared" si="29"/>
        <v>0.84358068315665491</v>
      </c>
      <c r="E143" s="35">
        <f t="shared" si="30"/>
        <v>0.96962083142987665</v>
      </c>
      <c r="F143" s="20">
        <v>4378</v>
      </c>
      <c r="G143" s="20">
        <f t="shared" si="31"/>
        <v>133</v>
      </c>
      <c r="H143" s="20">
        <v>4245</v>
      </c>
      <c r="I143" s="20">
        <v>3581</v>
      </c>
      <c r="J143" s="20">
        <f t="shared" si="32"/>
        <v>664</v>
      </c>
    </row>
    <row r="144" spans="1:10" s="29" customFormat="1" ht="12.75">
      <c r="A144" s="45">
        <v>2004</v>
      </c>
      <c r="B144" s="48" t="s">
        <v>44</v>
      </c>
      <c r="C144" s="35">
        <f t="shared" si="28"/>
        <v>0.8448085012176223</v>
      </c>
      <c r="D144" s="35">
        <f t="shared" si="29"/>
        <v>0.87043795620437958</v>
      </c>
      <c r="E144" s="35">
        <f t="shared" si="30"/>
        <v>0.97055567854770863</v>
      </c>
      <c r="F144" s="20">
        <v>4517</v>
      </c>
      <c r="G144" s="20">
        <f t="shared" si="31"/>
        <v>133</v>
      </c>
      <c r="H144" s="20">
        <v>4384</v>
      </c>
      <c r="I144" s="20">
        <v>3816</v>
      </c>
      <c r="J144" s="20">
        <f t="shared" si="32"/>
        <v>568</v>
      </c>
    </row>
    <row r="145" spans="1:10" s="29" customFormat="1" ht="12.75">
      <c r="A145" s="46">
        <v>2004</v>
      </c>
      <c r="B145" s="47" t="s">
        <v>45</v>
      </c>
      <c r="C145" s="35">
        <f t="shared" si="28"/>
        <v>0.85163603765127749</v>
      </c>
      <c r="D145" s="35">
        <f t="shared" si="29"/>
        <v>0.88372093023255816</v>
      </c>
      <c r="E145" s="35">
        <f t="shared" si="30"/>
        <v>0.96369341102644557</v>
      </c>
      <c r="F145" s="20">
        <v>4462</v>
      </c>
      <c r="G145" s="20">
        <f>F145-H145</f>
        <v>162</v>
      </c>
      <c r="H145" s="20">
        <v>4300</v>
      </c>
      <c r="I145" s="20">
        <v>3800</v>
      </c>
      <c r="J145" s="20">
        <f>H145-I145</f>
        <v>500</v>
      </c>
    </row>
    <row r="146" spans="1:10" s="29" customFormat="1" ht="12.75">
      <c r="A146" s="45">
        <v>2004</v>
      </c>
      <c r="B146" s="48" t="s">
        <v>46</v>
      </c>
      <c r="C146" s="35">
        <f t="shared" si="28"/>
        <v>0.77221723518850982</v>
      </c>
      <c r="D146" s="35">
        <f t="shared" si="29"/>
        <v>0.8396778916544656</v>
      </c>
      <c r="E146" s="35">
        <f t="shared" si="30"/>
        <v>0.91965888689407538</v>
      </c>
      <c r="F146" s="20">
        <v>4456</v>
      </c>
      <c r="G146" s="20">
        <f>F146-H146</f>
        <v>358</v>
      </c>
      <c r="H146" s="20">
        <v>4098</v>
      </c>
      <c r="I146" s="20">
        <v>3441</v>
      </c>
      <c r="J146" s="20">
        <f>H146-I146</f>
        <v>657</v>
      </c>
    </row>
    <row r="147" spans="1:10" s="29" customFormat="1" ht="12.75">
      <c r="A147" s="46">
        <v>2004</v>
      </c>
      <c r="B147" s="47" t="s">
        <v>47</v>
      </c>
      <c r="C147" s="35">
        <f t="shared" si="28"/>
        <v>0.78936697454381621</v>
      </c>
      <c r="D147" s="35">
        <f t="shared" si="29"/>
        <v>0.88551933282789996</v>
      </c>
      <c r="E147" s="35">
        <f t="shared" si="30"/>
        <v>0.8914169858076143</v>
      </c>
      <c r="F147" s="20">
        <v>4439</v>
      </c>
      <c r="G147" s="20">
        <f>F147-H147</f>
        <v>482</v>
      </c>
      <c r="H147" s="20">
        <v>3957</v>
      </c>
      <c r="I147" s="20">
        <v>3504</v>
      </c>
      <c r="J147" s="20">
        <f>H147-I147</f>
        <v>453</v>
      </c>
    </row>
    <row r="148" spans="1:10" s="29" customFormat="1" ht="12.75">
      <c r="A148" s="45">
        <v>2004</v>
      </c>
      <c r="B148" s="48" t="s">
        <v>48</v>
      </c>
      <c r="C148" s="35">
        <f t="shared" si="28"/>
        <v>0.83774685816876127</v>
      </c>
      <c r="D148" s="35">
        <f t="shared" si="29"/>
        <v>0.87526377491207508</v>
      </c>
      <c r="E148" s="35">
        <f t="shared" si="30"/>
        <v>0.95713644524236985</v>
      </c>
      <c r="F148" s="20">
        <v>4456</v>
      </c>
      <c r="G148" s="20">
        <f>F148-H148</f>
        <v>191</v>
      </c>
      <c r="H148" s="20">
        <v>4265</v>
      </c>
      <c r="I148" s="20">
        <v>3733</v>
      </c>
      <c r="J148" s="20">
        <f>H148-I148</f>
        <v>532</v>
      </c>
    </row>
    <row r="149" spans="1:10" s="29" customFormat="1" ht="12.75">
      <c r="A149" s="46">
        <v>2004</v>
      </c>
      <c r="B149" s="47" t="s">
        <v>49</v>
      </c>
      <c r="C149" s="35">
        <f t="shared" si="28"/>
        <v>0.7085841694537347</v>
      </c>
      <c r="D149" s="35">
        <f t="shared" si="29"/>
        <v>0.79909479507166203</v>
      </c>
      <c r="E149" s="35">
        <f t="shared" si="30"/>
        <v>0.88673355629877371</v>
      </c>
      <c r="F149" s="20">
        <v>4485</v>
      </c>
      <c r="G149" s="20">
        <f>F149-H149</f>
        <v>508</v>
      </c>
      <c r="H149" s="20">
        <v>3977</v>
      </c>
      <c r="I149" s="20">
        <v>3178</v>
      </c>
      <c r="J149" s="20">
        <f>H149-I149</f>
        <v>799</v>
      </c>
    </row>
    <row r="150" spans="1:10" s="29" customFormat="1" ht="12.75">
      <c r="A150" s="45">
        <v>2005</v>
      </c>
      <c r="B150" s="48" t="s">
        <v>38</v>
      </c>
      <c r="C150" s="35">
        <f t="shared" si="28"/>
        <v>0.78046875000000004</v>
      </c>
      <c r="D150" s="35">
        <f t="shared" si="29"/>
        <v>0.84303797468354436</v>
      </c>
      <c r="E150" s="35">
        <f t="shared" si="30"/>
        <v>0.92578125</v>
      </c>
      <c r="F150" s="20">
        <v>3840</v>
      </c>
      <c r="G150" s="20">
        <v>285</v>
      </c>
      <c r="H150" s="20">
        <v>3555</v>
      </c>
      <c r="I150" s="20">
        <v>2997</v>
      </c>
      <c r="J150" s="20">
        <v>843</v>
      </c>
    </row>
    <row r="151" spans="1:10" s="29" customFormat="1" ht="12.75">
      <c r="A151" s="46">
        <v>2005</v>
      </c>
      <c r="B151" s="47" t="s">
        <v>39</v>
      </c>
      <c r="C151" s="35">
        <f t="shared" si="28"/>
        <v>0.8061002178649237</v>
      </c>
      <c r="D151" s="35">
        <f t="shared" si="29"/>
        <v>0.84090909090909094</v>
      </c>
      <c r="E151" s="35">
        <f t="shared" si="30"/>
        <v>0.95860566448801743</v>
      </c>
      <c r="F151" s="20">
        <v>3672</v>
      </c>
      <c r="G151" s="20">
        <v>152</v>
      </c>
      <c r="H151" s="20">
        <v>3520</v>
      </c>
      <c r="I151" s="20">
        <v>2960</v>
      </c>
      <c r="J151" s="20">
        <v>712</v>
      </c>
    </row>
    <row r="152" spans="1:10" s="29" customFormat="1" ht="12.75">
      <c r="A152" s="45">
        <v>2005</v>
      </c>
      <c r="B152" s="48" t="s">
        <v>40</v>
      </c>
      <c r="C152" s="35">
        <f t="shared" si="28"/>
        <v>0.83151779230210598</v>
      </c>
      <c r="D152" s="35">
        <f t="shared" si="29"/>
        <v>0.85660847880299251</v>
      </c>
      <c r="E152" s="35">
        <f t="shared" si="30"/>
        <v>0.97070927136286611</v>
      </c>
      <c r="F152" s="20">
        <v>4131</v>
      </c>
      <c r="G152" s="20">
        <v>121</v>
      </c>
      <c r="H152" s="20">
        <v>4010</v>
      </c>
      <c r="I152" s="20">
        <v>3435</v>
      </c>
      <c r="J152" s="20">
        <v>696</v>
      </c>
    </row>
    <row r="153" spans="1:10" s="29" customFormat="1" ht="12.75">
      <c r="A153" s="46">
        <v>2005</v>
      </c>
      <c r="B153" s="47" t="s">
        <v>41</v>
      </c>
      <c r="C153" s="35">
        <f t="shared" si="28"/>
        <v>0.83362434522324769</v>
      </c>
      <c r="D153" s="35">
        <f t="shared" si="29"/>
        <v>0.85189905684425182</v>
      </c>
      <c r="E153" s="35">
        <f t="shared" si="30"/>
        <v>0.97854826640059867</v>
      </c>
      <c r="F153" s="20">
        <v>4009</v>
      </c>
      <c r="G153" s="20">
        <v>86</v>
      </c>
      <c r="H153" s="20">
        <v>3923</v>
      </c>
      <c r="I153" s="20">
        <v>3342</v>
      </c>
      <c r="J153" s="20">
        <v>667</v>
      </c>
    </row>
    <row r="154" spans="1:10" s="29" customFormat="1" ht="12.75">
      <c r="A154" s="45">
        <v>2005</v>
      </c>
      <c r="B154" s="48" t="s">
        <v>42</v>
      </c>
      <c r="C154" s="35">
        <f t="shared" si="28"/>
        <v>0.85651750972762641</v>
      </c>
      <c r="D154" s="35">
        <f t="shared" si="29"/>
        <v>0.87113529557259461</v>
      </c>
      <c r="E154" s="35">
        <f t="shared" si="30"/>
        <v>0.9832198443579766</v>
      </c>
      <c r="F154" s="20">
        <v>4112</v>
      </c>
      <c r="G154" s="20">
        <v>69</v>
      </c>
      <c r="H154" s="20">
        <v>4043</v>
      </c>
      <c r="I154" s="20">
        <v>3522</v>
      </c>
      <c r="J154" s="20">
        <v>590</v>
      </c>
    </row>
    <row r="155" spans="1:10" s="29" customFormat="1" ht="12.75">
      <c r="A155" s="46">
        <v>2005</v>
      </c>
      <c r="B155" s="47" t="s">
        <v>43</v>
      </c>
      <c r="C155" s="35">
        <f t="shared" si="28"/>
        <v>0.79346470441506611</v>
      </c>
      <c r="D155" s="35">
        <f t="shared" si="29"/>
        <v>0.83556606251641707</v>
      </c>
      <c r="E155" s="35">
        <f t="shared" si="30"/>
        <v>0.94961336991768519</v>
      </c>
      <c r="F155" s="20">
        <v>4009</v>
      </c>
      <c r="G155" s="20">
        <v>202</v>
      </c>
      <c r="H155" s="20">
        <v>3807</v>
      </c>
      <c r="I155" s="20">
        <v>3181</v>
      </c>
      <c r="J155" s="20">
        <v>828</v>
      </c>
    </row>
    <row r="156" spans="1:10" s="29" customFormat="1" ht="12.75">
      <c r="A156" s="45">
        <v>2005</v>
      </c>
      <c r="B156" s="48" t="s">
        <v>44</v>
      </c>
      <c r="C156" s="35">
        <f t="shared" si="28"/>
        <v>0.83049610894941639</v>
      </c>
      <c r="D156" s="35">
        <f t="shared" si="29"/>
        <v>0.85955197583689902</v>
      </c>
      <c r="E156" s="35">
        <f t="shared" si="30"/>
        <v>0.96619649805447472</v>
      </c>
      <c r="F156" s="20">
        <v>4112</v>
      </c>
      <c r="G156" s="20">
        <f t="shared" ref="G156:G161" si="33">F156-H156</f>
        <v>139</v>
      </c>
      <c r="H156" s="20">
        <v>3973</v>
      </c>
      <c r="I156" s="20">
        <v>3415</v>
      </c>
      <c r="J156" s="20">
        <f t="shared" ref="J156:J161" si="34">H156-I156</f>
        <v>558</v>
      </c>
    </row>
    <row r="157" spans="1:10" s="29" customFormat="1" ht="12.75">
      <c r="A157" s="46">
        <v>2005</v>
      </c>
      <c r="B157" s="47" t="s">
        <v>45</v>
      </c>
      <c r="C157" s="35">
        <f t="shared" si="28"/>
        <v>0.82293423271500843</v>
      </c>
      <c r="D157" s="35">
        <f t="shared" si="29"/>
        <v>0.87231869254341166</v>
      </c>
      <c r="E157" s="35">
        <f t="shared" si="30"/>
        <v>0.94338713562996868</v>
      </c>
      <c r="F157" s="20">
        <v>4151</v>
      </c>
      <c r="G157" s="20">
        <f t="shared" si="33"/>
        <v>235</v>
      </c>
      <c r="H157" s="20">
        <v>3916</v>
      </c>
      <c r="I157" s="20">
        <v>3416</v>
      </c>
      <c r="J157" s="20">
        <f t="shared" si="34"/>
        <v>500</v>
      </c>
    </row>
    <row r="158" spans="1:10" s="29" customFormat="1" ht="12.75">
      <c r="A158" s="45">
        <v>2005</v>
      </c>
      <c r="B158" s="48" t="s">
        <v>46</v>
      </c>
      <c r="C158" s="35">
        <f t="shared" si="28"/>
        <v>0.88216403162055335</v>
      </c>
      <c r="D158" s="35">
        <f t="shared" si="29"/>
        <v>0.91004077471967382</v>
      </c>
      <c r="E158" s="35">
        <f t="shared" si="30"/>
        <v>0.96936758893280628</v>
      </c>
      <c r="F158" s="20">
        <v>4048</v>
      </c>
      <c r="G158" s="20">
        <f t="shared" si="33"/>
        <v>124</v>
      </c>
      <c r="H158" s="20">
        <v>3924</v>
      </c>
      <c r="I158" s="20">
        <v>3571</v>
      </c>
      <c r="J158" s="20">
        <f t="shared" si="34"/>
        <v>353</v>
      </c>
    </row>
    <row r="159" spans="1:10" s="29" customFormat="1" ht="12.75">
      <c r="A159" s="46">
        <v>2005</v>
      </c>
      <c r="B159" s="47" t="s">
        <v>47</v>
      </c>
      <c r="C159" s="35">
        <f t="shared" si="28"/>
        <v>0.82503660322108341</v>
      </c>
      <c r="D159" s="35">
        <f t="shared" si="29"/>
        <v>0.8522813208974036</v>
      </c>
      <c r="E159" s="35">
        <f t="shared" si="30"/>
        <v>0.96803318692044904</v>
      </c>
      <c r="F159" s="20">
        <v>4098</v>
      </c>
      <c r="G159" s="20">
        <f t="shared" si="33"/>
        <v>131</v>
      </c>
      <c r="H159" s="20">
        <v>3967</v>
      </c>
      <c r="I159" s="20">
        <v>3381</v>
      </c>
      <c r="J159" s="20">
        <f t="shared" si="34"/>
        <v>586</v>
      </c>
    </row>
    <row r="160" spans="1:10" s="29" customFormat="1" ht="12.75">
      <c r="A160" s="45">
        <v>2005</v>
      </c>
      <c r="B160" s="48" t="s">
        <v>48</v>
      </c>
      <c r="C160" s="35">
        <f t="shared" si="28"/>
        <v>0.82707509881422925</v>
      </c>
      <c r="D160" s="35">
        <f t="shared" si="29"/>
        <v>0.85039370078740162</v>
      </c>
      <c r="E160" s="35">
        <f t="shared" si="30"/>
        <v>0.97257905138339917</v>
      </c>
      <c r="F160" s="20">
        <v>4048</v>
      </c>
      <c r="G160" s="20">
        <f t="shared" si="33"/>
        <v>111</v>
      </c>
      <c r="H160" s="20">
        <v>3937</v>
      </c>
      <c r="I160" s="20">
        <v>3348</v>
      </c>
      <c r="J160" s="20">
        <f t="shared" si="34"/>
        <v>589</v>
      </c>
    </row>
    <row r="161" spans="1:10" s="29" customFormat="1" ht="12.75">
      <c r="A161" s="46">
        <v>2005</v>
      </c>
      <c r="B161" s="47" t="s">
        <v>49</v>
      </c>
      <c r="C161" s="35">
        <f t="shared" si="28"/>
        <v>0.86514161220043573</v>
      </c>
      <c r="D161" s="35">
        <f t="shared" si="29"/>
        <v>0.88677981241625725</v>
      </c>
      <c r="E161" s="35">
        <f t="shared" si="30"/>
        <v>0.97559912854030506</v>
      </c>
      <c r="F161" s="20">
        <v>4590</v>
      </c>
      <c r="G161" s="20">
        <f t="shared" si="33"/>
        <v>112</v>
      </c>
      <c r="H161" s="20">
        <v>4478</v>
      </c>
      <c r="I161" s="20">
        <v>3971</v>
      </c>
      <c r="J161" s="20">
        <f t="shared" si="34"/>
        <v>507</v>
      </c>
    </row>
    <row r="162" spans="1:10" s="29" customFormat="1" ht="12.75">
      <c r="A162" s="45">
        <v>2006</v>
      </c>
      <c r="B162" s="48" t="s">
        <v>38</v>
      </c>
      <c r="C162" s="35">
        <f t="shared" si="28"/>
        <v>0.86421075176697371</v>
      </c>
      <c r="D162" s="35">
        <f t="shared" si="29"/>
        <v>0.8905318914146988</v>
      </c>
      <c r="E162" s="35">
        <f t="shared" si="30"/>
        <v>0.97044334975369462</v>
      </c>
      <c r="F162" s="20">
        <v>4669</v>
      </c>
      <c r="G162" s="20">
        <f t="shared" ref="G162:G173" si="35">F162-H162</f>
        <v>138</v>
      </c>
      <c r="H162" s="20">
        <v>4531</v>
      </c>
      <c r="I162" s="20">
        <v>4035</v>
      </c>
      <c r="J162" s="20">
        <f t="shared" ref="J162:J173" si="36">H162-I162</f>
        <v>496</v>
      </c>
    </row>
    <row r="163" spans="1:10" s="29" customFormat="1" ht="12.75">
      <c r="A163" s="46">
        <v>2006</v>
      </c>
      <c r="B163" s="47" t="s">
        <v>39</v>
      </c>
      <c r="C163" s="35">
        <f t="shared" si="28"/>
        <v>0.81687145557655949</v>
      </c>
      <c r="D163" s="35">
        <f t="shared" si="29"/>
        <v>0.84523227383863075</v>
      </c>
      <c r="E163" s="35">
        <f t="shared" si="30"/>
        <v>0.96644612476370506</v>
      </c>
      <c r="F163" s="20">
        <v>4232</v>
      </c>
      <c r="G163" s="20">
        <f t="shared" si="35"/>
        <v>142</v>
      </c>
      <c r="H163" s="20">
        <v>4090</v>
      </c>
      <c r="I163" s="20">
        <v>3457</v>
      </c>
      <c r="J163" s="20">
        <f t="shared" si="36"/>
        <v>633</v>
      </c>
    </row>
    <row r="164" spans="1:10" s="29" customFormat="1" ht="12.75">
      <c r="A164" s="45">
        <v>2006</v>
      </c>
      <c r="B164" s="48" t="s">
        <v>40</v>
      </c>
      <c r="C164" s="35">
        <f t="shared" si="28"/>
        <v>0.8054755043227666</v>
      </c>
      <c r="D164" s="35">
        <f t="shared" si="29"/>
        <v>0.81793478260869568</v>
      </c>
      <c r="E164" s="35">
        <f t="shared" si="30"/>
        <v>0.98476739398929602</v>
      </c>
      <c r="F164" s="20">
        <v>4858</v>
      </c>
      <c r="G164" s="20">
        <f t="shared" si="35"/>
        <v>74</v>
      </c>
      <c r="H164" s="20">
        <v>4784</v>
      </c>
      <c r="I164" s="20">
        <v>3913</v>
      </c>
      <c r="J164" s="20">
        <f t="shared" si="36"/>
        <v>871</v>
      </c>
    </row>
    <row r="165" spans="1:10" s="29" customFormat="1" ht="12.75">
      <c r="A165" s="46">
        <v>2006</v>
      </c>
      <c r="B165" s="47" t="s">
        <v>41</v>
      </c>
      <c r="C165" s="35">
        <f t="shared" si="28"/>
        <v>0.84536923704610367</v>
      </c>
      <c r="D165" s="35">
        <f t="shared" si="29"/>
        <v>0.86930983847283405</v>
      </c>
      <c r="E165" s="35">
        <f t="shared" si="30"/>
        <v>0.97246022031823742</v>
      </c>
      <c r="F165" s="20">
        <v>4902</v>
      </c>
      <c r="G165" s="20">
        <f t="shared" si="35"/>
        <v>135</v>
      </c>
      <c r="H165" s="20">
        <v>4767</v>
      </c>
      <c r="I165" s="20">
        <v>4144</v>
      </c>
      <c r="J165" s="20">
        <f t="shared" si="36"/>
        <v>623</v>
      </c>
    </row>
    <row r="166" spans="1:10" s="29" customFormat="1" ht="12.75">
      <c r="A166" s="45">
        <v>2006</v>
      </c>
      <c r="B166" s="48" t="s">
        <v>42</v>
      </c>
      <c r="C166" s="35">
        <f t="shared" si="28"/>
        <v>0.80749607535321821</v>
      </c>
      <c r="D166" s="35">
        <f t="shared" si="29"/>
        <v>0.85764902042517721</v>
      </c>
      <c r="E166" s="35">
        <f t="shared" si="30"/>
        <v>0.94152276295133441</v>
      </c>
      <c r="F166" s="20">
        <v>5096</v>
      </c>
      <c r="G166" s="20">
        <f t="shared" si="35"/>
        <v>298</v>
      </c>
      <c r="H166" s="20">
        <v>4798</v>
      </c>
      <c r="I166" s="20">
        <v>4115</v>
      </c>
      <c r="J166" s="20">
        <f t="shared" si="36"/>
        <v>683</v>
      </c>
    </row>
    <row r="167" spans="1:10" s="29" customFormat="1" ht="12.75">
      <c r="A167" s="46">
        <v>2006</v>
      </c>
      <c r="B167" s="47" t="s">
        <v>43</v>
      </c>
      <c r="C167" s="35">
        <f t="shared" si="28"/>
        <v>0.72020933977455714</v>
      </c>
      <c r="D167" s="35">
        <f t="shared" si="29"/>
        <v>0.76322525597269619</v>
      </c>
      <c r="E167" s="35">
        <f t="shared" si="30"/>
        <v>0.94363929146537839</v>
      </c>
      <c r="F167" s="20">
        <v>4968</v>
      </c>
      <c r="G167" s="20">
        <f t="shared" si="35"/>
        <v>280</v>
      </c>
      <c r="H167" s="20">
        <v>4688</v>
      </c>
      <c r="I167" s="20">
        <v>3578</v>
      </c>
      <c r="J167" s="20">
        <f t="shared" si="36"/>
        <v>1110</v>
      </c>
    </row>
    <row r="168" spans="1:10" s="29" customFormat="1" ht="12.75">
      <c r="A168" s="45">
        <v>2006</v>
      </c>
      <c r="B168" s="48" t="s">
        <v>44</v>
      </c>
      <c r="C168" s="35">
        <f t="shared" si="28"/>
        <v>0.6880608661724541</v>
      </c>
      <c r="D168" s="35">
        <f t="shared" si="29"/>
        <v>0.72871900826446279</v>
      </c>
      <c r="E168" s="35">
        <f t="shared" si="30"/>
        <v>0.94420600858369097</v>
      </c>
      <c r="F168" s="20">
        <v>5126</v>
      </c>
      <c r="G168" s="20">
        <f t="shared" si="35"/>
        <v>286</v>
      </c>
      <c r="H168" s="20">
        <v>4840</v>
      </c>
      <c r="I168" s="20">
        <v>3527</v>
      </c>
      <c r="J168" s="20">
        <f t="shared" si="36"/>
        <v>1313</v>
      </c>
    </row>
    <row r="169" spans="1:10" s="29" customFormat="1" ht="12.75">
      <c r="A169" s="46">
        <v>2006</v>
      </c>
      <c r="B169" s="47" t="s">
        <v>45</v>
      </c>
      <c r="C169" s="35">
        <f t="shared" si="28"/>
        <v>0.74611197511664074</v>
      </c>
      <c r="D169" s="35">
        <f t="shared" si="29"/>
        <v>0.7808748728382503</v>
      </c>
      <c r="E169" s="35">
        <f t="shared" si="30"/>
        <v>0.9554821150855366</v>
      </c>
      <c r="F169" s="20">
        <v>5144</v>
      </c>
      <c r="G169" s="20">
        <f t="shared" si="35"/>
        <v>229</v>
      </c>
      <c r="H169" s="20">
        <v>4915</v>
      </c>
      <c r="I169" s="20">
        <v>3838</v>
      </c>
      <c r="J169" s="20">
        <f t="shared" si="36"/>
        <v>1077</v>
      </c>
    </row>
    <row r="170" spans="1:10" s="29" customFormat="1" ht="12.75">
      <c r="A170" s="45">
        <v>2006</v>
      </c>
      <c r="B170" s="48" t="s">
        <v>46</v>
      </c>
      <c r="C170" s="35">
        <f t="shared" si="28"/>
        <v>0.85654261704681878</v>
      </c>
      <c r="D170" s="35">
        <f t="shared" si="29"/>
        <v>0.87635619242579321</v>
      </c>
      <c r="E170" s="35">
        <f t="shared" si="30"/>
        <v>0.97739095638255302</v>
      </c>
      <c r="F170" s="20">
        <v>4998</v>
      </c>
      <c r="G170" s="20">
        <f t="shared" si="35"/>
        <v>113</v>
      </c>
      <c r="H170" s="20">
        <v>4885</v>
      </c>
      <c r="I170" s="20">
        <v>4281</v>
      </c>
      <c r="J170" s="20">
        <f t="shared" si="36"/>
        <v>604</v>
      </c>
    </row>
    <row r="171" spans="1:10" s="29" customFormat="1" ht="12.75">
      <c r="A171" s="46">
        <v>2006</v>
      </c>
      <c r="B171" s="47" t="s">
        <v>47</v>
      </c>
      <c r="C171" s="35">
        <f t="shared" si="28"/>
        <v>0.86499215070643642</v>
      </c>
      <c r="D171" s="35">
        <f t="shared" si="29"/>
        <v>0.88978603148970525</v>
      </c>
      <c r="E171" s="35">
        <f t="shared" si="30"/>
        <v>0.97213500784929352</v>
      </c>
      <c r="F171" s="20">
        <v>5096</v>
      </c>
      <c r="G171" s="20">
        <f t="shared" si="35"/>
        <v>142</v>
      </c>
      <c r="H171" s="20">
        <v>4954</v>
      </c>
      <c r="I171" s="20">
        <v>4408</v>
      </c>
      <c r="J171" s="20">
        <f t="shared" si="36"/>
        <v>546</v>
      </c>
    </row>
    <row r="172" spans="1:10" s="29" customFormat="1" ht="12.75">
      <c r="A172" s="45">
        <v>2006</v>
      </c>
      <c r="B172" s="48" t="s">
        <v>48</v>
      </c>
      <c r="C172" s="35">
        <f t="shared" si="28"/>
        <v>0.81818181818181823</v>
      </c>
      <c r="D172" s="35">
        <f t="shared" si="29"/>
        <v>0.84392350400987048</v>
      </c>
      <c r="E172" s="35">
        <f t="shared" si="30"/>
        <v>0.96949760765550241</v>
      </c>
      <c r="F172" s="20">
        <v>5016</v>
      </c>
      <c r="G172" s="20">
        <f t="shared" si="35"/>
        <v>153</v>
      </c>
      <c r="H172" s="20">
        <v>4863</v>
      </c>
      <c r="I172" s="20">
        <v>4104</v>
      </c>
      <c r="J172" s="20">
        <f t="shared" si="36"/>
        <v>759</v>
      </c>
    </row>
    <row r="173" spans="1:10" s="29" customFormat="1" ht="12.75">
      <c r="A173" s="46">
        <v>2006</v>
      </c>
      <c r="B173" s="47" t="s">
        <v>49</v>
      </c>
      <c r="C173" s="35">
        <f t="shared" si="28"/>
        <v>0.83359840954274356</v>
      </c>
      <c r="D173" s="35">
        <f t="shared" si="29"/>
        <v>0.86417971970321517</v>
      </c>
      <c r="E173" s="35">
        <f t="shared" si="30"/>
        <v>0.96461232604373759</v>
      </c>
      <c r="F173" s="20">
        <v>5030</v>
      </c>
      <c r="G173" s="20">
        <f t="shared" si="35"/>
        <v>178</v>
      </c>
      <c r="H173" s="20">
        <v>4852</v>
      </c>
      <c r="I173" s="20">
        <v>4193</v>
      </c>
      <c r="J173" s="20">
        <f t="shared" si="36"/>
        <v>659</v>
      </c>
    </row>
    <row r="174" spans="1:10" s="29" customFormat="1" ht="12.75">
      <c r="A174" s="45">
        <v>2007</v>
      </c>
      <c r="B174" s="48" t="s">
        <v>38</v>
      </c>
      <c r="C174" s="35">
        <f t="shared" si="28"/>
        <v>0.8322317262830482</v>
      </c>
      <c r="D174" s="35">
        <f t="shared" si="29"/>
        <v>0.87635619242579321</v>
      </c>
      <c r="E174" s="35">
        <f t="shared" si="30"/>
        <v>0.9496500777604977</v>
      </c>
      <c r="F174" s="20">
        <v>5144</v>
      </c>
      <c r="G174" s="20">
        <f t="shared" ref="G174:G184" si="37">F174-H174</f>
        <v>259</v>
      </c>
      <c r="H174" s="20">
        <v>4885</v>
      </c>
      <c r="I174" s="20">
        <v>4281</v>
      </c>
      <c r="J174" s="20">
        <f t="shared" ref="J174:J185" si="38">H174-I174</f>
        <v>604</v>
      </c>
    </row>
    <row r="175" spans="1:10" s="29" customFormat="1" ht="12.75">
      <c r="A175" s="46">
        <v>2007</v>
      </c>
      <c r="B175" s="47" t="s">
        <v>39</v>
      </c>
      <c r="C175" s="35">
        <f t="shared" si="28"/>
        <v>0.86501495087569413</v>
      </c>
      <c r="D175" s="35">
        <f t="shared" si="29"/>
        <v>0.89463220675944333</v>
      </c>
      <c r="E175" s="35">
        <f t="shared" si="30"/>
        <v>0.96689448953438706</v>
      </c>
      <c r="F175" s="20">
        <v>4682</v>
      </c>
      <c r="G175" s="20">
        <f t="shared" si="37"/>
        <v>155</v>
      </c>
      <c r="H175" s="20">
        <v>4527</v>
      </c>
      <c r="I175" s="20">
        <v>4050</v>
      </c>
      <c r="J175" s="20">
        <f t="shared" si="38"/>
        <v>477</v>
      </c>
    </row>
    <row r="176" spans="1:10" s="29" customFormat="1" ht="12.75">
      <c r="A176" s="45">
        <v>2007</v>
      </c>
      <c r="B176" s="48" t="s">
        <v>40</v>
      </c>
      <c r="C176" s="35">
        <f t="shared" si="28"/>
        <v>0.81009296148738374</v>
      </c>
      <c r="D176" s="35">
        <f t="shared" si="29"/>
        <v>0.83807654563297351</v>
      </c>
      <c r="E176" s="35">
        <f t="shared" si="30"/>
        <v>0.96660975147030925</v>
      </c>
      <c r="F176" s="20">
        <v>5271</v>
      </c>
      <c r="G176" s="20">
        <f t="shared" si="37"/>
        <v>176</v>
      </c>
      <c r="H176" s="20">
        <v>5095</v>
      </c>
      <c r="I176" s="20">
        <v>4270</v>
      </c>
      <c r="J176" s="20">
        <f t="shared" si="38"/>
        <v>825</v>
      </c>
    </row>
    <row r="177" spans="1:10" s="29" customFormat="1" ht="12.75">
      <c r="A177" s="46">
        <v>2007</v>
      </c>
      <c r="B177" s="47" t="s">
        <v>41</v>
      </c>
      <c r="C177" s="35">
        <f t="shared" si="28"/>
        <v>0.81743321952199233</v>
      </c>
      <c r="D177" s="35">
        <f t="shared" si="29"/>
        <v>0.85057471264367812</v>
      </c>
      <c r="E177" s="35">
        <f t="shared" si="30"/>
        <v>0.96103635268126131</v>
      </c>
      <c r="F177" s="20">
        <v>4979</v>
      </c>
      <c r="G177" s="20">
        <f t="shared" si="37"/>
        <v>194</v>
      </c>
      <c r="H177" s="20">
        <v>4785</v>
      </c>
      <c r="I177" s="20">
        <v>4070</v>
      </c>
      <c r="J177" s="20">
        <f t="shared" si="38"/>
        <v>715</v>
      </c>
    </row>
    <row r="178" spans="1:10" s="29" customFormat="1" ht="12.75">
      <c r="A178" s="45">
        <v>2007</v>
      </c>
      <c r="B178" s="48" t="s">
        <v>42</v>
      </c>
      <c r="C178" s="35">
        <f t="shared" si="28"/>
        <v>0.8255368098159509</v>
      </c>
      <c r="D178" s="35">
        <f t="shared" si="29"/>
        <v>0.85538339292808896</v>
      </c>
      <c r="E178" s="35">
        <f t="shared" si="30"/>
        <v>0.96510736196319014</v>
      </c>
      <c r="F178" s="20">
        <v>5216</v>
      </c>
      <c r="G178" s="20">
        <f t="shared" si="37"/>
        <v>182</v>
      </c>
      <c r="H178" s="20">
        <v>5034</v>
      </c>
      <c r="I178" s="20">
        <v>4306</v>
      </c>
      <c r="J178" s="20">
        <f t="shared" si="38"/>
        <v>728</v>
      </c>
    </row>
    <row r="179" spans="1:10" s="29" customFormat="1" ht="12.75">
      <c r="A179" s="46">
        <v>2007</v>
      </c>
      <c r="B179" s="47" t="s">
        <v>43</v>
      </c>
      <c r="C179" s="35">
        <f t="shared" si="28"/>
        <v>0.84560710760118463</v>
      </c>
      <c r="D179" s="35">
        <f t="shared" si="29"/>
        <v>0.86788247213779124</v>
      </c>
      <c r="E179" s="35">
        <f t="shared" si="30"/>
        <v>0.9743336623889437</v>
      </c>
      <c r="F179" s="20">
        <v>5065</v>
      </c>
      <c r="G179" s="20">
        <f t="shared" si="37"/>
        <v>130</v>
      </c>
      <c r="H179" s="20">
        <v>4935</v>
      </c>
      <c r="I179" s="20">
        <v>4283</v>
      </c>
      <c r="J179" s="20">
        <f t="shared" si="38"/>
        <v>652</v>
      </c>
    </row>
    <row r="180" spans="1:10" s="29" customFormat="1" ht="12.75">
      <c r="A180" s="45">
        <v>2007</v>
      </c>
      <c r="B180" s="48" t="s">
        <v>44</v>
      </c>
      <c r="C180" s="35">
        <f t="shared" si="28"/>
        <v>0.84336656441717794</v>
      </c>
      <c r="D180" s="35">
        <f t="shared" si="29"/>
        <v>0.88191659983961512</v>
      </c>
      <c r="E180" s="35">
        <f t="shared" si="30"/>
        <v>0.95628834355828218</v>
      </c>
      <c r="F180" s="20">
        <v>5216</v>
      </c>
      <c r="G180" s="20">
        <f t="shared" si="37"/>
        <v>228</v>
      </c>
      <c r="H180" s="20">
        <v>4988</v>
      </c>
      <c r="I180" s="20">
        <v>4399</v>
      </c>
      <c r="J180" s="20">
        <f t="shared" si="38"/>
        <v>589</v>
      </c>
    </row>
    <row r="181" spans="1:10" s="29" customFormat="1" ht="12.75">
      <c r="A181" s="46">
        <v>2007</v>
      </c>
      <c r="B181" s="47" t="s">
        <v>45</v>
      </c>
      <c r="C181" s="35">
        <f t="shared" si="28"/>
        <v>0.84917472965281726</v>
      </c>
      <c r="D181" s="35">
        <f t="shared" si="29"/>
        <v>0.87200467562828754</v>
      </c>
      <c r="E181" s="35">
        <f t="shared" si="30"/>
        <v>0.97381900967558344</v>
      </c>
      <c r="F181" s="20">
        <v>5271</v>
      </c>
      <c r="G181" s="20">
        <f t="shared" si="37"/>
        <v>138</v>
      </c>
      <c r="H181" s="20">
        <v>5133</v>
      </c>
      <c r="I181" s="20">
        <v>4476</v>
      </c>
      <c r="J181" s="20">
        <f t="shared" si="38"/>
        <v>657</v>
      </c>
    </row>
    <row r="182" spans="1:10" s="29" customFormat="1" ht="12.75">
      <c r="A182" s="45">
        <v>2007</v>
      </c>
      <c r="B182" s="48" t="s">
        <v>46</v>
      </c>
      <c r="C182" s="35">
        <f t="shared" si="28"/>
        <v>0.80118460019743332</v>
      </c>
      <c r="D182" s="35">
        <f t="shared" si="29"/>
        <v>0.8313870108584307</v>
      </c>
      <c r="E182" s="35">
        <f t="shared" si="30"/>
        <v>0.96367226061204347</v>
      </c>
      <c r="F182" s="20">
        <v>5065</v>
      </c>
      <c r="G182" s="20">
        <f t="shared" si="37"/>
        <v>184</v>
      </c>
      <c r="H182" s="20">
        <v>4881</v>
      </c>
      <c r="I182" s="20">
        <v>4058</v>
      </c>
      <c r="J182" s="20">
        <f t="shared" si="38"/>
        <v>823</v>
      </c>
    </row>
    <row r="183" spans="1:10" s="29" customFormat="1" ht="12.75">
      <c r="A183" s="46">
        <v>2007</v>
      </c>
      <c r="B183" s="47" t="s">
        <v>47</v>
      </c>
      <c r="C183" s="35">
        <f t="shared" si="28"/>
        <v>0.80459115917283253</v>
      </c>
      <c r="D183" s="35">
        <f t="shared" si="29"/>
        <v>0.84549441786283897</v>
      </c>
      <c r="E183" s="35">
        <f t="shared" si="30"/>
        <v>0.95162208309618668</v>
      </c>
      <c r="F183" s="20">
        <v>5271</v>
      </c>
      <c r="G183" s="20">
        <f t="shared" si="37"/>
        <v>255</v>
      </c>
      <c r="H183" s="20">
        <v>5016</v>
      </c>
      <c r="I183" s="20">
        <v>4241</v>
      </c>
      <c r="J183" s="20">
        <f t="shared" si="38"/>
        <v>775</v>
      </c>
    </row>
    <row r="184" spans="1:10" s="29" customFormat="1" ht="12.75">
      <c r="A184" s="45">
        <v>2007</v>
      </c>
      <c r="B184" s="48" t="s">
        <v>48</v>
      </c>
      <c r="C184" s="35">
        <f t="shared" si="28"/>
        <v>0.82814930015552102</v>
      </c>
      <c r="D184" s="35">
        <f t="shared" si="29"/>
        <v>0.856453558504222</v>
      </c>
      <c r="E184" s="35">
        <f t="shared" si="30"/>
        <v>0.96695178849144636</v>
      </c>
      <c r="F184" s="20">
        <v>5144</v>
      </c>
      <c r="G184" s="20">
        <f t="shared" si="37"/>
        <v>170</v>
      </c>
      <c r="H184" s="20">
        <v>4974</v>
      </c>
      <c r="I184" s="20">
        <v>4260</v>
      </c>
      <c r="J184" s="20">
        <f t="shared" si="38"/>
        <v>714</v>
      </c>
    </row>
    <row r="185" spans="1:10" s="29" customFormat="1" ht="12.75">
      <c r="A185" s="46">
        <v>2007</v>
      </c>
      <c r="B185" s="47" t="s">
        <v>49</v>
      </c>
      <c r="C185" s="35">
        <f t="shared" si="28"/>
        <v>0.81282697151714789</v>
      </c>
      <c r="D185" s="35">
        <f t="shared" si="29"/>
        <v>0.8433856051467632</v>
      </c>
      <c r="E185" s="35">
        <f t="shared" si="30"/>
        <v>0.96376671187754315</v>
      </c>
      <c r="F185" s="20">
        <v>5161</v>
      </c>
      <c r="G185" s="20">
        <v>187</v>
      </c>
      <c r="H185" s="20">
        <v>4974</v>
      </c>
      <c r="I185" s="20">
        <v>4195</v>
      </c>
      <c r="J185" s="20">
        <f t="shared" si="38"/>
        <v>779</v>
      </c>
    </row>
    <row r="186" spans="1:10" s="29" customFormat="1" ht="12.75">
      <c r="A186" s="45">
        <v>2008</v>
      </c>
      <c r="B186" s="48" t="s">
        <v>38</v>
      </c>
      <c r="C186" s="35">
        <f t="shared" si="28"/>
        <v>0.85221020679188009</v>
      </c>
      <c r="D186" s="35">
        <f t="shared" si="29"/>
        <v>0.88634569850039469</v>
      </c>
      <c r="E186" s="35">
        <f t="shared" si="30"/>
        <v>0.9614873837981408</v>
      </c>
      <c r="F186" s="20">
        <v>5271</v>
      </c>
      <c r="G186" s="20">
        <f>F186-H186</f>
        <v>203</v>
      </c>
      <c r="H186" s="20">
        <v>5068</v>
      </c>
      <c r="I186" s="20">
        <v>4492</v>
      </c>
      <c r="J186" s="20">
        <f t="shared" ref="J186:J197" si="39">H186-I186</f>
        <v>576</v>
      </c>
    </row>
    <row r="187" spans="1:10" s="29" customFormat="1" ht="12.75">
      <c r="A187" s="46">
        <v>2008</v>
      </c>
      <c r="B187" s="47" t="s">
        <v>39</v>
      </c>
      <c r="C187" s="35">
        <f t="shared" si="28"/>
        <v>0.81076178960096734</v>
      </c>
      <c r="D187" s="35">
        <f t="shared" si="29"/>
        <v>0.84570107210426737</v>
      </c>
      <c r="E187" s="35">
        <f t="shared" si="30"/>
        <v>0.95868601370415152</v>
      </c>
      <c r="F187" s="20">
        <v>4962</v>
      </c>
      <c r="G187" s="20">
        <f t="shared" ref="G187:G197" si="40">F187-H187</f>
        <v>205</v>
      </c>
      <c r="H187" s="20">
        <v>4757</v>
      </c>
      <c r="I187" s="20">
        <v>4023</v>
      </c>
      <c r="J187" s="20">
        <f t="shared" si="39"/>
        <v>734</v>
      </c>
    </row>
    <row r="188" spans="1:10" s="29" customFormat="1" ht="12.75">
      <c r="A188" s="45">
        <v>2008</v>
      </c>
      <c r="B188" s="48" t="s">
        <v>40</v>
      </c>
      <c r="C188" s="35">
        <f t="shared" si="28"/>
        <v>0.857699046135877</v>
      </c>
      <c r="D188" s="35">
        <f t="shared" si="29"/>
        <v>0.87212984956452888</v>
      </c>
      <c r="E188" s="35">
        <f t="shared" si="30"/>
        <v>0.98345337745766015</v>
      </c>
      <c r="F188" s="20">
        <v>5137</v>
      </c>
      <c r="G188" s="20">
        <f t="shared" si="40"/>
        <v>85</v>
      </c>
      <c r="H188" s="20">
        <v>5052</v>
      </c>
      <c r="I188" s="20">
        <v>4406</v>
      </c>
      <c r="J188" s="20">
        <f t="shared" si="39"/>
        <v>646</v>
      </c>
    </row>
    <row r="189" spans="1:10" s="29" customFormat="1" ht="12.75">
      <c r="A189" s="46">
        <v>2008</v>
      </c>
      <c r="B189" s="47" t="s">
        <v>41</v>
      </c>
      <c r="C189" s="35">
        <f t="shared" si="28"/>
        <v>0.85911210216906553</v>
      </c>
      <c r="D189" s="35">
        <f t="shared" si="29"/>
        <v>0.88273276400749845</v>
      </c>
      <c r="E189" s="35">
        <f t="shared" si="30"/>
        <v>0.97324143523211026</v>
      </c>
      <c r="F189" s="20">
        <v>4933</v>
      </c>
      <c r="G189" s="20">
        <f t="shared" si="40"/>
        <v>132</v>
      </c>
      <c r="H189" s="20">
        <v>4801</v>
      </c>
      <c r="I189" s="20">
        <v>4238</v>
      </c>
      <c r="J189" s="20">
        <f t="shared" si="39"/>
        <v>563</v>
      </c>
    </row>
    <row r="190" spans="1:10" s="29" customFormat="1" ht="12.75">
      <c r="A190" s="45">
        <v>2008</v>
      </c>
      <c r="B190" s="48" t="s">
        <v>42</v>
      </c>
      <c r="C190" s="35">
        <f t="shared" si="28"/>
        <v>0.90274757857284049</v>
      </c>
      <c r="D190" s="35">
        <f t="shared" si="29"/>
        <v>0.91670012043356086</v>
      </c>
      <c r="E190" s="35">
        <f t="shared" si="30"/>
        <v>0.98477960071160309</v>
      </c>
      <c r="F190" s="20">
        <v>5059</v>
      </c>
      <c r="G190" s="20">
        <f t="shared" si="40"/>
        <v>77</v>
      </c>
      <c r="H190" s="20">
        <v>4982</v>
      </c>
      <c r="I190" s="20">
        <v>4567</v>
      </c>
      <c r="J190" s="20">
        <f t="shared" si="39"/>
        <v>415</v>
      </c>
    </row>
    <row r="191" spans="1:10" s="29" customFormat="1" ht="12.75">
      <c r="A191" s="46">
        <v>2008</v>
      </c>
      <c r="B191" s="47" t="s">
        <v>43</v>
      </c>
      <c r="C191" s="35">
        <f t="shared" si="28"/>
        <v>0.87711340206185562</v>
      </c>
      <c r="D191" s="35">
        <f t="shared" si="29"/>
        <v>0.90069870844802036</v>
      </c>
      <c r="E191" s="35">
        <f t="shared" si="30"/>
        <v>0.97381443298969073</v>
      </c>
      <c r="F191" s="20">
        <v>4850</v>
      </c>
      <c r="G191" s="20">
        <f t="shared" si="40"/>
        <v>127</v>
      </c>
      <c r="H191" s="20">
        <v>4723</v>
      </c>
      <c r="I191" s="20">
        <v>4254</v>
      </c>
      <c r="J191" s="20">
        <f t="shared" si="39"/>
        <v>469</v>
      </c>
    </row>
    <row r="192" spans="1:10" s="29" customFormat="1" ht="12.75">
      <c r="A192" s="45">
        <v>2008</v>
      </c>
      <c r="B192" s="48" t="s">
        <v>44</v>
      </c>
      <c r="C192" s="35">
        <f t="shared" si="28"/>
        <v>0.86916256157635463</v>
      </c>
      <c r="D192" s="35">
        <f t="shared" si="29"/>
        <v>0.89165150596321008</v>
      </c>
      <c r="E192" s="35">
        <f t="shared" si="30"/>
        <v>0.97477832512315266</v>
      </c>
      <c r="F192" s="20">
        <v>5075</v>
      </c>
      <c r="G192" s="20">
        <f t="shared" si="40"/>
        <v>128</v>
      </c>
      <c r="H192" s="20">
        <v>4947</v>
      </c>
      <c r="I192" s="20">
        <v>4411</v>
      </c>
      <c r="J192" s="20">
        <f t="shared" si="39"/>
        <v>536</v>
      </c>
    </row>
    <row r="193" spans="1:10" s="29" customFormat="1" ht="12.75">
      <c r="A193" s="46">
        <v>2008</v>
      </c>
      <c r="B193" s="47" t="s">
        <v>45</v>
      </c>
      <c r="C193" s="35">
        <f t="shared" si="28"/>
        <v>0.88418530351437696</v>
      </c>
      <c r="D193" s="35">
        <f t="shared" si="29"/>
        <v>0.90459652706843718</v>
      </c>
      <c r="E193" s="35">
        <f t="shared" si="30"/>
        <v>0.97743610223642174</v>
      </c>
      <c r="F193" s="20">
        <v>5008</v>
      </c>
      <c r="G193" s="20">
        <f t="shared" si="40"/>
        <v>113</v>
      </c>
      <c r="H193" s="20">
        <v>4895</v>
      </c>
      <c r="I193" s="20">
        <v>4428</v>
      </c>
      <c r="J193" s="20">
        <f t="shared" si="39"/>
        <v>467</v>
      </c>
    </row>
    <row r="194" spans="1:10" s="29" customFormat="1" ht="12.75">
      <c r="A194" s="45">
        <v>2008</v>
      </c>
      <c r="B194" s="48" t="s">
        <v>46</v>
      </c>
      <c r="C194" s="35">
        <f t="shared" si="28"/>
        <v>0.87903877221324722</v>
      </c>
      <c r="D194" s="35">
        <f t="shared" si="29"/>
        <v>0.91932418162618801</v>
      </c>
      <c r="E194" s="35">
        <f t="shared" si="30"/>
        <v>0.95617932148626816</v>
      </c>
      <c r="F194" s="20">
        <v>4952</v>
      </c>
      <c r="G194" s="20">
        <f t="shared" si="40"/>
        <v>217</v>
      </c>
      <c r="H194" s="20">
        <v>4735</v>
      </c>
      <c r="I194" s="20">
        <v>4353</v>
      </c>
      <c r="J194" s="20">
        <f t="shared" si="39"/>
        <v>382</v>
      </c>
    </row>
    <row r="195" spans="1:10" s="29" customFormat="1" ht="12.75">
      <c r="A195" s="46">
        <v>2008</v>
      </c>
      <c r="B195" s="47" t="s">
        <v>47</v>
      </c>
      <c r="C195" s="35">
        <f t="shared" si="28"/>
        <v>0.92157635467980292</v>
      </c>
      <c r="D195" s="35">
        <f t="shared" si="29"/>
        <v>0.934652278177458</v>
      </c>
      <c r="E195" s="35">
        <f t="shared" si="30"/>
        <v>0.98600985221674875</v>
      </c>
      <c r="F195" s="20">
        <v>5075</v>
      </c>
      <c r="G195" s="20">
        <f t="shared" si="40"/>
        <v>71</v>
      </c>
      <c r="H195" s="20">
        <v>5004</v>
      </c>
      <c r="I195" s="20">
        <v>4677</v>
      </c>
      <c r="J195" s="20">
        <f t="shared" si="39"/>
        <v>327</v>
      </c>
    </row>
    <row r="196" spans="1:10" s="29" customFormat="1" ht="12.75">
      <c r="A196" s="45">
        <v>2008</v>
      </c>
      <c r="B196" s="48" t="s">
        <v>48</v>
      </c>
      <c r="C196" s="35">
        <f t="shared" si="28"/>
        <v>0.89334698055271233</v>
      </c>
      <c r="D196" s="35">
        <f t="shared" si="29"/>
        <v>0.91068447412353926</v>
      </c>
      <c r="E196" s="35">
        <f t="shared" si="30"/>
        <v>0.98096212896622315</v>
      </c>
      <c r="F196" s="20">
        <v>4885</v>
      </c>
      <c r="G196" s="20">
        <f t="shared" si="40"/>
        <v>93</v>
      </c>
      <c r="H196" s="20">
        <v>4792</v>
      </c>
      <c r="I196" s="20">
        <v>4364</v>
      </c>
      <c r="J196" s="20">
        <f t="shared" si="39"/>
        <v>428</v>
      </c>
    </row>
    <row r="197" spans="1:10" s="29" customFormat="1" ht="12.75">
      <c r="A197" s="46">
        <v>2008</v>
      </c>
      <c r="B197" s="47" t="s">
        <v>49</v>
      </c>
      <c r="C197" s="35">
        <f t="shared" si="28"/>
        <v>0.87320859872611467</v>
      </c>
      <c r="D197" s="35">
        <f t="shared" si="29"/>
        <v>0.9030465212021408</v>
      </c>
      <c r="E197" s="35">
        <f t="shared" si="30"/>
        <v>0.96695859872611467</v>
      </c>
      <c r="F197" s="20">
        <v>5024</v>
      </c>
      <c r="G197" s="20">
        <f t="shared" si="40"/>
        <v>166</v>
      </c>
      <c r="H197" s="20">
        <v>4858</v>
      </c>
      <c r="I197" s="20">
        <v>4387</v>
      </c>
      <c r="J197" s="20">
        <f t="shared" si="39"/>
        <v>471</v>
      </c>
    </row>
    <row r="198" spans="1:10" s="29" customFormat="1" ht="12.75">
      <c r="A198" s="45">
        <v>2009</v>
      </c>
      <c r="B198" s="48" t="s">
        <v>38</v>
      </c>
      <c r="C198" s="35">
        <f t="shared" si="28"/>
        <v>0.92745601897608221</v>
      </c>
      <c r="D198" s="35">
        <f t="shared" si="29"/>
        <v>0.94807031723580526</v>
      </c>
      <c r="E198" s="35">
        <f t="shared" si="30"/>
        <v>0.9782565724451473</v>
      </c>
      <c r="F198" s="20">
        <v>5059</v>
      </c>
      <c r="G198" s="20">
        <f>F198-H198</f>
        <v>110</v>
      </c>
      <c r="H198" s="20">
        <v>4949</v>
      </c>
      <c r="I198" s="20">
        <v>4692</v>
      </c>
      <c r="J198" s="20">
        <f t="shared" ref="J198:J209" si="41">H198-I198</f>
        <v>257</v>
      </c>
    </row>
    <row r="199" spans="1:10" s="29" customFormat="1" ht="12.75">
      <c r="A199" s="46">
        <v>2009</v>
      </c>
      <c r="B199" s="47" t="s">
        <v>39</v>
      </c>
      <c r="C199" s="35">
        <f t="shared" ref="C199:C262" si="42">I199/F199</f>
        <v>0.91550825369244138</v>
      </c>
      <c r="D199" s="35">
        <f t="shared" ref="D199:D262" si="43">I199/H199</f>
        <v>0.92923280423280419</v>
      </c>
      <c r="E199" s="35">
        <f t="shared" ref="E199:E262" si="44">H199/F199</f>
        <v>0.98523023457862724</v>
      </c>
      <c r="F199" s="20">
        <v>4604</v>
      </c>
      <c r="G199" s="20">
        <f t="shared" ref="G199:G209" si="45">F199-H199</f>
        <v>68</v>
      </c>
      <c r="H199" s="20">
        <v>4536</v>
      </c>
      <c r="I199" s="20">
        <v>4215</v>
      </c>
      <c r="J199" s="20">
        <f t="shared" si="41"/>
        <v>321</v>
      </c>
    </row>
    <row r="200" spans="1:10" s="29" customFormat="1" ht="12.75">
      <c r="A200" s="45">
        <v>2009</v>
      </c>
      <c r="B200" s="48" t="s">
        <v>40</v>
      </c>
      <c r="C200" s="35">
        <f t="shared" si="42"/>
        <v>0.9140127388535032</v>
      </c>
      <c r="D200" s="35">
        <f t="shared" si="43"/>
        <v>0.92936652499494032</v>
      </c>
      <c r="E200" s="35">
        <f t="shared" si="44"/>
        <v>0.98347929936305734</v>
      </c>
      <c r="F200" s="20">
        <v>5024</v>
      </c>
      <c r="G200" s="20">
        <f t="shared" si="45"/>
        <v>83</v>
      </c>
      <c r="H200" s="20">
        <v>4941</v>
      </c>
      <c r="I200" s="20">
        <v>4592</v>
      </c>
      <c r="J200" s="20">
        <f t="shared" si="41"/>
        <v>349</v>
      </c>
    </row>
    <row r="201" spans="1:10" s="29" customFormat="1" ht="12.75">
      <c r="A201" s="46">
        <v>2009</v>
      </c>
      <c r="B201" s="47" t="s">
        <v>41</v>
      </c>
      <c r="C201" s="35">
        <f t="shared" si="42"/>
        <v>0.88577319587628867</v>
      </c>
      <c r="D201" s="35">
        <f t="shared" si="43"/>
        <v>0.91190829972405008</v>
      </c>
      <c r="E201" s="35">
        <f t="shared" si="44"/>
        <v>0.97134020618556705</v>
      </c>
      <c r="F201" s="20">
        <v>4850</v>
      </c>
      <c r="G201" s="20">
        <f t="shared" si="45"/>
        <v>139</v>
      </c>
      <c r="H201" s="20">
        <v>4711</v>
      </c>
      <c r="I201" s="20">
        <v>4296</v>
      </c>
      <c r="J201" s="20">
        <f t="shared" si="41"/>
        <v>415</v>
      </c>
    </row>
    <row r="202" spans="1:10" s="29" customFormat="1" ht="12.75">
      <c r="A202" s="45">
        <v>2009</v>
      </c>
      <c r="B202" s="48" t="s">
        <v>42</v>
      </c>
      <c r="C202" s="35">
        <f t="shared" si="42"/>
        <v>0.91002622553964096</v>
      </c>
      <c r="D202" s="35">
        <f t="shared" si="43"/>
        <v>0.92647360854384886</v>
      </c>
      <c r="E202" s="35">
        <f t="shared" si="44"/>
        <v>0.98224732701230588</v>
      </c>
      <c r="F202" s="20">
        <v>4957</v>
      </c>
      <c r="G202" s="20">
        <f t="shared" si="45"/>
        <v>88</v>
      </c>
      <c r="H202" s="20">
        <v>4869</v>
      </c>
      <c r="I202" s="20">
        <v>4511</v>
      </c>
      <c r="J202" s="20">
        <f t="shared" si="41"/>
        <v>358</v>
      </c>
    </row>
    <row r="203" spans="1:10" s="29" customFormat="1" ht="12.75">
      <c r="A203" s="46">
        <v>2009</v>
      </c>
      <c r="B203" s="47" t="s">
        <v>43</v>
      </c>
      <c r="C203" s="35">
        <f t="shared" si="42"/>
        <v>0.88107703814510097</v>
      </c>
      <c r="D203" s="35">
        <f t="shared" si="43"/>
        <v>0.89923664122137403</v>
      </c>
      <c r="E203" s="35">
        <f t="shared" si="44"/>
        <v>0.97980553477935672</v>
      </c>
      <c r="F203" s="20">
        <v>5348</v>
      </c>
      <c r="G203" s="20">
        <f t="shared" si="45"/>
        <v>108</v>
      </c>
      <c r="H203" s="20">
        <v>5240</v>
      </c>
      <c r="I203" s="20">
        <v>4712</v>
      </c>
      <c r="J203" s="20">
        <f t="shared" si="41"/>
        <v>528</v>
      </c>
    </row>
    <row r="204" spans="1:10" s="29" customFormat="1" ht="12.75">
      <c r="A204" s="45">
        <v>2009</v>
      </c>
      <c r="B204" s="48" t="s">
        <v>44</v>
      </c>
      <c r="C204" s="35">
        <f t="shared" si="42"/>
        <v>0.88113374667847655</v>
      </c>
      <c r="D204" s="35">
        <f t="shared" si="43"/>
        <v>0.90403489640130863</v>
      </c>
      <c r="E204" s="35">
        <f t="shared" si="44"/>
        <v>0.97466784765279013</v>
      </c>
      <c r="F204" s="20">
        <v>5645</v>
      </c>
      <c r="G204" s="20">
        <f t="shared" si="45"/>
        <v>143</v>
      </c>
      <c r="H204" s="20">
        <v>5502</v>
      </c>
      <c r="I204" s="20">
        <v>4974</v>
      </c>
      <c r="J204" s="20">
        <f t="shared" si="41"/>
        <v>528</v>
      </c>
    </row>
    <row r="205" spans="1:10" s="29" customFormat="1" ht="12.75">
      <c r="A205" s="46">
        <v>2009</v>
      </c>
      <c r="B205" s="47" t="s">
        <v>45</v>
      </c>
      <c r="C205" s="35">
        <f t="shared" si="42"/>
        <v>0.71085201793721975</v>
      </c>
      <c r="D205" s="35">
        <f t="shared" si="43"/>
        <v>0.74171813587871982</v>
      </c>
      <c r="E205" s="35">
        <f t="shared" si="44"/>
        <v>0.95838565022421529</v>
      </c>
      <c r="F205" s="20">
        <v>5575</v>
      </c>
      <c r="G205" s="20">
        <f t="shared" si="45"/>
        <v>232</v>
      </c>
      <c r="H205" s="20">
        <v>5343</v>
      </c>
      <c r="I205" s="20">
        <v>3963</v>
      </c>
      <c r="J205" s="20">
        <f t="shared" si="41"/>
        <v>1380</v>
      </c>
    </row>
    <row r="206" spans="1:10" s="29" customFormat="1" ht="12.75">
      <c r="A206" s="45">
        <v>2009</v>
      </c>
      <c r="B206" s="48" t="s">
        <v>46</v>
      </c>
      <c r="C206" s="35">
        <f t="shared" si="42"/>
        <v>0.76080691642651299</v>
      </c>
      <c r="D206" s="35">
        <f t="shared" si="43"/>
        <v>0.78747203579418346</v>
      </c>
      <c r="E206" s="35">
        <f t="shared" si="44"/>
        <v>0.96613832853025938</v>
      </c>
      <c r="F206" s="20">
        <v>5552</v>
      </c>
      <c r="G206" s="20">
        <f t="shared" si="45"/>
        <v>188</v>
      </c>
      <c r="H206" s="20">
        <v>5364</v>
      </c>
      <c r="I206" s="20">
        <v>4224</v>
      </c>
      <c r="J206" s="20">
        <f t="shared" si="41"/>
        <v>1140</v>
      </c>
    </row>
    <row r="207" spans="1:10" s="29" customFormat="1" ht="12.75">
      <c r="A207" s="46">
        <v>2009</v>
      </c>
      <c r="B207" s="47" t="s">
        <v>47</v>
      </c>
      <c r="C207" s="35">
        <f t="shared" si="42"/>
        <v>0.662356067316209</v>
      </c>
      <c r="D207" s="35">
        <f t="shared" si="43"/>
        <v>0.69240740740740736</v>
      </c>
      <c r="E207" s="35">
        <f t="shared" si="44"/>
        <v>0.95659875996457044</v>
      </c>
      <c r="F207" s="20">
        <v>5645</v>
      </c>
      <c r="G207" s="20">
        <f t="shared" si="45"/>
        <v>245</v>
      </c>
      <c r="H207" s="20">
        <v>5400</v>
      </c>
      <c r="I207" s="20">
        <v>3739</v>
      </c>
      <c r="J207" s="20">
        <f t="shared" si="41"/>
        <v>1661</v>
      </c>
    </row>
    <row r="208" spans="1:10" s="29" customFormat="1" ht="12.75">
      <c r="A208" s="45">
        <v>2009</v>
      </c>
      <c r="B208" s="48" t="s">
        <v>48</v>
      </c>
      <c r="C208" s="35">
        <f t="shared" si="42"/>
        <v>0.86529347429821368</v>
      </c>
      <c r="D208" s="35">
        <f t="shared" si="43"/>
        <v>0.88152274837511602</v>
      </c>
      <c r="E208" s="35">
        <f t="shared" si="44"/>
        <v>0.98158950054684657</v>
      </c>
      <c r="F208" s="20">
        <v>5486</v>
      </c>
      <c r="G208" s="20">
        <f t="shared" si="45"/>
        <v>101</v>
      </c>
      <c r="H208" s="20">
        <v>5385</v>
      </c>
      <c r="I208" s="20">
        <v>4747</v>
      </c>
      <c r="J208" s="20">
        <f t="shared" si="41"/>
        <v>638</v>
      </c>
    </row>
    <row r="209" spans="1:10" s="29" customFormat="1" ht="12.75">
      <c r="A209" s="46">
        <v>2009</v>
      </c>
      <c r="B209" s="47" t="s">
        <v>49</v>
      </c>
      <c r="C209" s="35">
        <f t="shared" si="42"/>
        <v>0.81801994301994307</v>
      </c>
      <c r="D209" s="35">
        <f t="shared" si="43"/>
        <v>0.86630209315481799</v>
      </c>
      <c r="E209" s="35">
        <f t="shared" si="44"/>
        <v>0.94426638176638178</v>
      </c>
      <c r="F209" s="20">
        <v>5616</v>
      </c>
      <c r="G209" s="20">
        <f t="shared" si="45"/>
        <v>313</v>
      </c>
      <c r="H209" s="20">
        <v>5303</v>
      </c>
      <c r="I209" s="20">
        <v>4594</v>
      </c>
      <c r="J209" s="20">
        <f t="shared" si="41"/>
        <v>709</v>
      </c>
    </row>
    <row r="210" spans="1:10" s="29" customFormat="1" ht="12.75">
      <c r="A210" s="45">
        <v>2010</v>
      </c>
      <c r="B210" s="48" t="s">
        <v>38</v>
      </c>
      <c r="C210" s="35">
        <f t="shared" si="42"/>
        <v>0.82511210762331844</v>
      </c>
      <c r="D210" s="35">
        <f t="shared" si="43"/>
        <v>0.86776079984908505</v>
      </c>
      <c r="E210" s="35">
        <f t="shared" si="44"/>
        <v>0.95085201793721974</v>
      </c>
      <c r="F210" s="20">
        <v>5575</v>
      </c>
      <c r="G210" s="20">
        <f t="shared" ref="G210:G220" si="46">F210-H210</f>
        <v>274</v>
      </c>
      <c r="H210" s="20">
        <v>5301</v>
      </c>
      <c r="I210" s="20">
        <v>4600</v>
      </c>
      <c r="J210" s="20">
        <f t="shared" ref="J210:J221" si="47">H210-I210</f>
        <v>701</v>
      </c>
    </row>
    <row r="211" spans="1:10" s="29" customFormat="1" ht="12.75">
      <c r="A211" s="46">
        <v>2010</v>
      </c>
      <c r="B211" s="47" t="s">
        <v>39</v>
      </c>
      <c r="C211" s="35">
        <f t="shared" si="42"/>
        <v>0.77152831652443754</v>
      </c>
      <c r="D211" s="35">
        <f t="shared" si="43"/>
        <v>0.81432958034800407</v>
      </c>
      <c r="E211" s="35">
        <f t="shared" si="44"/>
        <v>0.94743987587276957</v>
      </c>
      <c r="F211" s="20">
        <v>5156</v>
      </c>
      <c r="G211" s="20">
        <f t="shared" si="46"/>
        <v>271</v>
      </c>
      <c r="H211" s="20">
        <v>4885</v>
      </c>
      <c r="I211" s="20">
        <v>3978</v>
      </c>
      <c r="J211" s="20">
        <f t="shared" si="47"/>
        <v>907</v>
      </c>
    </row>
    <row r="212" spans="1:10" s="29" customFormat="1" ht="12.75">
      <c r="A212" s="45">
        <v>2010</v>
      </c>
      <c r="B212" s="48" t="s">
        <v>40</v>
      </c>
      <c r="C212" s="35">
        <f t="shared" si="42"/>
        <v>0.81850158283503338</v>
      </c>
      <c r="D212" s="35">
        <f t="shared" si="43"/>
        <v>0.84973525652729598</v>
      </c>
      <c r="E212" s="35">
        <f t="shared" si="44"/>
        <v>0.96324305311290892</v>
      </c>
      <c r="F212" s="20">
        <v>5686</v>
      </c>
      <c r="G212" s="20">
        <f t="shared" si="46"/>
        <v>209</v>
      </c>
      <c r="H212" s="20">
        <v>5477</v>
      </c>
      <c r="I212" s="20">
        <v>4654</v>
      </c>
      <c r="J212" s="20">
        <f t="shared" si="47"/>
        <v>823</v>
      </c>
    </row>
    <row r="213" spans="1:10" s="29" customFormat="1" ht="12.75">
      <c r="A213" s="46">
        <v>2010</v>
      </c>
      <c r="B213" s="47" t="s">
        <v>41</v>
      </c>
      <c r="C213" s="35">
        <f t="shared" si="42"/>
        <v>0.87860422405876948</v>
      </c>
      <c r="D213" s="35">
        <f t="shared" si="43"/>
        <v>0.89958631064309891</v>
      </c>
      <c r="E213" s="35">
        <f t="shared" si="44"/>
        <v>0.97667584940312213</v>
      </c>
      <c r="F213" s="20">
        <v>5445</v>
      </c>
      <c r="G213" s="20">
        <f t="shared" si="46"/>
        <v>127</v>
      </c>
      <c r="H213" s="20">
        <v>5318</v>
      </c>
      <c r="I213" s="20">
        <v>4784</v>
      </c>
      <c r="J213" s="20">
        <f t="shared" si="47"/>
        <v>534</v>
      </c>
    </row>
    <row r="214" spans="1:10" s="29" customFormat="1" ht="12.75">
      <c r="A214" s="45">
        <v>2010</v>
      </c>
      <c r="B214" s="48" t="s">
        <v>42</v>
      </c>
      <c r="C214" s="35">
        <f t="shared" si="42"/>
        <v>0.79583637691745801</v>
      </c>
      <c r="D214" s="35">
        <f t="shared" si="43"/>
        <v>0.82678808575222917</v>
      </c>
      <c r="E214" s="35">
        <f t="shared" si="44"/>
        <v>0.962563915266618</v>
      </c>
      <c r="F214" s="20">
        <v>5476</v>
      </c>
      <c r="G214" s="20">
        <f t="shared" si="46"/>
        <v>205</v>
      </c>
      <c r="H214" s="20">
        <v>5271</v>
      </c>
      <c r="I214" s="20">
        <v>4358</v>
      </c>
      <c r="J214" s="20">
        <f t="shared" si="47"/>
        <v>913</v>
      </c>
    </row>
    <row r="215" spans="1:10" s="29" customFormat="1" ht="12.75">
      <c r="A215" s="46">
        <v>2010</v>
      </c>
      <c r="B215" s="47" t="s">
        <v>43</v>
      </c>
      <c r="C215" s="35">
        <f t="shared" si="42"/>
        <v>0.82336857455340873</v>
      </c>
      <c r="D215" s="35">
        <f t="shared" si="43"/>
        <v>0.85194266314598266</v>
      </c>
      <c r="E215" s="35">
        <f t="shared" si="44"/>
        <v>0.96646008020415608</v>
      </c>
      <c r="F215" s="20">
        <v>5486</v>
      </c>
      <c r="G215" s="20">
        <f t="shared" si="46"/>
        <v>184</v>
      </c>
      <c r="H215" s="20">
        <v>5302</v>
      </c>
      <c r="I215" s="20">
        <v>4517</v>
      </c>
      <c r="J215" s="20">
        <f t="shared" si="47"/>
        <v>785</v>
      </c>
    </row>
    <row r="216" spans="1:10" s="29" customFormat="1" ht="12.75">
      <c r="A216" s="45">
        <v>2010</v>
      </c>
      <c r="B216" s="48" t="s">
        <v>44</v>
      </c>
      <c r="C216" s="35">
        <f t="shared" si="42"/>
        <v>0.83029229406554472</v>
      </c>
      <c r="D216" s="35">
        <f t="shared" si="43"/>
        <v>0.87705838323353291</v>
      </c>
      <c r="E216" s="35">
        <f t="shared" si="44"/>
        <v>0.94667847652790083</v>
      </c>
      <c r="F216" s="20">
        <v>5645</v>
      </c>
      <c r="G216" s="20">
        <f t="shared" si="46"/>
        <v>301</v>
      </c>
      <c r="H216" s="20">
        <v>5344</v>
      </c>
      <c r="I216" s="20">
        <v>4687</v>
      </c>
      <c r="J216" s="20">
        <f t="shared" si="47"/>
        <v>657</v>
      </c>
    </row>
    <row r="217" spans="1:10" s="29" customFormat="1" ht="12.75">
      <c r="A217" s="46">
        <v>2010</v>
      </c>
      <c r="B217" s="47" t="s">
        <v>45</v>
      </c>
      <c r="C217" s="35">
        <f t="shared" si="42"/>
        <v>0.80982905982905984</v>
      </c>
      <c r="D217" s="35">
        <f t="shared" si="43"/>
        <v>0.84803281745291814</v>
      </c>
      <c r="E217" s="35">
        <f t="shared" si="44"/>
        <v>0.95495014245014243</v>
      </c>
      <c r="F217" s="20">
        <v>5616</v>
      </c>
      <c r="G217" s="20">
        <f t="shared" si="46"/>
        <v>253</v>
      </c>
      <c r="H217" s="20">
        <v>5363</v>
      </c>
      <c r="I217" s="20">
        <v>4548</v>
      </c>
      <c r="J217" s="20">
        <f t="shared" si="47"/>
        <v>815</v>
      </c>
    </row>
    <row r="218" spans="1:10" s="29" customFormat="1" ht="12.75">
      <c r="A218" s="45">
        <v>2010</v>
      </c>
      <c r="B218" s="48" t="s">
        <v>46</v>
      </c>
      <c r="C218" s="35">
        <f t="shared" si="42"/>
        <v>0.80273578113750899</v>
      </c>
      <c r="D218" s="35">
        <f t="shared" si="43"/>
        <v>0.85538933640199466</v>
      </c>
      <c r="E218" s="35">
        <f t="shared" si="44"/>
        <v>0.93844492440604754</v>
      </c>
      <c r="F218" s="20">
        <v>5556</v>
      </c>
      <c r="G218" s="20">
        <f t="shared" si="46"/>
        <v>342</v>
      </c>
      <c r="H218" s="20">
        <v>5214</v>
      </c>
      <c r="I218" s="20">
        <v>4460</v>
      </c>
      <c r="J218" s="20">
        <f t="shared" si="47"/>
        <v>754</v>
      </c>
    </row>
    <row r="219" spans="1:10" s="29" customFormat="1" ht="12.75">
      <c r="A219" s="46">
        <v>2010</v>
      </c>
      <c r="B219" s="47" t="s">
        <v>47</v>
      </c>
      <c r="C219" s="35">
        <f t="shared" si="42"/>
        <v>0.88719346049046321</v>
      </c>
      <c r="D219" s="35">
        <f t="shared" si="43"/>
        <v>0.91666666666666663</v>
      </c>
      <c r="E219" s="35">
        <f t="shared" si="44"/>
        <v>0.96784741144414166</v>
      </c>
      <c r="F219" s="20">
        <v>5505</v>
      </c>
      <c r="G219" s="20">
        <f t="shared" si="46"/>
        <v>177</v>
      </c>
      <c r="H219" s="20">
        <v>5328</v>
      </c>
      <c r="I219" s="20">
        <v>4884</v>
      </c>
      <c r="J219" s="20">
        <f t="shared" si="47"/>
        <v>444</v>
      </c>
    </row>
    <row r="220" spans="1:10" s="29" customFormat="1" ht="12.75">
      <c r="A220" s="45">
        <v>2010</v>
      </c>
      <c r="B220" s="48" t="s">
        <v>48</v>
      </c>
      <c r="C220" s="35">
        <f t="shared" si="42"/>
        <v>0.84287276704338321</v>
      </c>
      <c r="D220" s="35">
        <f t="shared" si="43"/>
        <v>0.885823754789272</v>
      </c>
      <c r="E220" s="35">
        <f t="shared" si="44"/>
        <v>0.95151294203426906</v>
      </c>
      <c r="F220" s="20">
        <v>5486</v>
      </c>
      <c r="G220" s="20">
        <f t="shared" si="46"/>
        <v>266</v>
      </c>
      <c r="H220" s="20">
        <v>5220</v>
      </c>
      <c r="I220" s="20">
        <v>4624</v>
      </c>
      <c r="J220" s="20">
        <f t="shared" si="47"/>
        <v>596</v>
      </c>
    </row>
    <row r="221" spans="1:10" s="29" customFormat="1" ht="12.75">
      <c r="A221" s="46">
        <v>2010</v>
      </c>
      <c r="B221" s="47" t="s">
        <v>49</v>
      </c>
      <c r="C221" s="35">
        <f t="shared" si="42"/>
        <v>0.79713004484304928</v>
      </c>
      <c r="D221" s="35">
        <f t="shared" si="43"/>
        <v>0.87120172515193095</v>
      </c>
      <c r="E221" s="35">
        <f t="shared" si="44"/>
        <v>0.91497757847533634</v>
      </c>
      <c r="F221" s="20">
        <v>5575</v>
      </c>
      <c r="G221" s="20">
        <f>F221-H221</f>
        <v>474</v>
      </c>
      <c r="H221" s="20">
        <v>5101</v>
      </c>
      <c r="I221" s="20">
        <v>4444</v>
      </c>
      <c r="J221" s="20">
        <f t="shared" si="47"/>
        <v>657</v>
      </c>
    </row>
    <row r="222" spans="1:10" s="34" customFormat="1" ht="12.95" customHeight="1">
      <c r="A222" s="45">
        <v>2011</v>
      </c>
      <c r="B222" s="48" t="s">
        <v>38</v>
      </c>
      <c r="C222" s="35">
        <f t="shared" si="42"/>
        <v>0.7471509971509972</v>
      </c>
      <c r="D222" s="35">
        <f t="shared" si="43"/>
        <v>0.81889149102263858</v>
      </c>
      <c r="E222" s="35">
        <f t="shared" si="44"/>
        <v>0.91239316239316237</v>
      </c>
      <c r="F222" s="27">
        <v>5616</v>
      </c>
      <c r="G222" s="27">
        <f>F222-H222</f>
        <v>492</v>
      </c>
      <c r="H222" s="27">
        <v>5124</v>
      </c>
      <c r="I222" s="27">
        <v>4196</v>
      </c>
      <c r="J222" s="27">
        <f t="shared" ref="J222:J233" si="48">H222-I222</f>
        <v>928</v>
      </c>
    </row>
    <row r="223" spans="1:10" s="34" customFormat="1" ht="12.95" customHeight="1">
      <c r="A223" s="46">
        <v>2011</v>
      </c>
      <c r="B223" s="47" t="s">
        <v>39</v>
      </c>
      <c r="C223" s="35">
        <f t="shared" si="42"/>
        <v>0.79693560899922422</v>
      </c>
      <c r="D223" s="35">
        <f t="shared" si="43"/>
        <v>0.90129414345251146</v>
      </c>
      <c r="E223" s="35">
        <f t="shared" si="44"/>
        <v>0.88421256788207914</v>
      </c>
      <c r="F223" s="27">
        <v>5156</v>
      </c>
      <c r="G223" s="27">
        <f t="shared" ref="G223:G233" si="49">F223-H223</f>
        <v>597</v>
      </c>
      <c r="H223" s="27">
        <v>4559</v>
      </c>
      <c r="I223" s="27">
        <v>4109</v>
      </c>
      <c r="J223" s="27">
        <f t="shared" si="48"/>
        <v>450</v>
      </c>
    </row>
    <row r="224" spans="1:10" s="34" customFormat="1" ht="12.95" customHeight="1">
      <c r="A224" s="45">
        <v>2011</v>
      </c>
      <c r="B224" s="48" t="s">
        <v>40</v>
      </c>
      <c r="C224" s="35">
        <f t="shared" si="42"/>
        <v>0.83619430241051862</v>
      </c>
      <c r="D224" s="35">
        <f t="shared" si="43"/>
        <v>0.89398672393596257</v>
      </c>
      <c r="E224" s="35">
        <f t="shared" si="44"/>
        <v>0.93535427319211106</v>
      </c>
      <c r="F224" s="27">
        <v>5476</v>
      </c>
      <c r="G224" s="27">
        <f t="shared" si="49"/>
        <v>354</v>
      </c>
      <c r="H224" s="27">
        <v>5122</v>
      </c>
      <c r="I224" s="27">
        <v>4579</v>
      </c>
      <c r="J224" s="27">
        <f t="shared" si="48"/>
        <v>543</v>
      </c>
    </row>
    <row r="225" spans="1:10" s="34" customFormat="1" ht="12.95" customHeight="1">
      <c r="A225" s="46">
        <v>2011</v>
      </c>
      <c r="B225" s="47" t="s">
        <v>41</v>
      </c>
      <c r="C225" s="35">
        <f t="shared" si="42"/>
        <v>0.78418604651162793</v>
      </c>
      <c r="D225" s="35">
        <f t="shared" si="43"/>
        <v>0.83747268030995425</v>
      </c>
      <c r="E225" s="35">
        <f t="shared" si="44"/>
        <v>0.93637209302325586</v>
      </c>
      <c r="F225" s="27">
        <v>5375</v>
      </c>
      <c r="G225" s="27">
        <f t="shared" si="49"/>
        <v>342</v>
      </c>
      <c r="H225" s="27">
        <v>5033</v>
      </c>
      <c r="I225" s="27">
        <v>4215</v>
      </c>
      <c r="J225" s="27">
        <f t="shared" si="48"/>
        <v>818</v>
      </c>
    </row>
    <row r="226" spans="1:10" s="34" customFormat="1" ht="12.95" customHeight="1">
      <c r="A226" s="45">
        <v>2011</v>
      </c>
      <c r="B226" s="48" t="s">
        <v>42</v>
      </c>
      <c r="C226" s="35">
        <f t="shared" si="42"/>
        <v>0.72329059829059827</v>
      </c>
      <c r="D226" s="35">
        <f t="shared" si="43"/>
        <v>0.79976373301831072</v>
      </c>
      <c r="E226" s="35">
        <f t="shared" si="44"/>
        <v>0.90438034188034189</v>
      </c>
      <c r="F226" s="27">
        <v>5616</v>
      </c>
      <c r="G226" s="27">
        <f t="shared" si="49"/>
        <v>537</v>
      </c>
      <c r="H226" s="27">
        <v>5079</v>
      </c>
      <c r="I226" s="27">
        <v>4062</v>
      </c>
      <c r="J226" s="27">
        <f t="shared" si="48"/>
        <v>1017</v>
      </c>
    </row>
    <row r="227" spans="1:10" s="34" customFormat="1" ht="12.95" customHeight="1">
      <c r="A227" s="46">
        <v>2011</v>
      </c>
      <c r="B227" s="47" t="s">
        <v>43</v>
      </c>
      <c r="C227" s="35">
        <f t="shared" si="42"/>
        <v>0.67936565803864379</v>
      </c>
      <c r="D227" s="35">
        <f t="shared" si="43"/>
        <v>0.74450659208949266</v>
      </c>
      <c r="E227" s="35">
        <f t="shared" si="44"/>
        <v>0.9125045570543201</v>
      </c>
      <c r="F227" s="27">
        <v>5486</v>
      </c>
      <c r="G227" s="27">
        <f t="shared" si="49"/>
        <v>480</v>
      </c>
      <c r="H227" s="27">
        <v>5006</v>
      </c>
      <c r="I227" s="27">
        <v>3727</v>
      </c>
      <c r="J227" s="27">
        <f t="shared" si="48"/>
        <v>1279</v>
      </c>
    </row>
    <row r="228" spans="1:10" s="34" customFormat="1" ht="12.95" customHeight="1">
      <c r="A228" s="45">
        <v>2011</v>
      </c>
      <c r="B228" s="48" t="s">
        <v>44</v>
      </c>
      <c r="C228" s="35">
        <f t="shared" si="42"/>
        <v>0.66844729344729348</v>
      </c>
      <c r="D228" s="35">
        <f t="shared" si="43"/>
        <v>0.74513695911075828</v>
      </c>
      <c r="E228" s="35">
        <f t="shared" si="44"/>
        <v>0.89707977207977208</v>
      </c>
      <c r="F228" s="27">
        <v>5616</v>
      </c>
      <c r="G228" s="27">
        <f t="shared" si="49"/>
        <v>578</v>
      </c>
      <c r="H228" s="27">
        <v>5038</v>
      </c>
      <c r="I228" s="27">
        <v>3754</v>
      </c>
      <c r="J228" s="27">
        <f t="shared" si="48"/>
        <v>1284</v>
      </c>
    </row>
    <row r="229" spans="1:10" s="34" customFormat="1" ht="12.95" customHeight="1">
      <c r="A229" s="46">
        <v>2011</v>
      </c>
      <c r="B229" s="47" t="s">
        <v>45</v>
      </c>
      <c r="C229" s="35">
        <f t="shared" si="42"/>
        <v>0.68923672177277528</v>
      </c>
      <c r="D229" s="35">
        <f t="shared" si="43"/>
        <v>0.77313079502860527</v>
      </c>
      <c r="E229" s="35">
        <f t="shared" si="44"/>
        <v>0.89148786493141052</v>
      </c>
      <c r="F229" s="27">
        <v>5686</v>
      </c>
      <c r="G229" s="27">
        <f t="shared" si="49"/>
        <v>617</v>
      </c>
      <c r="H229" s="27">
        <v>5069</v>
      </c>
      <c r="I229" s="27">
        <v>3919</v>
      </c>
      <c r="J229" s="27">
        <f t="shared" si="48"/>
        <v>1150</v>
      </c>
    </row>
    <row r="230" spans="1:10" s="34" customFormat="1" ht="12.95" customHeight="1">
      <c r="A230" s="45">
        <v>2011</v>
      </c>
      <c r="B230" s="48" t="s">
        <v>46</v>
      </c>
      <c r="C230" s="35">
        <f t="shared" si="42"/>
        <v>0.82073434125269984</v>
      </c>
      <c r="D230" s="35">
        <f t="shared" si="43"/>
        <v>0.8784434598343287</v>
      </c>
      <c r="E230" s="35">
        <f t="shared" si="44"/>
        <v>0.93430525557955368</v>
      </c>
      <c r="F230" s="27">
        <v>5556</v>
      </c>
      <c r="G230" s="27">
        <f t="shared" si="49"/>
        <v>365</v>
      </c>
      <c r="H230" s="27">
        <v>5191</v>
      </c>
      <c r="I230" s="27">
        <v>4560</v>
      </c>
      <c r="J230" s="27">
        <f t="shared" si="48"/>
        <v>631</v>
      </c>
    </row>
    <row r="231" spans="1:10" s="34" customFormat="1" ht="12.95" customHeight="1">
      <c r="A231" s="46">
        <v>2011</v>
      </c>
      <c r="B231" s="47" t="s">
        <v>47</v>
      </c>
      <c r="C231" s="35">
        <f t="shared" si="42"/>
        <v>0.79946188340807178</v>
      </c>
      <c r="D231" s="35">
        <f t="shared" si="43"/>
        <v>0.87255285826155049</v>
      </c>
      <c r="E231" s="35">
        <f t="shared" si="44"/>
        <v>0.91623318385650221</v>
      </c>
      <c r="F231" s="27">
        <v>5575</v>
      </c>
      <c r="G231" s="27">
        <f t="shared" si="49"/>
        <v>467</v>
      </c>
      <c r="H231" s="27">
        <v>5108</v>
      </c>
      <c r="I231" s="27">
        <v>4457</v>
      </c>
      <c r="J231" s="27">
        <f t="shared" si="48"/>
        <v>651</v>
      </c>
    </row>
    <row r="232" spans="1:10" s="34" customFormat="1" ht="12.95" customHeight="1">
      <c r="A232" s="45">
        <v>2011</v>
      </c>
      <c r="B232" s="48" t="s">
        <v>48</v>
      </c>
      <c r="C232" s="35">
        <f t="shared" si="42"/>
        <v>0.82063434196135621</v>
      </c>
      <c r="D232" s="35">
        <f t="shared" si="43"/>
        <v>0.88153514783630316</v>
      </c>
      <c r="E232" s="35">
        <f t="shared" si="44"/>
        <v>0.93091505650747353</v>
      </c>
      <c r="F232" s="27">
        <v>5486</v>
      </c>
      <c r="G232" s="27">
        <f t="shared" si="49"/>
        <v>379</v>
      </c>
      <c r="H232" s="27">
        <v>5107</v>
      </c>
      <c r="I232" s="27">
        <v>4502</v>
      </c>
      <c r="J232" s="27">
        <f t="shared" si="48"/>
        <v>605</v>
      </c>
    </row>
    <row r="233" spans="1:10" s="34" customFormat="1" ht="12.95" customHeight="1">
      <c r="A233" s="46">
        <v>2011</v>
      </c>
      <c r="B233" s="47" t="s">
        <v>49</v>
      </c>
      <c r="C233" s="35">
        <f t="shared" si="42"/>
        <v>0.74708520179372195</v>
      </c>
      <c r="D233" s="35">
        <f t="shared" si="43"/>
        <v>0.84913353720693174</v>
      </c>
      <c r="E233" s="35">
        <f t="shared" si="44"/>
        <v>0.87982062780269055</v>
      </c>
      <c r="F233" s="27">
        <v>5575</v>
      </c>
      <c r="G233" s="27">
        <f t="shared" si="49"/>
        <v>670</v>
      </c>
      <c r="H233" s="27">
        <v>4905</v>
      </c>
      <c r="I233" s="27">
        <v>4165</v>
      </c>
      <c r="J233" s="27">
        <f t="shared" si="48"/>
        <v>740</v>
      </c>
    </row>
    <row r="234" spans="1:10" s="34" customFormat="1" ht="12.95" customHeight="1">
      <c r="A234" s="45">
        <v>2012</v>
      </c>
      <c r="B234" s="48" t="s">
        <v>38</v>
      </c>
      <c r="C234" s="35">
        <f t="shared" si="42"/>
        <v>0.69591980302497358</v>
      </c>
      <c r="D234" s="35">
        <f t="shared" si="43"/>
        <v>0.81403003497222792</v>
      </c>
      <c r="E234" s="35">
        <f t="shared" si="44"/>
        <v>0.85490678860358771</v>
      </c>
      <c r="F234" s="27">
        <v>5686</v>
      </c>
      <c r="G234" s="27">
        <f t="shared" ref="G234:G245" si="50">F234-H234</f>
        <v>825</v>
      </c>
      <c r="H234" s="27">
        <v>4861</v>
      </c>
      <c r="I234" s="27">
        <v>3957</v>
      </c>
      <c r="J234" s="27">
        <f t="shared" ref="J234:J245" si="51">H234-I234</f>
        <v>904</v>
      </c>
    </row>
    <row r="235" spans="1:10" s="34" customFormat="1" ht="12.95" customHeight="1">
      <c r="A235" s="46">
        <v>2012</v>
      </c>
      <c r="B235" s="47" t="s">
        <v>39</v>
      </c>
      <c r="C235" s="35">
        <f t="shared" si="42"/>
        <v>0.73416245627671983</v>
      </c>
      <c r="D235" s="35">
        <f t="shared" si="43"/>
        <v>0.7994075327972916</v>
      </c>
      <c r="E235" s="35">
        <f t="shared" si="44"/>
        <v>0.91838321026039638</v>
      </c>
      <c r="F235" s="27">
        <v>5146</v>
      </c>
      <c r="G235" s="27">
        <f t="shared" si="50"/>
        <v>420</v>
      </c>
      <c r="H235" s="27">
        <v>4726</v>
      </c>
      <c r="I235" s="27">
        <v>3778</v>
      </c>
      <c r="J235" s="27">
        <f t="shared" si="51"/>
        <v>948</v>
      </c>
    </row>
    <row r="236" spans="1:10" s="34" customFormat="1" ht="12.95" customHeight="1">
      <c r="A236" s="45">
        <v>2012</v>
      </c>
      <c r="B236" s="48" t="s">
        <v>40</v>
      </c>
      <c r="C236" s="35">
        <f t="shared" si="42"/>
        <v>0.76873021456208235</v>
      </c>
      <c r="D236" s="35">
        <f t="shared" si="43"/>
        <v>0.83051491544746348</v>
      </c>
      <c r="E236" s="35">
        <f t="shared" si="44"/>
        <v>0.92560675342947596</v>
      </c>
      <c r="F236" s="27">
        <v>5686</v>
      </c>
      <c r="G236" s="27">
        <f t="shared" si="50"/>
        <v>423</v>
      </c>
      <c r="H236" s="27">
        <v>5263</v>
      </c>
      <c r="I236" s="27">
        <v>4371</v>
      </c>
      <c r="J236" s="27">
        <f t="shared" si="51"/>
        <v>892</v>
      </c>
    </row>
    <row r="237" spans="1:10" s="34" customFormat="1" ht="12.95" customHeight="1">
      <c r="A237" s="46">
        <v>2012</v>
      </c>
      <c r="B237" s="47" t="s">
        <v>41</v>
      </c>
      <c r="C237" s="35">
        <f t="shared" si="42"/>
        <v>0.72932187201528176</v>
      </c>
      <c r="D237" s="35">
        <f t="shared" si="43"/>
        <v>0.80838450137624396</v>
      </c>
      <c r="E237" s="35">
        <f t="shared" si="44"/>
        <v>0.90219675262655208</v>
      </c>
      <c r="F237" s="27">
        <v>5235</v>
      </c>
      <c r="G237" s="27">
        <f t="shared" si="50"/>
        <v>512</v>
      </c>
      <c r="H237" s="27">
        <v>4723</v>
      </c>
      <c r="I237" s="27">
        <v>3818</v>
      </c>
      <c r="J237" s="27">
        <f t="shared" si="51"/>
        <v>905</v>
      </c>
    </row>
    <row r="238" spans="1:10" s="34" customFormat="1" ht="12.95" customHeight="1">
      <c r="A238" s="45">
        <v>2012</v>
      </c>
      <c r="B238" s="48" t="s">
        <v>42</v>
      </c>
      <c r="C238" s="35">
        <f t="shared" si="42"/>
        <v>0.64316239316239321</v>
      </c>
      <c r="D238" s="35">
        <f t="shared" si="43"/>
        <v>0.70768025078369901</v>
      </c>
      <c r="E238" s="35">
        <f t="shared" si="44"/>
        <v>0.90883190883190879</v>
      </c>
      <c r="F238" s="27">
        <v>5616</v>
      </c>
      <c r="G238" s="27">
        <f t="shared" si="50"/>
        <v>512</v>
      </c>
      <c r="H238" s="27">
        <v>5104</v>
      </c>
      <c r="I238" s="27">
        <v>3612</v>
      </c>
      <c r="J238" s="27">
        <f t="shared" si="51"/>
        <v>1492</v>
      </c>
    </row>
    <row r="239" spans="1:10" s="34" customFormat="1" ht="12.95" customHeight="1">
      <c r="A239" s="46">
        <v>2012</v>
      </c>
      <c r="B239" s="47" t="s">
        <v>43</v>
      </c>
      <c r="C239" s="35">
        <f t="shared" si="42"/>
        <v>0.77134986225895319</v>
      </c>
      <c r="D239" s="35">
        <f t="shared" si="43"/>
        <v>0.82111436950146632</v>
      </c>
      <c r="E239" s="35">
        <f t="shared" si="44"/>
        <v>0.93939393939393945</v>
      </c>
      <c r="F239" s="27">
        <v>5445</v>
      </c>
      <c r="G239" s="27">
        <f t="shared" si="50"/>
        <v>330</v>
      </c>
      <c r="H239" s="27">
        <v>5115</v>
      </c>
      <c r="I239" s="27">
        <v>4200</v>
      </c>
      <c r="J239" s="27">
        <f t="shared" si="51"/>
        <v>915</v>
      </c>
    </row>
    <row r="240" spans="1:10" s="34" customFormat="1" ht="12.95" customHeight="1">
      <c r="A240" s="45">
        <v>2012</v>
      </c>
      <c r="B240" s="48" t="s">
        <v>44</v>
      </c>
      <c r="C240" s="35">
        <f t="shared" si="42"/>
        <v>0.75712250712250717</v>
      </c>
      <c r="D240" s="35">
        <f t="shared" si="43"/>
        <v>0.81176021382206953</v>
      </c>
      <c r="E240" s="35">
        <f t="shared" si="44"/>
        <v>0.93269230769230771</v>
      </c>
      <c r="F240" s="27">
        <v>5616</v>
      </c>
      <c r="G240" s="27">
        <f t="shared" si="50"/>
        <v>378</v>
      </c>
      <c r="H240" s="27">
        <v>5238</v>
      </c>
      <c r="I240" s="27">
        <v>4252</v>
      </c>
      <c r="J240" s="27">
        <f t="shared" si="51"/>
        <v>986</v>
      </c>
    </row>
    <row r="241" spans="1:10" s="34" customFormat="1" ht="12.95" customHeight="1">
      <c r="A241" s="46">
        <v>2012</v>
      </c>
      <c r="B241" s="47" t="s">
        <v>45</v>
      </c>
      <c r="C241" s="35">
        <f t="shared" si="42"/>
        <v>0.79563841013014425</v>
      </c>
      <c r="D241" s="35">
        <f t="shared" si="43"/>
        <v>0.84355771023680781</v>
      </c>
      <c r="E241" s="35">
        <f t="shared" si="44"/>
        <v>0.94319380935631381</v>
      </c>
      <c r="F241" s="27">
        <v>5686</v>
      </c>
      <c r="G241" s="27">
        <f t="shared" si="50"/>
        <v>323</v>
      </c>
      <c r="H241" s="27">
        <v>5363</v>
      </c>
      <c r="I241" s="27">
        <v>4524</v>
      </c>
      <c r="J241" s="27">
        <f t="shared" si="51"/>
        <v>839</v>
      </c>
    </row>
    <row r="242" spans="1:10" s="34" customFormat="1" ht="12.95" customHeight="1">
      <c r="A242" s="45">
        <v>2012</v>
      </c>
      <c r="B242" s="48" t="s">
        <v>46</v>
      </c>
      <c r="C242" s="35">
        <f t="shared" si="42"/>
        <v>0.84372093023255812</v>
      </c>
      <c r="D242" s="35">
        <f t="shared" si="43"/>
        <v>0.88263915920591673</v>
      </c>
      <c r="E242" s="35">
        <f t="shared" si="44"/>
        <v>0.95590697674418601</v>
      </c>
      <c r="F242" s="27">
        <v>5375</v>
      </c>
      <c r="G242" s="27">
        <f t="shared" si="50"/>
        <v>237</v>
      </c>
      <c r="H242" s="27">
        <v>5138</v>
      </c>
      <c r="I242" s="27">
        <v>4535</v>
      </c>
      <c r="J242" s="27">
        <f t="shared" si="51"/>
        <v>603</v>
      </c>
    </row>
    <row r="243" spans="1:10" s="34" customFormat="1" ht="12.95" customHeight="1">
      <c r="A243" s="46">
        <v>2012</v>
      </c>
      <c r="B243" s="47" t="s">
        <v>47</v>
      </c>
      <c r="C243" s="35">
        <f t="shared" si="42"/>
        <v>0.84400281392894827</v>
      </c>
      <c r="D243" s="35">
        <f t="shared" si="43"/>
        <v>0.88575119970468807</v>
      </c>
      <c r="E243" s="35">
        <f t="shared" si="44"/>
        <v>0.95286669011607461</v>
      </c>
      <c r="F243" s="27">
        <v>5686</v>
      </c>
      <c r="G243" s="27">
        <f t="shared" si="50"/>
        <v>268</v>
      </c>
      <c r="H243" s="27">
        <v>5418</v>
      </c>
      <c r="I243" s="27">
        <v>4799</v>
      </c>
      <c r="J243" s="27">
        <f t="shared" si="51"/>
        <v>619</v>
      </c>
    </row>
    <row r="244" spans="1:10" s="34" customFormat="1" ht="12.95" customHeight="1">
      <c r="A244" s="45">
        <v>2012</v>
      </c>
      <c r="B244" s="48" t="s">
        <v>48</v>
      </c>
      <c r="C244" s="35">
        <f t="shared" si="42"/>
        <v>0.79857819905213268</v>
      </c>
      <c r="D244" s="35">
        <f t="shared" si="43"/>
        <v>0.8718407960199005</v>
      </c>
      <c r="E244" s="35">
        <f t="shared" si="44"/>
        <v>0.91596791833758662</v>
      </c>
      <c r="F244" s="27">
        <v>5486</v>
      </c>
      <c r="G244" s="27">
        <f t="shared" si="50"/>
        <v>461</v>
      </c>
      <c r="H244" s="27">
        <v>5025</v>
      </c>
      <c r="I244" s="27">
        <v>4381</v>
      </c>
      <c r="J244" s="27">
        <f t="shared" si="51"/>
        <v>644</v>
      </c>
    </row>
    <row r="245" spans="1:10" s="34" customFormat="1" ht="12.95" customHeight="1">
      <c r="A245" s="46">
        <v>2012</v>
      </c>
      <c r="B245" s="47" t="s">
        <v>49</v>
      </c>
      <c r="C245" s="35">
        <f t="shared" si="42"/>
        <v>0.79043238270469185</v>
      </c>
      <c r="D245" s="35">
        <f t="shared" si="43"/>
        <v>0.84884410195613513</v>
      </c>
      <c r="E245" s="35">
        <f t="shared" si="44"/>
        <v>0.9311867525298988</v>
      </c>
      <c r="F245" s="27">
        <v>5435</v>
      </c>
      <c r="G245" s="27">
        <f t="shared" si="50"/>
        <v>374</v>
      </c>
      <c r="H245" s="27">
        <v>5061</v>
      </c>
      <c r="I245" s="27">
        <v>4296</v>
      </c>
      <c r="J245" s="27">
        <f t="shared" si="51"/>
        <v>765</v>
      </c>
    </row>
    <row r="246" spans="1:10" s="34" customFormat="1" ht="12.95" customHeight="1">
      <c r="A246" s="45">
        <v>2013</v>
      </c>
      <c r="B246" s="48" t="s">
        <v>38</v>
      </c>
      <c r="C246" s="35">
        <f t="shared" si="42"/>
        <v>0.82763532763532766</v>
      </c>
      <c r="D246" s="35">
        <f t="shared" si="43"/>
        <v>0.89195931682978313</v>
      </c>
      <c r="E246" s="35">
        <f t="shared" si="44"/>
        <v>0.92788461538461542</v>
      </c>
      <c r="F246" s="27">
        <v>5616</v>
      </c>
      <c r="G246" s="27">
        <f t="shared" ref="G246:G257" si="52">F246-H246</f>
        <v>405</v>
      </c>
      <c r="H246" s="27">
        <v>5211</v>
      </c>
      <c r="I246" s="27">
        <v>4648</v>
      </c>
      <c r="J246" s="27">
        <f t="shared" ref="J246:J257" si="53">H246-I246</f>
        <v>563</v>
      </c>
    </row>
    <row r="247" spans="1:10" s="34" customFormat="1" ht="12.95" customHeight="1">
      <c r="A247" s="46">
        <v>2013</v>
      </c>
      <c r="B247" s="47" t="s">
        <v>39</v>
      </c>
      <c r="C247" s="35">
        <f t="shared" si="42"/>
        <v>0.8740396279822078</v>
      </c>
      <c r="D247" s="35">
        <f t="shared" si="43"/>
        <v>0.91841937539834284</v>
      </c>
      <c r="E247" s="35">
        <f t="shared" si="44"/>
        <v>0.95167812373635263</v>
      </c>
      <c r="F247" s="27">
        <v>4946</v>
      </c>
      <c r="G247" s="27">
        <f t="shared" si="52"/>
        <v>239</v>
      </c>
      <c r="H247" s="27">
        <v>4707</v>
      </c>
      <c r="I247" s="27">
        <v>4323</v>
      </c>
      <c r="J247" s="27">
        <f t="shared" si="53"/>
        <v>384</v>
      </c>
    </row>
    <row r="248" spans="1:10" s="34" customFormat="1" ht="12.95" customHeight="1">
      <c r="A248" s="45">
        <v>2013</v>
      </c>
      <c r="B248" s="48" t="s">
        <v>40</v>
      </c>
      <c r="C248" s="35">
        <f t="shared" si="42"/>
        <v>0.83754969280809544</v>
      </c>
      <c r="D248" s="35">
        <f t="shared" si="43"/>
        <v>0.88386727688787181</v>
      </c>
      <c r="E248" s="35">
        <f t="shared" si="44"/>
        <v>0.94759667509938561</v>
      </c>
      <c r="F248" s="27">
        <v>5534</v>
      </c>
      <c r="G248" s="27">
        <f t="shared" si="52"/>
        <v>290</v>
      </c>
      <c r="H248" s="27">
        <v>5244</v>
      </c>
      <c r="I248" s="27">
        <v>4635</v>
      </c>
      <c r="J248" s="27">
        <f t="shared" si="53"/>
        <v>609</v>
      </c>
    </row>
    <row r="249" spans="1:10" s="34" customFormat="1" ht="12.95" customHeight="1">
      <c r="A249" s="46">
        <v>2013</v>
      </c>
      <c r="B249" s="47" t="s">
        <v>41</v>
      </c>
      <c r="C249" s="35">
        <f t="shared" si="42"/>
        <v>0.77880354505169869</v>
      </c>
      <c r="D249" s="35">
        <f t="shared" si="43"/>
        <v>0.85143318530480416</v>
      </c>
      <c r="E249" s="35">
        <f t="shared" si="44"/>
        <v>0.91469719350073853</v>
      </c>
      <c r="F249" s="27">
        <v>5416</v>
      </c>
      <c r="G249" s="27">
        <f t="shared" si="52"/>
        <v>462</v>
      </c>
      <c r="H249" s="27">
        <v>4954</v>
      </c>
      <c r="I249" s="27">
        <v>4218</v>
      </c>
      <c r="J249" s="27">
        <f t="shared" si="53"/>
        <v>736</v>
      </c>
    </row>
    <row r="250" spans="1:10" s="34" customFormat="1" ht="12.95" customHeight="1">
      <c r="A250" s="45">
        <v>2013</v>
      </c>
      <c r="B250" s="48" t="s">
        <v>42</v>
      </c>
      <c r="C250" s="35">
        <f t="shared" si="42"/>
        <v>0.72775237425255013</v>
      </c>
      <c r="D250" s="35">
        <f t="shared" si="43"/>
        <v>0.81200941915227631</v>
      </c>
      <c r="E250" s="35">
        <f t="shared" si="44"/>
        <v>0.89623637003165668</v>
      </c>
      <c r="F250" s="27">
        <v>5686</v>
      </c>
      <c r="G250" s="27">
        <f t="shared" si="52"/>
        <v>590</v>
      </c>
      <c r="H250" s="27">
        <v>5096</v>
      </c>
      <c r="I250" s="27">
        <v>4138</v>
      </c>
      <c r="J250" s="27">
        <f t="shared" si="53"/>
        <v>958</v>
      </c>
    </row>
    <row r="251" spans="1:10" s="34" customFormat="1" ht="12.95" customHeight="1">
      <c r="A251" s="46">
        <v>2013</v>
      </c>
      <c r="B251" s="47" t="s">
        <v>43</v>
      </c>
      <c r="C251" s="35">
        <f t="shared" si="42"/>
        <v>0.74043355325164939</v>
      </c>
      <c r="D251" s="35">
        <f t="shared" si="43"/>
        <v>0.81561461794019929</v>
      </c>
      <c r="E251" s="35">
        <f t="shared" si="44"/>
        <v>0.90782280867106502</v>
      </c>
      <c r="F251" s="27">
        <v>5305</v>
      </c>
      <c r="G251" s="27">
        <f t="shared" si="52"/>
        <v>489</v>
      </c>
      <c r="H251" s="27">
        <v>4816</v>
      </c>
      <c r="I251" s="27">
        <v>3928</v>
      </c>
      <c r="J251" s="27">
        <f t="shared" si="53"/>
        <v>888</v>
      </c>
    </row>
    <row r="252" spans="1:10" s="34" customFormat="1" ht="12.95" customHeight="1">
      <c r="A252" s="45">
        <v>2013</v>
      </c>
      <c r="B252" s="48" t="s">
        <v>44</v>
      </c>
      <c r="C252" s="35">
        <f t="shared" si="42"/>
        <v>0.65353499824129446</v>
      </c>
      <c r="D252" s="35">
        <f t="shared" si="43"/>
        <v>0.77063459145582747</v>
      </c>
      <c r="E252" s="35">
        <f t="shared" si="44"/>
        <v>0.84804783679212103</v>
      </c>
      <c r="F252" s="27">
        <v>5686</v>
      </c>
      <c r="G252" s="27">
        <f t="shared" si="52"/>
        <v>864</v>
      </c>
      <c r="H252" s="27">
        <v>4822</v>
      </c>
      <c r="I252" s="27">
        <v>3716</v>
      </c>
      <c r="J252" s="27">
        <f t="shared" si="53"/>
        <v>1106</v>
      </c>
    </row>
    <row r="253" spans="1:10" s="34" customFormat="1" ht="12.95" customHeight="1">
      <c r="A253" s="46">
        <v>2013</v>
      </c>
      <c r="B253" s="47" t="s">
        <v>45</v>
      </c>
      <c r="C253" s="35">
        <f t="shared" si="42"/>
        <v>0.68563839878580912</v>
      </c>
      <c r="D253" s="35">
        <f t="shared" si="43"/>
        <v>0.76535366370182123</v>
      </c>
      <c r="E253" s="35">
        <f t="shared" si="44"/>
        <v>0.89584519066590784</v>
      </c>
      <c r="F253" s="27">
        <v>5271</v>
      </c>
      <c r="G253" s="27">
        <f t="shared" si="52"/>
        <v>549</v>
      </c>
      <c r="H253" s="27">
        <v>4722</v>
      </c>
      <c r="I253" s="27">
        <v>3614</v>
      </c>
      <c r="J253" s="27">
        <f t="shared" si="53"/>
        <v>1108</v>
      </c>
    </row>
    <row r="254" spans="1:10" s="34" customFormat="1" ht="12.95" customHeight="1">
      <c r="A254" s="45">
        <v>2013</v>
      </c>
      <c r="B254" s="48" t="s">
        <v>46</v>
      </c>
      <c r="C254" s="35">
        <f t="shared" si="42"/>
        <v>0.6796498905908096</v>
      </c>
      <c r="D254" s="35">
        <f t="shared" si="43"/>
        <v>0.74969828626599078</v>
      </c>
      <c r="E254" s="35">
        <f t="shared" si="44"/>
        <v>0.90656455142231951</v>
      </c>
      <c r="F254" s="27">
        <v>4570</v>
      </c>
      <c r="G254" s="27">
        <f t="shared" si="52"/>
        <v>427</v>
      </c>
      <c r="H254" s="27">
        <v>4143</v>
      </c>
      <c r="I254" s="27">
        <v>3106</v>
      </c>
      <c r="J254" s="27">
        <f t="shared" si="53"/>
        <v>1037</v>
      </c>
    </row>
    <row r="255" spans="1:10" s="34" customFormat="1" ht="12.95" customHeight="1">
      <c r="A255" s="46">
        <v>2013</v>
      </c>
      <c r="B255" s="47" t="s">
        <v>47</v>
      </c>
      <c r="C255" s="35">
        <f t="shared" si="42"/>
        <v>0.67843551797040169</v>
      </c>
      <c r="D255" s="35">
        <f t="shared" si="43"/>
        <v>0.71918422232182877</v>
      </c>
      <c r="E255" s="35">
        <f t="shared" si="44"/>
        <v>0.94334038054968283</v>
      </c>
      <c r="F255" s="27">
        <v>4730</v>
      </c>
      <c r="G255" s="27">
        <f t="shared" si="52"/>
        <v>268</v>
      </c>
      <c r="H255" s="27">
        <v>4462</v>
      </c>
      <c r="I255" s="27">
        <v>3209</v>
      </c>
      <c r="J255" s="27">
        <f t="shared" si="53"/>
        <v>1253</v>
      </c>
    </row>
    <row r="256" spans="1:10" s="34" customFormat="1" ht="12.95" customHeight="1">
      <c r="A256" s="45">
        <v>2013</v>
      </c>
      <c r="B256" s="48" t="s">
        <v>48</v>
      </c>
      <c r="C256" s="35">
        <f t="shared" si="42"/>
        <v>0.66083150984682715</v>
      </c>
      <c r="D256" s="35">
        <f t="shared" si="43"/>
        <v>0.70908664005635125</v>
      </c>
      <c r="E256" s="35">
        <f t="shared" si="44"/>
        <v>0.93194748358862145</v>
      </c>
      <c r="F256" s="27">
        <v>4570</v>
      </c>
      <c r="G256" s="27">
        <f t="shared" si="52"/>
        <v>311</v>
      </c>
      <c r="H256" s="27">
        <v>4259</v>
      </c>
      <c r="I256" s="27">
        <v>3020</v>
      </c>
      <c r="J256" s="27">
        <f t="shared" si="53"/>
        <v>1239</v>
      </c>
    </row>
    <row r="257" spans="1:11" s="34" customFormat="1" ht="12.95" customHeight="1">
      <c r="A257" s="46">
        <v>2013</v>
      </c>
      <c r="B257" s="47" t="s">
        <v>49</v>
      </c>
      <c r="C257" s="35">
        <f t="shared" si="42"/>
        <v>0.66567036720751493</v>
      </c>
      <c r="D257" s="35">
        <f t="shared" si="43"/>
        <v>0.72192637184533459</v>
      </c>
      <c r="E257" s="35">
        <f t="shared" si="44"/>
        <v>0.92207514944491886</v>
      </c>
      <c r="F257" s="27">
        <v>4684</v>
      </c>
      <c r="G257" s="27">
        <f t="shared" si="52"/>
        <v>365</v>
      </c>
      <c r="H257" s="27">
        <v>4319</v>
      </c>
      <c r="I257" s="27">
        <v>3118</v>
      </c>
      <c r="J257" s="27">
        <f t="shared" si="53"/>
        <v>1201</v>
      </c>
    </row>
    <row r="258" spans="1:11" s="29" customFormat="1" ht="15" customHeight="1">
      <c r="A258" s="45">
        <v>2014</v>
      </c>
      <c r="B258" s="48" t="s">
        <v>38</v>
      </c>
      <c r="C258" s="35">
        <f t="shared" si="42"/>
        <v>0.75602536997885839</v>
      </c>
      <c r="D258" s="35">
        <f t="shared" si="43"/>
        <v>0.81662480018269012</v>
      </c>
      <c r="E258" s="35">
        <f t="shared" si="44"/>
        <v>0.92579281183932349</v>
      </c>
      <c r="F258" s="27">
        <v>4730</v>
      </c>
      <c r="G258" s="27">
        <f t="shared" ref="G258:G266" si="54">F258-H258</f>
        <v>351</v>
      </c>
      <c r="H258" s="27">
        <v>4379</v>
      </c>
      <c r="I258" s="27">
        <v>3576</v>
      </c>
      <c r="J258" s="27">
        <f t="shared" ref="J258:J269" si="55">H258-I258</f>
        <v>803</v>
      </c>
    </row>
    <row r="259" spans="1:11" s="29" customFormat="1" ht="12.75">
      <c r="A259" s="46">
        <v>2014</v>
      </c>
      <c r="B259" s="47" t="s">
        <v>39</v>
      </c>
      <c r="C259" s="35">
        <f t="shared" si="42"/>
        <v>0.73510242085661082</v>
      </c>
      <c r="D259" s="35">
        <f t="shared" si="43"/>
        <v>0.77118437118437122</v>
      </c>
      <c r="E259" s="35">
        <f t="shared" si="44"/>
        <v>0.95321229050279332</v>
      </c>
      <c r="F259" s="27">
        <v>4296</v>
      </c>
      <c r="G259" s="27">
        <f t="shared" si="54"/>
        <v>201</v>
      </c>
      <c r="H259" s="27">
        <v>4095</v>
      </c>
      <c r="I259" s="27">
        <v>3158</v>
      </c>
      <c r="J259" s="27">
        <f t="shared" si="55"/>
        <v>937</v>
      </c>
    </row>
    <row r="260" spans="1:11" s="29" customFormat="1" ht="12.75">
      <c r="A260" s="45">
        <v>2014</v>
      </c>
      <c r="B260" s="48" t="s">
        <v>40</v>
      </c>
      <c r="C260" s="35">
        <f t="shared" si="42"/>
        <v>0.6650106458481192</v>
      </c>
      <c r="D260" s="35">
        <f t="shared" si="43"/>
        <v>0.70743676859192151</v>
      </c>
      <c r="E260" s="35">
        <f t="shared" si="44"/>
        <v>0.94002838892831797</v>
      </c>
      <c r="F260" s="27">
        <v>5636</v>
      </c>
      <c r="G260" s="27">
        <f t="shared" si="54"/>
        <v>338</v>
      </c>
      <c r="H260" s="27">
        <v>5298</v>
      </c>
      <c r="I260" s="27">
        <v>3748</v>
      </c>
      <c r="J260" s="27">
        <f t="shared" si="55"/>
        <v>1550</v>
      </c>
    </row>
    <row r="261" spans="1:11" s="29" customFormat="1" ht="12.75" customHeight="1">
      <c r="A261" s="46">
        <v>2014</v>
      </c>
      <c r="B261" s="47" t="s">
        <v>41</v>
      </c>
      <c r="C261" s="35">
        <f t="shared" si="42"/>
        <v>0.41089787525702537</v>
      </c>
      <c r="D261" s="35">
        <f t="shared" si="43"/>
        <v>0.53706606942889135</v>
      </c>
      <c r="E261" s="35">
        <f t="shared" si="44"/>
        <v>0.76507882111034953</v>
      </c>
      <c r="F261" s="27">
        <v>5836</v>
      </c>
      <c r="G261" s="27">
        <f t="shared" si="54"/>
        <v>1371</v>
      </c>
      <c r="H261" s="27">
        <v>4465</v>
      </c>
      <c r="I261" s="27">
        <v>2398</v>
      </c>
      <c r="J261" s="27">
        <f t="shared" si="55"/>
        <v>2067</v>
      </c>
    </row>
    <row r="262" spans="1:11" s="29" customFormat="1" ht="12.75">
      <c r="A262" s="45">
        <v>2014</v>
      </c>
      <c r="B262" s="48" t="s">
        <v>42</v>
      </c>
      <c r="C262" s="35">
        <f t="shared" si="42"/>
        <v>0.49420636380356814</v>
      </c>
      <c r="D262" s="35">
        <f t="shared" si="43"/>
        <v>0.58235804074555697</v>
      </c>
      <c r="E262" s="35">
        <f t="shared" si="44"/>
        <v>0.84862975905830418</v>
      </c>
      <c r="F262" s="27">
        <v>5437</v>
      </c>
      <c r="G262" s="27">
        <f t="shared" si="54"/>
        <v>823</v>
      </c>
      <c r="H262" s="27">
        <v>4614</v>
      </c>
      <c r="I262" s="27">
        <v>2687</v>
      </c>
      <c r="J262" s="27">
        <f t="shared" si="55"/>
        <v>1927</v>
      </c>
      <c r="K262" s="29" t="s">
        <v>75</v>
      </c>
    </row>
    <row r="263" spans="1:11" s="29" customFormat="1" ht="12.75">
      <c r="A263" s="46">
        <v>2014</v>
      </c>
      <c r="B263" s="47" t="s">
        <v>43</v>
      </c>
      <c r="C263" s="35">
        <f t="shared" ref="C263:C326" si="56">I263/F263</f>
        <v>0.52949326999208235</v>
      </c>
      <c r="D263" s="35">
        <f t="shared" ref="D263:D326" si="57">I263/H263</f>
        <v>0.59669863930403744</v>
      </c>
      <c r="E263" s="35">
        <f t="shared" ref="E263:E326" si="58">H263/F263</f>
        <v>0.88737133808392721</v>
      </c>
      <c r="F263" s="27">
        <v>5052</v>
      </c>
      <c r="G263" s="27">
        <f t="shared" si="54"/>
        <v>569</v>
      </c>
      <c r="H263" s="27">
        <v>4483</v>
      </c>
      <c r="I263" s="27">
        <v>2675</v>
      </c>
      <c r="J263" s="27">
        <f t="shared" si="55"/>
        <v>1808</v>
      </c>
    </row>
    <row r="264" spans="1:11" s="29" customFormat="1" ht="12.75">
      <c r="A264" s="45">
        <v>2014</v>
      </c>
      <c r="B264" s="48" t="s">
        <v>44</v>
      </c>
      <c r="C264" s="35">
        <f t="shared" si="56"/>
        <v>0.53285498489425986</v>
      </c>
      <c r="D264" s="35">
        <f t="shared" si="57"/>
        <v>0.59966000849978751</v>
      </c>
      <c r="E264" s="35">
        <f t="shared" si="58"/>
        <v>0.88859516616314205</v>
      </c>
      <c r="F264" s="27">
        <v>5296</v>
      </c>
      <c r="G264" s="27">
        <f t="shared" si="54"/>
        <v>590</v>
      </c>
      <c r="H264" s="27">
        <v>4706</v>
      </c>
      <c r="I264" s="27">
        <v>2822</v>
      </c>
      <c r="J264" s="27">
        <f t="shared" si="55"/>
        <v>1884</v>
      </c>
    </row>
    <row r="265" spans="1:11" s="29" customFormat="1" ht="12.75">
      <c r="A265" s="46">
        <v>2014</v>
      </c>
      <c r="B265" s="47" t="s">
        <v>45</v>
      </c>
      <c r="C265" s="35">
        <f t="shared" si="56"/>
        <v>0.70477290223248656</v>
      </c>
      <c r="D265" s="35">
        <f t="shared" si="57"/>
        <v>0.77322635135135132</v>
      </c>
      <c r="E265" s="35">
        <f t="shared" si="58"/>
        <v>0.91147036181678209</v>
      </c>
      <c r="F265" s="27">
        <v>5196</v>
      </c>
      <c r="G265" s="27">
        <f t="shared" si="54"/>
        <v>460</v>
      </c>
      <c r="H265" s="27">
        <v>4736</v>
      </c>
      <c r="I265" s="27">
        <v>3662</v>
      </c>
      <c r="J265" s="27">
        <f t="shared" si="55"/>
        <v>1074</v>
      </c>
    </row>
    <row r="266" spans="1:11" s="29" customFormat="1" ht="12.75">
      <c r="A266" s="45">
        <v>2014</v>
      </c>
      <c r="B266" s="48" t="s">
        <v>46</v>
      </c>
      <c r="C266" s="35">
        <f t="shared" si="56"/>
        <v>0.76632970451010884</v>
      </c>
      <c r="D266" s="35">
        <f t="shared" si="57"/>
        <v>0.7928399034593725</v>
      </c>
      <c r="E266" s="35">
        <f t="shared" si="58"/>
        <v>0.96656298600311041</v>
      </c>
      <c r="F266" s="27">
        <v>5144</v>
      </c>
      <c r="G266" s="27">
        <f t="shared" si="54"/>
        <v>172</v>
      </c>
      <c r="H266" s="27">
        <v>4972</v>
      </c>
      <c r="I266" s="27">
        <v>3942</v>
      </c>
      <c r="J266" s="27">
        <f t="shared" si="55"/>
        <v>1030</v>
      </c>
    </row>
    <row r="267" spans="1:11" s="29" customFormat="1" ht="12.75">
      <c r="A267" s="46">
        <v>2014</v>
      </c>
      <c r="B267" s="47" t="s">
        <v>47</v>
      </c>
      <c r="C267" s="35">
        <f t="shared" si="56"/>
        <v>0.78593155893536126</v>
      </c>
      <c r="D267" s="35">
        <f t="shared" si="57"/>
        <v>0.80979431929480905</v>
      </c>
      <c r="E267" s="35">
        <f t="shared" si="58"/>
        <v>0.97053231939163498</v>
      </c>
      <c r="F267" s="27">
        <v>5260</v>
      </c>
      <c r="G267" s="27">
        <f>F267-H267</f>
        <v>155</v>
      </c>
      <c r="H267" s="27">
        <v>5105</v>
      </c>
      <c r="I267" s="27">
        <v>4134</v>
      </c>
      <c r="J267" s="27">
        <f t="shared" si="55"/>
        <v>971</v>
      </c>
    </row>
    <row r="268" spans="1:11" s="29" customFormat="1" ht="12.75">
      <c r="A268" s="45">
        <v>2014</v>
      </c>
      <c r="B268" s="48" t="s">
        <v>48</v>
      </c>
      <c r="C268" s="35">
        <f t="shared" si="56"/>
        <v>0.77232854864433809</v>
      </c>
      <c r="D268" s="35">
        <f t="shared" si="57"/>
        <v>0.80290155440414512</v>
      </c>
      <c r="E268" s="35">
        <f t="shared" si="58"/>
        <v>0.96192185007974484</v>
      </c>
      <c r="F268" s="27">
        <v>5016</v>
      </c>
      <c r="G268" s="27">
        <f>F268-H268</f>
        <v>191</v>
      </c>
      <c r="H268" s="27">
        <v>4825</v>
      </c>
      <c r="I268" s="27">
        <v>3874</v>
      </c>
      <c r="J268" s="27">
        <f t="shared" si="55"/>
        <v>951</v>
      </c>
    </row>
    <row r="269" spans="1:11" s="29" customFormat="1" ht="12.75">
      <c r="A269" s="46">
        <v>2014</v>
      </c>
      <c r="B269" s="47" t="s">
        <v>49</v>
      </c>
      <c r="C269" s="35">
        <f t="shared" si="56"/>
        <v>0.75487139516757595</v>
      </c>
      <c r="D269" s="35">
        <f t="shared" si="57"/>
        <v>0.82478177560144772</v>
      </c>
      <c r="E269" s="35">
        <f t="shared" si="58"/>
        <v>0.9152377240841777</v>
      </c>
      <c r="F269" s="27">
        <v>5132</v>
      </c>
      <c r="G269" s="27">
        <f>F269-H269</f>
        <v>435</v>
      </c>
      <c r="H269" s="27">
        <v>4697</v>
      </c>
      <c r="I269" s="27">
        <v>3874</v>
      </c>
      <c r="J269" s="27">
        <f t="shared" si="55"/>
        <v>823</v>
      </c>
    </row>
    <row r="270" spans="1:11" s="29" customFormat="1" ht="12.75">
      <c r="A270" s="45">
        <v>2015</v>
      </c>
      <c r="B270" s="48" t="s">
        <v>38</v>
      </c>
      <c r="C270" s="35">
        <f t="shared" si="56"/>
        <v>0.80950570342205319</v>
      </c>
      <c r="D270" s="35">
        <f t="shared" si="57"/>
        <v>0.86246708527445815</v>
      </c>
      <c r="E270" s="35">
        <f t="shared" si="58"/>
        <v>0.93859315589353609</v>
      </c>
      <c r="F270" s="27">
        <v>5260</v>
      </c>
      <c r="G270" s="27">
        <f>+F270-H270</f>
        <v>323</v>
      </c>
      <c r="H270" s="27">
        <v>4937</v>
      </c>
      <c r="I270" s="27">
        <v>4258</v>
      </c>
      <c r="J270" s="27">
        <f t="shared" ref="J270:J281" si="59">H270-I270</f>
        <v>679</v>
      </c>
    </row>
    <row r="271" spans="1:11" s="29" customFormat="1" ht="12.75">
      <c r="A271" s="46">
        <v>2015</v>
      </c>
      <c r="B271" s="47" t="s">
        <v>39</v>
      </c>
      <c r="C271" s="35">
        <f t="shared" si="56"/>
        <v>0.83805841924398627</v>
      </c>
      <c r="D271" s="35">
        <f t="shared" si="57"/>
        <v>0.85947136563876647</v>
      </c>
      <c r="E271" s="35">
        <f t="shared" si="58"/>
        <v>0.97508591065292094</v>
      </c>
      <c r="F271" s="27">
        <v>4656</v>
      </c>
      <c r="G271" s="27">
        <f t="shared" ref="G271:G281" si="60">F271-H271</f>
        <v>116</v>
      </c>
      <c r="H271" s="27">
        <v>4540</v>
      </c>
      <c r="I271" s="27">
        <v>3902</v>
      </c>
      <c r="J271" s="27">
        <f t="shared" si="59"/>
        <v>638</v>
      </c>
    </row>
    <row r="272" spans="1:11" s="29" customFormat="1" ht="12.75">
      <c r="A272" s="45">
        <v>2015</v>
      </c>
      <c r="B272" s="48" t="s">
        <v>40</v>
      </c>
      <c r="C272" s="35">
        <f t="shared" si="56"/>
        <v>0.72642244738893214</v>
      </c>
      <c r="D272" s="35">
        <f t="shared" si="57"/>
        <v>0.77731442869057543</v>
      </c>
      <c r="E272" s="35">
        <f t="shared" si="58"/>
        <v>0.93452844894777864</v>
      </c>
      <c r="F272" s="27">
        <v>5132</v>
      </c>
      <c r="G272" s="27">
        <f t="shared" si="60"/>
        <v>336</v>
      </c>
      <c r="H272" s="27">
        <v>4796</v>
      </c>
      <c r="I272" s="27">
        <v>3728</v>
      </c>
      <c r="J272" s="27">
        <f t="shared" si="59"/>
        <v>1068</v>
      </c>
    </row>
    <row r="273" spans="1:10" s="29" customFormat="1" ht="12.75" customHeight="1">
      <c r="A273" s="46">
        <v>2015</v>
      </c>
      <c r="B273" s="47" t="s">
        <v>41</v>
      </c>
      <c r="C273" s="35">
        <f t="shared" si="56"/>
        <v>0.76535087719298245</v>
      </c>
      <c r="D273" s="35">
        <f t="shared" si="57"/>
        <v>0.79301797149349307</v>
      </c>
      <c r="E273" s="35">
        <f t="shared" si="58"/>
        <v>0.9651116427432217</v>
      </c>
      <c r="F273" s="27">
        <v>5016</v>
      </c>
      <c r="G273" s="27">
        <f t="shared" si="60"/>
        <v>175</v>
      </c>
      <c r="H273" s="27">
        <v>4841</v>
      </c>
      <c r="I273" s="27">
        <v>3839</v>
      </c>
      <c r="J273" s="27">
        <f t="shared" si="59"/>
        <v>1002</v>
      </c>
    </row>
    <row r="274" spans="1:10" s="29" customFormat="1" ht="12.75">
      <c r="A274" s="45">
        <v>2015</v>
      </c>
      <c r="B274" s="48" t="s">
        <v>42</v>
      </c>
      <c r="C274" s="35">
        <f t="shared" si="56"/>
        <v>0.74142634450506628</v>
      </c>
      <c r="D274" s="35">
        <f t="shared" si="57"/>
        <v>0.79155398377366337</v>
      </c>
      <c r="E274" s="35">
        <f t="shared" si="58"/>
        <v>0.93667186282151205</v>
      </c>
      <c r="F274" s="27">
        <v>5132</v>
      </c>
      <c r="G274" s="27">
        <f t="shared" si="60"/>
        <v>325</v>
      </c>
      <c r="H274" s="27">
        <v>4807</v>
      </c>
      <c r="I274" s="27">
        <v>3805</v>
      </c>
      <c r="J274" s="27">
        <f t="shared" si="59"/>
        <v>1002</v>
      </c>
    </row>
    <row r="275" spans="1:10" s="29" customFormat="1" ht="12.75">
      <c r="A275" s="46">
        <v>2015</v>
      </c>
      <c r="B275" s="47" t="s">
        <v>43</v>
      </c>
      <c r="C275" s="35">
        <f t="shared" si="56"/>
        <v>0.7488188976377953</v>
      </c>
      <c r="D275" s="35">
        <f t="shared" si="57"/>
        <v>0.82177576150356446</v>
      </c>
      <c r="E275" s="35">
        <f t="shared" si="58"/>
        <v>0.91122047244094484</v>
      </c>
      <c r="F275" s="27">
        <v>5080</v>
      </c>
      <c r="G275" s="27">
        <f t="shared" si="60"/>
        <v>451</v>
      </c>
      <c r="H275" s="27">
        <v>4629</v>
      </c>
      <c r="I275" s="27">
        <v>3804</v>
      </c>
      <c r="J275" s="27">
        <f t="shared" si="59"/>
        <v>825</v>
      </c>
    </row>
    <row r="276" spans="1:10" s="29" customFormat="1" ht="12.75">
      <c r="A276" s="45">
        <v>2015</v>
      </c>
      <c r="B276" s="48" t="s">
        <v>44</v>
      </c>
      <c r="C276" s="35">
        <f t="shared" si="56"/>
        <v>0.81711026615969584</v>
      </c>
      <c r="D276" s="35">
        <f t="shared" si="57"/>
        <v>0.85159500693481271</v>
      </c>
      <c r="E276" s="35">
        <f t="shared" si="58"/>
        <v>0.95950570342205321</v>
      </c>
      <c r="F276" s="27">
        <v>5260</v>
      </c>
      <c r="G276" s="27">
        <f t="shared" si="60"/>
        <v>213</v>
      </c>
      <c r="H276" s="27">
        <v>5047</v>
      </c>
      <c r="I276" s="27">
        <v>4298</v>
      </c>
      <c r="J276" s="27">
        <f t="shared" si="59"/>
        <v>749</v>
      </c>
    </row>
    <row r="277" spans="1:10" s="29" customFormat="1" ht="12.75">
      <c r="A277" s="46">
        <v>2015</v>
      </c>
      <c r="B277" s="47" t="s">
        <v>45</v>
      </c>
      <c r="C277" s="35">
        <f t="shared" si="56"/>
        <v>0.83647919876733434</v>
      </c>
      <c r="D277" s="35">
        <f t="shared" si="57"/>
        <v>0.85290652003142187</v>
      </c>
      <c r="E277" s="35">
        <f t="shared" si="58"/>
        <v>0.98073959938366717</v>
      </c>
      <c r="F277" s="27">
        <v>5192</v>
      </c>
      <c r="G277" s="27">
        <f t="shared" si="60"/>
        <v>100</v>
      </c>
      <c r="H277" s="27">
        <v>5092</v>
      </c>
      <c r="I277" s="27">
        <v>4343</v>
      </c>
      <c r="J277" s="27">
        <f t="shared" si="59"/>
        <v>749</v>
      </c>
    </row>
    <row r="278" spans="1:10" s="29" customFormat="1" ht="12.75">
      <c r="A278" s="45">
        <v>2015</v>
      </c>
      <c r="B278" s="48" t="s">
        <v>46</v>
      </c>
      <c r="C278" s="35">
        <f t="shared" si="56"/>
        <v>0.90007776049766719</v>
      </c>
      <c r="D278" s="35">
        <f t="shared" si="57"/>
        <v>0.9179222839016653</v>
      </c>
      <c r="E278" s="35">
        <f t="shared" si="58"/>
        <v>0.98055987558320368</v>
      </c>
      <c r="F278" s="27">
        <v>5144</v>
      </c>
      <c r="G278" s="27">
        <f t="shared" si="60"/>
        <v>100</v>
      </c>
      <c r="H278" s="27">
        <v>5044</v>
      </c>
      <c r="I278" s="27">
        <v>4630</v>
      </c>
      <c r="J278" s="27">
        <f t="shared" si="59"/>
        <v>414</v>
      </c>
    </row>
    <row r="279" spans="1:10" s="29" customFormat="1" ht="12.75">
      <c r="A279" s="46">
        <v>2015</v>
      </c>
      <c r="B279" s="47" t="s">
        <v>47</v>
      </c>
      <c r="C279" s="35">
        <f t="shared" si="56"/>
        <v>0.9226224509243377</v>
      </c>
      <c r="D279" s="35">
        <f t="shared" si="57"/>
        <v>0.93491695635380456</v>
      </c>
      <c r="E279" s="35">
        <f t="shared" si="58"/>
        <v>0.98684962835906231</v>
      </c>
      <c r="F279" s="27">
        <v>5247</v>
      </c>
      <c r="G279" s="27">
        <f t="shared" si="60"/>
        <v>69</v>
      </c>
      <c r="H279" s="27">
        <v>5178</v>
      </c>
      <c r="I279" s="27">
        <v>4841</v>
      </c>
      <c r="J279" s="27">
        <f t="shared" si="59"/>
        <v>337</v>
      </c>
    </row>
    <row r="280" spans="1:10" s="29" customFormat="1" ht="12.75">
      <c r="A280" s="45">
        <v>2015</v>
      </c>
      <c r="B280" s="48" t="s">
        <v>48</v>
      </c>
      <c r="C280" s="35">
        <f t="shared" si="56"/>
        <v>0.8422540900828116</v>
      </c>
      <c r="D280" s="35">
        <f t="shared" si="57"/>
        <v>0.86838817159516868</v>
      </c>
      <c r="E280" s="35">
        <f t="shared" si="58"/>
        <v>0.96990506968289236</v>
      </c>
      <c r="F280" s="27">
        <v>4951</v>
      </c>
      <c r="G280" s="27">
        <f t="shared" si="60"/>
        <v>149</v>
      </c>
      <c r="H280" s="27">
        <v>4802</v>
      </c>
      <c r="I280" s="27">
        <v>4170</v>
      </c>
      <c r="J280" s="27">
        <f t="shared" si="59"/>
        <v>632</v>
      </c>
    </row>
    <row r="281" spans="1:10" s="29" customFormat="1" ht="12.75">
      <c r="A281" s="46">
        <v>2015</v>
      </c>
      <c r="B281" s="47" t="s">
        <v>49</v>
      </c>
      <c r="C281" s="35">
        <f t="shared" si="56"/>
        <v>0.77391643889105821</v>
      </c>
      <c r="D281" s="35">
        <f t="shared" si="57"/>
        <v>0.81900826446280994</v>
      </c>
      <c r="E281" s="35">
        <f t="shared" si="58"/>
        <v>0.94494338149160484</v>
      </c>
      <c r="F281" s="27">
        <v>5122</v>
      </c>
      <c r="G281" s="27">
        <f t="shared" si="60"/>
        <v>282</v>
      </c>
      <c r="H281" s="27">
        <v>4840</v>
      </c>
      <c r="I281" s="27">
        <v>3964</v>
      </c>
      <c r="J281" s="27">
        <f t="shared" si="59"/>
        <v>876</v>
      </c>
    </row>
    <row r="282" spans="1:10" s="29" customFormat="1" ht="12.75">
      <c r="A282" s="45">
        <v>2016</v>
      </c>
      <c r="B282" s="48" t="s">
        <v>38</v>
      </c>
      <c r="C282" s="35">
        <f t="shared" si="56"/>
        <v>0.76230932612473445</v>
      </c>
      <c r="D282" s="35">
        <f t="shared" si="57"/>
        <v>0.79741466370430214</v>
      </c>
      <c r="E282" s="35">
        <f t="shared" si="58"/>
        <v>0.95597605715389067</v>
      </c>
      <c r="F282" s="27">
        <v>5179</v>
      </c>
      <c r="G282" s="27">
        <f>+F282-H282</f>
        <v>228</v>
      </c>
      <c r="H282" s="27">
        <v>4951</v>
      </c>
      <c r="I282" s="27">
        <v>3948</v>
      </c>
      <c r="J282" s="27">
        <f t="shared" ref="J282:J293" si="61">H282-I282</f>
        <v>1003</v>
      </c>
    </row>
    <row r="283" spans="1:10" s="29" customFormat="1" ht="12.75">
      <c r="A283" s="46">
        <v>2016</v>
      </c>
      <c r="B283" s="47" t="s">
        <v>39</v>
      </c>
      <c r="C283" s="35">
        <f t="shared" si="56"/>
        <v>0.85661002900953165</v>
      </c>
      <c r="D283" s="35">
        <f t="shared" si="57"/>
        <v>0.89499891751461358</v>
      </c>
      <c r="E283" s="35">
        <f t="shared" si="58"/>
        <v>0.95710733526730207</v>
      </c>
      <c r="F283" s="27">
        <v>4826</v>
      </c>
      <c r="G283" s="27">
        <f t="shared" ref="G283:G293" si="62">F283-H283</f>
        <v>207</v>
      </c>
      <c r="H283" s="27">
        <v>4619</v>
      </c>
      <c r="I283" s="27">
        <v>4134</v>
      </c>
      <c r="J283" s="27">
        <f t="shared" si="61"/>
        <v>485</v>
      </c>
    </row>
    <row r="284" spans="1:10" s="29" customFormat="1" ht="12.75">
      <c r="A284" s="45">
        <v>2016</v>
      </c>
      <c r="B284" s="48" t="s">
        <v>40</v>
      </c>
      <c r="C284" s="35">
        <f t="shared" si="56"/>
        <v>0.88265895953757223</v>
      </c>
      <c r="D284" s="35">
        <f t="shared" si="57"/>
        <v>0.90892857142857142</v>
      </c>
      <c r="E284" s="35">
        <f t="shared" si="58"/>
        <v>0.97109826589595372</v>
      </c>
      <c r="F284" s="27">
        <v>5190</v>
      </c>
      <c r="G284" s="27">
        <f t="shared" si="62"/>
        <v>150</v>
      </c>
      <c r="H284" s="27">
        <v>5040</v>
      </c>
      <c r="I284" s="27">
        <v>4581</v>
      </c>
      <c r="J284" s="27">
        <f t="shared" si="61"/>
        <v>459</v>
      </c>
    </row>
    <row r="285" spans="1:10" s="29" customFormat="1" ht="12.75">
      <c r="A285" s="46">
        <v>2016</v>
      </c>
      <c r="B285" s="47" t="s">
        <v>41</v>
      </c>
      <c r="C285" s="35">
        <f t="shared" si="56"/>
        <v>0.78762805358550037</v>
      </c>
      <c r="D285" s="35">
        <f t="shared" si="57"/>
        <v>0.81909444785904528</v>
      </c>
      <c r="E285" s="35">
        <f t="shared" si="58"/>
        <v>0.96158392434988182</v>
      </c>
      <c r="F285" s="27">
        <v>5076</v>
      </c>
      <c r="G285" s="27">
        <f t="shared" si="62"/>
        <v>195</v>
      </c>
      <c r="H285" s="27">
        <v>4881</v>
      </c>
      <c r="I285" s="27">
        <v>3998</v>
      </c>
      <c r="J285" s="27">
        <f t="shared" si="61"/>
        <v>883</v>
      </c>
    </row>
    <row r="286" spans="1:10" s="29" customFormat="1" ht="12.75">
      <c r="A286" s="45">
        <v>2016</v>
      </c>
      <c r="B286" s="48" t="s">
        <v>42</v>
      </c>
      <c r="C286" s="35">
        <f t="shared" si="56"/>
        <v>0.70019267822736031</v>
      </c>
      <c r="D286" s="35">
        <f t="shared" si="57"/>
        <v>0.7313342724894345</v>
      </c>
      <c r="E286" s="35">
        <f t="shared" si="58"/>
        <v>0.95741811175337188</v>
      </c>
      <c r="F286" s="27">
        <v>5190</v>
      </c>
      <c r="G286" s="27">
        <f t="shared" si="62"/>
        <v>221</v>
      </c>
      <c r="H286" s="27">
        <v>4969</v>
      </c>
      <c r="I286" s="27">
        <v>3634</v>
      </c>
      <c r="J286" s="27">
        <f t="shared" si="61"/>
        <v>1335</v>
      </c>
    </row>
    <row r="287" spans="1:10" s="29" customFormat="1" ht="12.75">
      <c r="A287" s="46">
        <v>2016</v>
      </c>
      <c r="B287" s="47" t="s">
        <v>43</v>
      </c>
      <c r="C287" s="35">
        <f t="shared" si="56"/>
        <v>0.80011980830670926</v>
      </c>
      <c r="D287" s="35">
        <f t="shared" si="57"/>
        <v>0.82669692593356714</v>
      </c>
      <c r="E287" s="35">
        <f t="shared" si="58"/>
        <v>0.96785143769968052</v>
      </c>
      <c r="F287" s="27">
        <v>5008</v>
      </c>
      <c r="G287" s="27">
        <f t="shared" si="62"/>
        <v>161</v>
      </c>
      <c r="H287" s="27">
        <v>4847</v>
      </c>
      <c r="I287" s="27">
        <v>4007</v>
      </c>
      <c r="J287" s="27">
        <f t="shared" si="61"/>
        <v>840</v>
      </c>
    </row>
    <row r="288" spans="1:10" s="29" customFormat="1" ht="12.75">
      <c r="A288" s="45">
        <v>2016</v>
      </c>
      <c r="B288" s="48" t="s">
        <v>44</v>
      </c>
      <c r="C288" s="35">
        <f t="shared" si="56"/>
        <v>0.81745411948457636</v>
      </c>
      <c r="D288" s="35">
        <f t="shared" si="57"/>
        <v>0.84330312185297085</v>
      </c>
      <c r="E288" s="35">
        <f t="shared" si="58"/>
        <v>0.96934791097227646</v>
      </c>
      <c r="F288" s="27">
        <v>5122</v>
      </c>
      <c r="G288" s="27">
        <f t="shared" si="62"/>
        <v>157</v>
      </c>
      <c r="H288" s="27">
        <v>4965</v>
      </c>
      <c r="I288" s="27">
        <v>4187</v>
      </c>
      <c r="J288" s="27">
        <f t="shared" si="61"/>
        <v>778</v>
      </c>
    </row>
    <row r="289" spans="1:10" s="29" customFormat="1" ht="12.75">
      <c r="A289" s="46">
        <v>2016</v>
      </c>
      <c r="B289" s="47" t="s">
        <v>45</v>
      </c>
      <c r="C289" s="35">
        <f t="shared" si="56"/>
        <v>0.82236591860022823</v>
      </c>
      <c r="D289" s="35">
        <f t="shared" si="57"/>
        <v>0.85725614591593968</v>
      </c>
      <c r="E289" s="35">
        <f t="shared" si="58"/>
        <v>0.95930011411182958</v>
      </c>
      <c r="F289" s="27">
        <v>5258</v>
      </c>
      <c r="G289" s="27">
        <f t="shared" si="62"/>
        <v>214</v>
      </c>
      <c r="H289" s="27">
        <v>5044</v>
      </c>
      <c r="I289" s="27">
        <v>4324</v>
      </c>
      <c r="J289" s="27">
        <f t="shared" si="61"/>
        <v>720</v>
      </c>
    </row>
    <row r="290" spans="1:10" s="106" customFormat="1" ht="12.75">
      <c r="A290" s="45">
        <v>2016</v>
      </c>
      <c r="B290" s="48" t="s">
        <v>46</v>
      </c>
      <c r="C290" s="35">
        <f t="shared" si="56"/>
        <v>0.84117418351477447</v>
      </c>
      <c r="D290" s="35">
        <f t="shared" si="57"/>
        <v>0.87431804404930291</v>
      </c>
      <c r="E290" s="35">
        <f t="shared" si="58"/>
        <v>0.96209175738724728</v>
      </c>
      <c r="F290" s="27">
        <v>5144</v>
      </c>
      <c r="G290" s="27">
        <f t="shared" si="62"/>
        <v>195</v>
      </c>
      <c r="H290" s="27">
        <v>4949</v>
      </c>
      <c r="I290" s="27">
        <v>4327</v>
      </c>
      <c r="J290" s="27">
        <f t="shared" si="61"/>
        <v>622</v>
      </c>
    </row>
    <row r="291" spans="1:10" s="106" customFormat="1" ht="12.75">
      <c r="A291" s="46">
        <v>2016</v>
      </c>
      <c r="B291" s="47" t="s">
        <v>47</v>
      </c>
      <c r="C291" s="35">
        <f t="shared" si="56"/>
        <v>0.8229387912724464</v>
      </c>
      <c r="D291" s="35">
        <f t="shared" si="57"/>
        <v>0.85120830836828443</v>
      </c>
      <c r="E291" s="35">
        <f t="shared" si="58"/>
        <v>0.96678895539679477</v>
      </c>
      <c r="F291" s="27">
        <v>5179</v>
      </c>
      <c r="G291" s="27">
        <f t="shared" si="62"/>
        <v>172</v>
      </c>
      <c r="H291" s="27">
        <v>5007</v>
      </c>
      <c r="I291" s="27">
        <v>4262</v>
      </c>
      <c r="J291" s="27">
        <f t="shared" si="61"/>
        <v>745</v>
      </c>
    </row>
    <row r="292" spans="1:10" s="106" customFormat="1" ht="12.75">
      <c r="A292" s="45">
        <v>2016</v>
      </c>
      <c r="B292" s="48" t="s">
        <v>48</v>
      </c>
      <c r="C292" s="35">
        <f t="shared" si="56"/>
        <v>0.87115839243498816</v>
      </c>
      <c r="D292" s="35">
        <f t="shared" si="57"/>
        <v>0.88973843058350099</v>
      </c>
      <c r="E292" s="35">
        <f t="shared" si="58"/>
        <v>0.97911741528762808</v>
      </c>
      <c r="F292" s="27">
        <v>5076</v>
      </c>
      <c r="G292" s="27">
        <f t="shared" si="62"/>
        <v>106</v>
      </c>
      <c r="H292" s="27">
        <v>4970</v>
      </c>
      <c r="I292" s="27">
        <v>4422</v>
      </c>
      <c r="J292" s="27">
        <f t="shared" si="61"/>
        <v>548</v>
      </c>
    </row>
    <row r="293" spans="1:10" s="106" customFormat="1" ht="12.75">
      <c r="A293" s="46">
        <v>2016</v>
      </c>
      <c r="B293" s="47" t="s">
        <v>49</v>
      </c>
      <c r="C293" s="35">
        <f t="shared" si="56"/>
        <v>0.81448412698412698</v>
      </c>
      <c r="D293" s="35">
        <f t="shared" si="57"/>
        <v>0.86239495798319332</v>
      </c>
      <c r="E293" s="35">
        <f t="shared" si="58"/>
        <v>0.94444444444444442</v>
      </c>
      <c r="F293" s="27">
        <v>5040</v>
      </c>
      <c r="G293" s="27">
        <f t="shared" si="62"/>
        <v>280</v>
      </c>
      <c r="H293" s="27">
        <v>4760</v>
      </c>
      <c r="I293" s="27">
        <v>4105</v>
      </c>
      <c r="J293" s="27">
        <f t="shared" si="61"/>
        <v>655</v>
      </c>
    </row>
    <row r="294" spans="1:10" s="106" customFormat="1" ht="12.75">
      <c r="A294" s="45">
        <v>2017</v>
      </c>
      <c r="B294" s="48" t="s">
        <v>38</v>
      </c>
      <c r="C294" s="35">
        <f t="shared" si="56"/>
        <v>0.90478071908336621</v>
      </c>
      <c r="D294" s="35">
        <f t="shared" si="57"/>
        <v>0.93412196614317766</v>
      </c>
      <c r="E294" s="35">
        <f t="shared" si="58"/>
        <v>0.96858949032003161</v>
      </c>
      <c r="F294" s="27">
        <v>5062</v>
      </c>
      <c r="G294" s="27">
        <f>+F294-H294</f>
        <v>159</v>
      </c>
      <c r="H294" s="27">
        <v>4903</v>
      </c>
      <c r="I294" s="27">
        <v>4580</v>
      </c>
      <c r="J294" s="27">
        <f t="shared" ref="J294:J305" si="63">H294-I294</f>
        <v>323</v>
      </c>
    </row>
    <row r="295" spans="1:10" s="106" customFormat="1" ht="12.75">
      <c r="A295" s="46">
        <v>2017</v>
      </c>
      <c r="B295" s="47" t="s">
        <v>39</v>
      </c>
      <c r="C295" s="35">
        <f t="shared" si="56"/>
        <v>0.90427426536064115</v>
      </c>
      <c r="D295" s="35">
        <f t="shared" si="57"/>
        <v>0.9318651066758431</v>
      </c>
      <c r="E295" s="35">
        <f t="shared" si="58"/>
        <v>0.97039180765805877</v>
      </c>
      <c r="F295" s="27">
        <v>4492</v>
      </c>
      <c r="G295" s="27">
        <f t="shared" ref="G295:G305" si="64">F295-H295</f>
        <v>133</v>
      </c>
      <c r="H295" s="27">
        <v>4359</v>
      </c>
      <c r="I295" s="27">
        <v>4062</v>
      </c>
      <c r="J295" s="27">
        <f t="shared" si="63"/>
        <v>297</v>
      </c>
    </row>
    <row r="296" spans="1:10" s="106" customFormat="1" ht="12.75">
      <c r="A296" s="45">
        <v>2017</v>
      </c>
      <c r="B296" s="48" t="s">
        <v>40</v>
      </c>
      <c r="C296" s="35">
        <f t="shared" si="56"/>
        <v>0.87356775977874357</v>
      </c>
      <c r="D296" s="35">
        <f t="shared" si="57"/>
        <v>0.89532293986636968</v>
      </c>
      <c r="E296" s="35">
        <f t="shared" si="58"/>
        <v>0.97570130383247733</v>
      </c>
      <c r="F296" s="27">
        <v>5062</v>
      </c>
      <c r="G296" s="27">
        <f t="shared" si="64"/>
        <v>123</v>
      </c>
      <c r="H296" s="27">
        <v>4939</v>
      </c>
      <c r="I296" s="27">
        <v>4422</v>
      </c>
      <c r="J296" s="27">
        <f t="shared" si="63"/>
        <v>517</v>
      </c>
    </row>
    <row r="297" spans="1:10" s="106" customFormat="1" ht="12.75">
      <c r="A297" s="46">
        <v>2017</v>
      </c>
      <c r="B297" s="47" t="s">
        <v>41</v>
      </c>
      <c r="C297" s="35">
        <f t="shared" si="56"/>
        <v>0.82538686741948974</v>
      </c>
      <c r="D297" s="35">
        <f t="shared" si="57"/>
        <v>0.87789145907473309</v>
      </c>
      <c r="E297" s="35">
        <f t="shared" si="58"/>
        <v>0.94019238812212469</v>
      </c>
      <c r="F297" s="27">
        <v>4782</v>
      </c>
      <c r="G297" s="27">
        <f t="shared" si="64"/>
        <v>286</v>
      </c>
      <c r="H297" s="27">
        <v>4496</v>
      </c>
      <c r="I297" s="27">
        <v>3947</v>
      </c>
      <c r="J297" s="27">
        <f t="shared" si="63"/>
        <v>549</v>
      </c>
    </row>
    <row r="298" spans="1:10" s="106" customFormat="1" ht="12.75">
      <c r="A298" s="45">
        <v>2017</v>
      </c>
      <c r="B298" s="48" t="s">
        <v>42</v>
      </c>
      <c r="C298" s="35">
        <f t="shared" si="56"/>
        <v>0.81264728986645718</v>
      </c>
      <c r="D298" s="35">
        <f t="shared" si="57"/>
        <v>0.85478206982028504</v>
      </c>
      <c r="E298" s="35">
        <f t="shared" si="58"/>
        <v>0.9507069913589945</v>
      </c>
      <c r="F298" s="27">
        <v>5092</v>
      </c>
      <c r="G298" s="27">
        <f t="shared" si="64"/>
        <v>251</v>
      </c>
      <c r="H298" s="27">
        <v>4841</v>
      </c>
      <c r="I298" s="27">
        <v>4138</v>
      </c>
      <c r="J298" s="27">
        <f t="shared" si="63"/>
        <v>703</v>
      </c>
    </row>
    <row r="299" spans="1:10" s="106" customFormat="1" ht="12.75">
      <c r="A299" s="46">
        <v>2017</v>
      </c>
      <c r="B299" s="47" t="s">
        <v>43</v>
      </c>
      <c r="C299" s="35">
        <f t="shared" si="56"/>
        <v>0.78333333333333333</v>
      </c>
      <c r="D299" s="35">
        <f t="shared" si="57"/>
        <v>0.82876566815381347</v>
      </c>
      <c r="E299" s="35">
        <f t="shared" si="58"/>
        <v>0.94518072289156629</v>
      </c>
      <c r="F299" s="27">
        <v>4980</v>
      </c>
      <c r="G299" s="27">
        <f t="shared" si="64"/>
        <v>273</v>
      </c>
      <c r="H299" s="27">
        <v>4707</v>
      </c>
      <c r="I299" s="27">
        <v>3901</v>
      </c>
      <c r="J299" s="27">
        <f t="shared" si="63"/>
        <v>806</v>
      </c>
    </row>
    <row r="300" spans="1:10" s="106" customFormat="1" ht="12.75">
      <c r="A300" s="45">
        <v>2017</v>
      </c>
      <c r="B300" s="48" t="s">
        <v>44</v>
      </c>
      <c r="C300" s="35">
        <f t="shared" si="56"/>
        <v>0.77871362940275646</v>
      </c>
      <c r="D300" s="35">
        <f t="shared" si="57"/>
        <v>0.83807169344870214</v>
      </c>
      <c r="E300" s="35">
        <f t="shared" si="58"/>
        <v>0.92917304747320062</v>
      </c>
      <c r="F300" s="27">
        <v>5224</v>
      </c>
      <c r="G300" s="27">
        <f t="shared" si="64"/>
        <v>370</v>
      </c>
      <c r="H300" s="27">
        <v>4854</v>
      </c>
      <c r="I300" s="27">
        <v>4068</v>
      </c>
      <c r="J300" s="27">
        <f t="shared" si="63"/>
        <v>786</v>
      </c>
    </row>
    <row r="301" spans="1:10" s="106" customFormat="1" ht="12.75">
      <c r="A301" s="46">
        <v>2017</v>
      </c>
      <c r="B301" s="47" t="s">
        <v>45</v>
      </c>
      <c r="C301" s="35">
        <f t="shared" si="56"/>
        <v>0.669283799310609</v>
      </c>
      <c r="D301" s="35">
        <f t="shared" si="57"/>
        <v>0.74855429428143072</v>
      </c>
      <c r="E301" s="35">
        <f t="shared" si="58"/>
        <v>0.89410187667560326</v>
      </c>
      <c r="F301" s="27">
        <v>5222</v>
      </c>
      <c r="G301" s="27">
        <f t="shared" si="64"/>
        <v>553</v>
      </c>
      <c r="H301" s="27">
        <v>4669</v>
      </c>
      <c r="I301" s="27">
        <v>3495</v>
      </c>
      <c r="J301" s="27">
        <f t="shared" si="63"/>
        <v>1174</v>
      </c>
    </row>
    <row r="302" spans="1:10" s="106" customFormat="1" ht="12.75">
      <c r="A302" s="45">
        <v>2017</v>
      </c>
      <c r="B302" s="48" t="s">
        <v>46</v>
      </c>
      <c r="C302" s="35">
        <f t="shared" si="56"/>
        <v>0.65593490182204139</v>
      </c>
      <c r="D302" s="35">
        <f t="shared" si="57"/>
        <v>0.72634671890303626</v>
      </c>
      <c r="E302" s="35">
        <f t="shared" si="58"/>
        <v>0.90306032195294539</v>
      </c>
      <c r="F302" s="27">
        <v>5653</v>
      </c>
      <c r="G302" s="27">
        <f t="shared" si="64"/>
        <v>548</v>
      </c>
      <c r="H302" s="27">
        <v>5105</v>
      </c>
      <c r="I302" s="27">
        <v>3708</v>
      </c>
      <c r="J302" s="27">
        <f t="shared" si="63"/>
        <v>1397</v>
      </c>
    </row>
    <row r="303" spans="1:10" s="106" customFormat="1" ht="12.75">
      <c r="A303" s="46">
        <v>2017</v>
      </c>
      <c r="B303" s="47" t="s">
        <v>47</v>
      </c>
      <c r="C303" s="35">
        <f t="shared" si="56"/>
        <v>0.67883336176019105</v>
      </c>
      <c r="D303" s="35">
        <f t="shared" si="57"/>
        <v>0.7535024611889436</v>
      </c>
      <c r="E303" s="35">
        <f t="shared" si="58"/>
        <v>0.90090397407470579</v>
      </c>
      <c r="F303" s="27">
        <v>5863</v>
      </c>
      <c r="G303" s="27">
        <f t="shared" si="64"/>
        <v>581</v>
      </c>
      <c r="H303" s="27">
        <v>5282</v>
      </c>
      <c r="I303" s="27">
        <v>3980</v>
      </c>
      <c r="J303" s="27">
        <f t="shared" si="63"/>
        <v>1302</v>
      </c>
    </row>
    <row r="304" spans="1:10" s="106" customFormat="1" ht="12.75">
      <c r="A304" s="45">
        <v>2017</v>
      </c>
      <c r="B304" s="48" t="s">
        <v>48</v>
      </c>
      <c r="C304" s="35">
        <f t="shared" si="56"/>
        <v>0.56582827406764957</v>
      </c>
      <c r="D304" s="35">
        <f t="shared" si="57"/>
        <v>0.76988435213594519</v>
      </c>
      <c r="E304" s="35">
        <f t="shared" si="58"/>
        <v>0.73495229835212494</v>
      </c>
      <c r="F304" s="27">
        <v>5765</v>
      </c>
      <c r="G304" s="27">
        <f t="shared" si="64"/>
        <v>1528</v>
      </c>
      <c r="H304" s="27">
        <v>4237</v>
      </c>
      <c r="I304" s="27">
        <v>3262</v>
      </c>
      <c r="J304" s="27">
        <f t="shared" si="63"/>
        <v>975</v>
      </c>
    </row>
    <row r="305" spans="1:10" s="106" customFormat="1" ht="12.75">
      <c r="A305" s="46">
        <v>2017</v>
      </c>
      <c r="B305" s="47" t="s">
        <v>49</v>
      </c>
      <c r="C305" s="35">
        <f t="shared" si="56"/>
        <v>0.51217391304347826</v>
      </c>
      <c r="D305" s="35">
        <f t="shared" si="57"/>
        <v>0.72269938650306753</v>
      </c>
      <c r="E305" s="35">
        <f t="shared" si="58"/>
        <v>0.70869565217391306</v>
      </c>
      <c r="F305" s="27">
        <v>5750</v>
      </c>
      <c r="G305" s="27">
        <f t="shared" si="64"/>
        <v>1675</v>
      </c>
      <c r="H305" s="27">
        <v>4075</v>
      </c>
      <c r="I305" s="27">
        <v>2945</v>
      </c>
      <c r="J305" s="27">
        <f t="shared" si="63"/>
        <v>1130</v>
      </c>
    </row>
    <row r="306" spans="1:10" s="106" customFormat="1" ht="12.75">
      <c r="A306" s="45">
        <v>2018</v>
      </c>
      <c r="B306" s="48" t="s">
        <v>38</v>
      </c>
      <c r="C306" s="35">
        <f t="shared" si="56"/>
        <v>0.55917266187050363</v>
      </c>
      <c r="D306" s="35">
        <f t="shared" si="57"/>
        <v>0.69459338695263628</v>
      </c>
      <c r="E306" s="35">
        <f t="shared" si="58"/>
        <v>0.80503597122302162</v>
      </c>
      <c r="F306" s="27">
        <v>5560</v>
      </c>
      <c r="G306" s="27">
        <f>+F306-H306</f>
        <v>1084</v>
      </c>
      <c r="H306" s="27">
        <v>4476</v>
      </c>
      <c r="I306" s="27">
        <v>3109</v>
      </c>
      <c r="J306" s="27">
        <f t="shared" ref="J306:J317" si="65">H306-I306</f>
        <v>1367</v>
      </c>
    </row>
    <row r="307" spans="1:10" s="106" customFormat="1" ht="12.75">
      <c r="A307" s="46">
        <v>2018</v>
      </c>
      <c r="B307" s="47" t="s">
        <v>39</v>
      </c>
      <c r="C307" s="35">
        <f t="shared" si="56"/>
        <v>0.74564705882352944</v>
      </c>
      <c r="D307" s="35">
        <f t="shared" si="57"/>
        <v>0.79324155193992496</v>
      </c>
      <c r="E307" s="35">
        <f t="shared" si="58"/>
        <v>0.94</v>
      </c>
      <c r="F307" s="27">
        <v>4250</v>
      </c>
      <c r="G307" s="27">
        <f t="shared" ref="G307:G317" si="66">F307-H307</f>
        <v>255</v>
      </c>
      <c r="H307" s="27">
        <v>3995</v>
      </c>
      <c r="I307" s="27">
        <v>3169</v>
      </c>
      <c r="J307" s="27">
        <f t="shared" si="65"/>
        <v>826</v>
      </c>
    </row>
    <row r="308" spans="1:10" s="106" customFormat="1" ht="12.75">
      <c r="A308" s="45">
        <v>2018</v>
      </c>
      <c r="B308" s="48" t="s">
        <v>40</v>
      </c>
      <c r="C308" s="35">
        <f t="shared" si="56"/>
        <v>0.29546253957087582</v>
      </c>
      <c r="D308" s="35">
        <f t="shared" si="57"/>
        <v>0.46293744833287409</v>
      </c>
      <c r="E308" s="35">
        <f t="shared" si="58"/>
        <v>0.63823425958494551</v>
      </c>
      <c r="F308" s="27">
        <v>5686</v>
      </c>
      <c r="G308" s="27">
        <f t="shared" si="66"/>
        <v>2057</v>
      </c>
      <c r="H308" s="27">
        <v>3629</v>
      </c>
      <c r="I308" s="27">
        <v>1680</v>
      </c>
      <c r="J308" s="27">
        <f t="shared" si="65"/>
        <v>1949</v>
      </c>
    </row>
    <row r="309" spans="1:10" s="106" customFormat="1" ht="12.75">
      <c r="A309" s="46">
        <v>2018</v>
      </c>
      <c r="B309" s="47" t="s">
        <v>41</v>
      </c>
      <c r="C309" s="35">
        <f t="shared" si="56"/>
        <v>0.3856543164811097</v>
      </c>
      <c r="D309" s="35">
        <f t="shared" si="57"/>
        <v>0.53848114169215089</v>
      </c>
      <c r="E309" s="35">
        <f t="shared" si="58"/>
        <v>0.71618908559956196</v>
      </c>
      <c r="F309" s="27">
        <v>5479</v>
      </c>
      <c r="G309" s="27">
        <f t="shared" si="66"/>
        <v>1555</v>
      </c>
      <c r="H309" s="27">
        <v>3924</v>
      </c>
      <c r="I309" s="27">
        <v>2113</v>
      </c>
      <c r="J309" s="27">
        <f t="shared" si="65"/>
        <v>1811</v>
      </c>
    </row>
    <row r="310" spans="1:10" s="106" customFormat="1" ht="12.75">
      <c r="A310" s="45">
        <v>2018</v>
      </c>
      <c r="B310" s="48" t="s">
        <v>42</v>
      </c>
      <c r="C310" s="35">
        <f t="shared" si="56"/>
        <v>0.40318825004477882</v>
      </c>
      <c r="D310" s="35">
        <f t="shared" si="57"/>
        <v>0.60413311862587227</v>
      </c>
      <c r="E310" s="35">
        <f t="shared" si="58"/>
        <v>0.66738312735088667</v>
      </c>
      <c r="F310" s="27">
        <v>5583</v>
      </c>
      <c r="G310" s="27">
        <f t="shared" si="66"/>
        <v>1857</v>
      </c>
      <c r="H310" s="27">
        <v>3726</v>
      </c>
      <c r="I310" s="27">
        <v>2251</v>
      </c>
      <c r="J310" s="27">
        <f t="shared" si="65"/>
        <v>1475</v>
      </c>
    </row>
    <row r="311" spans="1:10" s="106" customFormat="1" ht="12.75">
      <c r="A311" s="46">
        <v>2018</v>
      </c>
      <c r="B311" s="47" t="s">
        <v>43</v>
      </c>
      <c r="C311" s="35">
        <f t="shared" si="56"/>
        <v>0.59479956663055256</v>
      </c>
      <c r="D311" s="35">
        <f t="shared" si="57"/>
        <v>0.73317307692307687</v>
      </c>
      <c r="E311" s="35">
        <f t="shared" si="58"/>
        <v>0.81126760563380285</v>
      </c>
      <c r="F311" s="27">
        <v>4615</v>
      </c>
      <c r="G311" s="27">
        <f t="shared" si="66"/>
        <v>871</v>
      </c>
      <c r="H311" s="27">
        <v>3744</v>
      </c>
      <c r="I311" s="27">
        <v>2745</v>
      </c>
      <c r="J311" s="27">
        <f t="shared" si="65"/>
        <v>999</v>
      </c>
    </row>
    <row r="312" spans="1:10" s="106" customFormat="1" ht="12.75">
      <c r="A312" s="45">
        <v>2018</v>
      </c>
      <c r="B312" s="48" t="s">
        <v>44</v>
      </c>
      <c r="C312" s="35">
        <f t="shared" si="56"/>
        <v>0.6841326854003803</v>
      </c>
      <c r="D312" s="35">
        <f t="shared" si="57"/>
        <v>0.76295947219604143</v>
      </c>
      <c r="E312" s="35">
        <f t="shared" si="58"/>
        <v>0.89668286499049232</v>
      </c>
      <c r="F312" s="27">
        <v>4733</v>
      </c>
      <c r="G312" s="27">
        <f t="shared" si="66"/>
        <v>489</v>
      </c>
      <c r="H312" s="27">
        <v>4244</v>
      </c>
      <c r="I312" s="27">
        <v>3238</v>
      </c>
      <c r="J312" s="27">
        <f t="shared" si="65"/>
        <v>1006</v>
      </c>
    </row>
    <row r="313" spans="1:10" s="106" customFormat="1" ht="12.75">
      <c r="A313" s="46">
        <v>2018</v>
      </c>
      <c r="B313" s="47" t="s">
        <v>45</v>
      </c>
      <c r="C313" s="35">
        <f t="shared" si="56"/>
        <v>0.76067839195979903</v>
      </c>
      <c r="D313" s="35">
        <f t="shared" si="57"/>
        <v>0.82343608340888486</v>
      </c>
      <c r="E313" s="35">
        <f t="shared" si="58"/>
        <v>0.92378559463986598</v>
      </c>
      <c r="F313" s="27">
        <v>4776</v>
      </c>
      <c r="G313" s="27">
        <f t="shared" si="66"/>
        <v>364</v>
      </c>
      <c r="H313" s="27">
        <v>4412</v>
      </c>
      <c r="I313" s="27">
        <v>3633</v>
      </c>
      <c r="J313" s="27">
        <f t="shared" si="65"/>
        <v>779</v>
      </c>
    </row>
    <row r="314" spans="1:10" s="106" customFormat="1" ht="12.75">
      <c r="A314" s="45">
        <v>2018</v>
      </c>
      <c r="B314" s="48" t="s">
        <v>46</v>
      </c>
      <c r="C314" s="35">
        <f t="shared" si="56"/>
        <v>0.79826652221018424</v>
      </c>
      <c r="D314" s="35">
        <f t="shared" si="57"/>
        <v>0.90294117647058825</v>
      </c>
      <c r="E314" s="35">
        <f t="shared" si="58"/>
        <v>0.88407367280606719</v>
      </c>
      <c r="F314" s="27">
        <v>4615</v>
      </c>
      <c r="G314" s="27">
        <f t="shared" si="66"/>
        <v>535</v>
      </c>
      <c r="H314" s="27">
        <v>4080</v>
      </c>
      <c r="I314" s="27">
        <v>3684</v>
      </c>
      <c r="J314" s="27">
        <f t="shared" si="65"/>
        <v>396</v>
      </c>
    </row>
    <row r="315" spans="1:10" s="106" customFormat="1" ht="12.75">
      <c r="A315" s="46">
        <v>2018</v>
      </c>
      <c r="B315" s="47" t="s">
        <v>47</v>
      </c>
      <c r="C315" s="35">
        <f t="shared" si="56"/>
        <v>0.86578726968174202</v>
      </c>
      <c r="D315" s="35">
        <f t="shared" si="57"/>
        <v>0.92257920571173579</v>
      </c>
      <c r="E315" s="35">
        <f t="shared" si="58"/>
        <v>0.93844221105527637</v>
      </c>
      <c r="F315" s="27">
        <v>4776</v>
      </c>
      <c r="G315" s="27">
        <f t="shared" si="66"/>
        <v>294</v>
      </c>
      <c r="H315" s="27">
        <v>4482</v>
      </c>
      <c r="I315" s="27">
        <v>4135</v>
      </c>
      <c r="J315" s="27">
        <f t="shared" si="65"/>
        <v>347</v>
      </c>
    </row>
    <row r="316" spans="1:10" s="106" customFormat="1" ht="12.75">
      <c r="A316" s="45">
        <v>2018</v>
      </c>
      <c r="B316" s="48" t="s">
        <v>48</v>
      </c>
      <c r="C316" s="35">
        <f t="shared" si="56"/>
        <v>0.79046587215601305</v>
      </c>
      <c r="D316" s="35">
        <f t="shared" si="57"/>
        <v>0.90972568578553614</v>
      </c>
      <c r="E316" s="35">
        <f t="shared" si="58"/>
        <v>0.86890574214517879</v>
      </c>
      <c r="F316" s="27">
        <v>4615</v>
      </c>
      <c r="G316" s="27">
        <f t="shared" si="66"/>
        <v>605</v>
      </c>
      <c r="H316" s="27">
        <v>4010</v>
      </c>
      <c r="I316" s="27">
        <v>3648</v>
      </c>
      <c r="J316" s="27">
        <f t="shared" si="65"/>
        <v>362</v>
      </c>
    </row>
    <row r="317" spans="1:10" s="106" customFormat="1" ht="12.75">
      <c r="A317" s="46">
        <v>2018</v>
      </c>
      <c r="B317" s="47" t="s">
        <v>49</v>
      </c>
      <c r="C317" s="35">
        <f t="shared" si="56"/>
        <v>0.69553502694380287</v>
      </c>
      <c r="D317" s="35">
        <f t="shared" si="57"/>
        <v>0.84144353899883584</v>
      </c>
      <c r="E317" s="35">
        <f t="shared" si="58"/>
        <v>0.82659738260200155</v>
      </c>
      <c r="F317" s="27">
        <v>5196</v>
      </c>
      <c r="G317" s="27">
        <f t="shared" si="66"/>
        <v>901</v>
      </c>
      <c r="H317" s="27">
        <v>4295</v>
      </c>
      <c r="I317" s="27">
        <v>3614</v>
      </c>
      <c r="J317" s="27">
        <f t="shared" si="65"/>
        <v>681</v>
      </c>
    </row>
    <row r="318" spans="1:10" s="106" customFormat="1" ht="12.75">
      <c r="A318" s="45">
        <v>2019</v>
      </c>
      <c r="B318" s="48" t="s">
        <v>38</v>
      </c>
      <c r="C318" s="35">
        <f t="shared" si="56"/>
        <v>0.75076713262870776</v>
      </c>
      <c r="D318" s="35">
        <f t="shared" si="57"/>
        <v>0.86812536960378472</v>
      </c>
      <c r="E318" s="35">
        <f t="shared" si="58"/>
        <v>0.86481418342993521</v>
      </c>
      <c r="F318" s="27">
        <v>5866</v>
      </c>
      <c r="G318" s="27">
        <f>+F318-H318</f>
        <v>793</v>
      </c>
      <c r="H318" s="27">
        <v>5073</v>
      </c>
      <c r="I318" s="27">
        <v>4404</v>
      </c>
      <c r="J318" s="27">
        <f t="shared" ref="J318:J333" si="67">H318-I318</f>
        <v>669</v>
      </c>
    </row>
    <row r="319" spans="1:10" s="106" customFormat="1" ht="12.75">
      <c r="A319" s="46">
        <v>2019</v>
      </c>
      <c r="B319" s="47" t="s">
        <v>39</v>
      </c>
      <c r="C319" s="35">
        <f t="shared" si="56"/>
        <v>0.68011958146487295</v>
      </c>
      <c r="D319" s="35">
        <f t="shared" si="57"/>
        <v>0.83390607101947312</v>
      </c>
      <c r="E319" s="35">
        <f t="shared" si="58"/>
        <v>0.8155829596412556</v>
      </c>
      <c r="F319" s="27">
        <v>5352</v>
      </c>
      <c r="G319" s="27">
        <f t="shared" ref="G319:G329" si="68">F319-H319</f>
        <v>987</v>
      </c>
      <c r="H319" s="27">
        <v>4365</v>
      </c>
      <c r="I319" s="27">
        <v>3640</v>
      </c>
      <c r="J319" s="27">
        <f t="shared" si="67"/>
        <v>725</v>
      </c>
    </row>
    <row r="320" spans="1:10" s="106" customFormat="1" ht="12.75">
      <c r="A320" s="45">
        <v>2019</v>
      </c>
      <c r="B320" s="48" t="s">
        <v>40</v>
      </c>
      <c r="C320" s="35">
        <f t="shared" si="56"/>
        <v>0.68999646518204316</v>
      </c>
      <c r="D320" s="35">
        <f t="shared" si="57"/>
        <v>0.83490162532078704</v>
      </c>
      <c r="E320" s="35">
        <f t="shared" si="58"/>
        <v>0.82644043831742664</v>
      </c>
      <c r="F320" s="27">
        <v>5658</v>
      </c>
      <c r="G320" s="27">
        <f t="shared" si="68"/>
        <v>982</v>
      </c>
      <c r="H320" s="27">
        <v>4676</v>
      </c>
      <c r="I320" s="27">
        <v>3904</v>
      </c>
      <c r="J320" s="27">
        <f t="shared" si="67"/>
        <v>772</v>
      </c>
    </row>
    <row r="321" spans="1:10" s="106" customFormat="1" ht="12.75">
      <c r="A321" s="46">
        <v>2019</v>
      </c>
      <c r="B321" s="47" t="s">
        <v>41</v>
      </c>
      <c r="C321" s="35">
        <f t="shared" si="56"/>
        <v>0.83441324694024477</v>
      </c>
      <c r="D321" s="35">
        <f t="shared" si="57"/>
        <v>0.89967009509023865</v>
      </c>
      <c r="E321" s="35">
        <f t="shared" si="58"/>
        <v>0.92746580273578116</v>
      </c>
      <c r="F321" s="27">
        <v>5556</v>
      </c>
      <c r="G321" s="27">
        <f t="shared" si="68"/>
        <v>403</v>
      </c>
      <c r="H321" s="27">
        <v>5153</v>
      </c>
      <c r="I321" s="27">
        <v>4636</v>
      </c>
      <c r="J321" s="27">
        <f t="shared" si="67"/>
        <v>517</v>
      </c>
    </row>
    <row r="322" spans="1:10" s="106" customFormat="1" ht="12.75">
      <c r="A322" s="45">
        <v>2019</v>
      </c>
      <c r="B322" s="48" t="s">
        <v>42</v>
      </c>
      <c r="C322" s="35">
        <f t="shared" si="56"/>
        <v>0.75269003818118707</v>
      </c>
      <c r="D322" s="35">
        <f t="shared" si="57"/>
        <v>0.88347932369117943</v>
      </c>
      <c r="E322" s="35">
        <f t="shared" si="58"/>
        <v>0.85196112460951057</v>
      </c>
      <c r="F322" s="27">
        <v>5762</v>
      </c>
      <c r="G322" s="27">
        <f t="shared" si="68"/>
        <v>853</v>
      </c>
      <c r="H322" s="27">
        <v>4909</v>
      </c>
      <c r="I322" s="27">
        <v>4337</v>
      </c>
      <c r="J322" s="27">
        <f t="shared" si="67"/>
        <v>572</v>
      </c>
    </row>
    <row r="323" spans="1:10" s="106" customFormat="1" ht="12.75">
      <c r="A323" s="46">
        <v>2019</v>
      </c>
      <c r="B323" s="47" t="s">
        <v>43</v>
      </c>
      <c r="C323" s="35">
        <f t="shared" si="56"/>
        <v>0.77512839325018346</v>
      </c>
      <c r="D323" s="35">
        <f t="shared" si="57"/>
        <v>0.86297733306105784</v>
      </c>
      <c r="E323" s="35">
        <f t="shared" si="58"/>
        <v>0.89820249449743217</v>
      </c>
      <c r="F323" s="27">
        <v>5452</v>
      </c>
      <c r="G323" s="27">
        <f t="shared" si="68"/>
        <v>555</v>
      </c>
      <c r="H323" s="27">
        <v>4897</v>
      </c>
      <c r="I323" s="27">
        <v>4226</v>
      </c>
      <c r="J323" s="27">
        <f t="shared" si="67"/>
        <v>671</v>
      </c>
    </row>
    <row r="324" spans="1:10" s="106" customFormat="1" ht="12.75">
      <c r="A324" s="45">
        <v>2019</v>
      </c>
      <c r="B324" s="48" t="s">
        <v>44</v>
      </c>
      <c r="C324" s="35">
        <f t="shared" si="56"/>
        <v>0.5406888720666162</v>
      </c>
      <c r="D324" s="35">
        <f t="shared" si="57"/>
        <v>0.6598152424942263</v>
      </c>
      <c r="E324" s="35">
        <f t="shared" si="58"/>
        <v>0.81945495836487514</v>
      </c>
      <c r="F324" s="27">
        <v>5284</v>
      </c>
      <c r="G324" s="27">
        <f t="shared" si="68"/>
        <v>954</v>
      </c>
      <c r="H324" s="27">
        <v>4330</v>
      </c>
      <c r="I324" s="27">
        <v>2857</v>
      </c>
      <c r="J324" s="27">
        <f t="shared" si="67"/>
        <v>1473</v>
      </c>
    </row>
    <row r="325" spans="1:10" s="106" customFormat="1" ht="12.75">
      <c r="A325" s="46">
        <v>2019</v>
      </c>
      <c r="B325" s="47" t="s">
        <v>45</v>
      </c>
      <c r="C325" s="35">
        <f t="shared" si="56"/>
        <v>0.69177688326624498</v>
      </c>
      <c r="D325" s="35">
        <f t="shared" si="57"/>
        <v>0.75819327731092434</v>
      </c>
      <c r="E325" s="35">
        <f t="shared" si="58"/>
        <v>0.91240176346559321</v>
      </c>
      <c r="F325" s="27">
        <v>5217</v>
      </c>
      <c r="G325" s="27">
        <f t="shared" si="68"/>
        <v>457</v>
      </c>
      <c r="H325" s="27">
        <v>4760</v>
      </c>
      <c r="I325" s="27">
        <v>3609</v>
      </c>
      <c r="J325" s="27">
        <f t="shared" si="67"/>
        <v>1151</v>
      </c>
    </row>
    <row r="326" spans="1:10" s="106" customFormat="1" ht="12.75">
      <c r="A326" s="45">
        <v>2019</v>
      </c>
      <c r="B326" s="48" t="s">
        <v>46</v>
      </c>
      <c r="C326" s="35">
        <f t="shared" si="56"/>
        <v>0.72463485881207401</v>
      </c>
      <c r="D326" s="35">
        <f t="shared" si="57"/>
        <v>0.79457612641469144</v>
      </c>
      <c r="E326" s="35">
        <f t="shared" si="58"/>
        <v>0.91197663096397275</v>
      </c>
      <c r="F326" s="27">
        <v>5135</v>
      </c>
      <c r="G326" s="27">
        <f t="shared" si="68"/>
        <v>452</v>
      </c>
      <c r="H326" s="27">
        <v>4683</v>
      </c>
      <c r="I326" s="27">
        <v>3721</v>
      </c>
      <c r="J326" s="27">
        <f t="shared" si="67"/>
        <v>962</v>
      </c>
    </row>
    <row r="327" spans="1:10" s="106" customFormat="1" ht="12.75">
      <c r="A327" s="46">
        <v>2019</v>
      </c>
      <c r="B327" s="47" t="s">
        <v>47</v>
      </c>
      <c r="C327" s="35">
        <f t="shared" ref="C327:C333" si="69">I327/F327</f>
        <v>0.67431365174877778</v>
      </c>
      <c r="D327" s="35">
        <f t="shared" ref="D327:D333" si="70">I327/H327</f>
        <v>0.72503032753740393</v>
      </c>
      <c r="E327" s="35">
        <f t="shared" ref="E327:E333" si="71">H327/F327</f>
        <v>0.930048890560361</v>
      </c>
      <c r="F327" s="27">
        <v>5318</v>
      </c>
      <c r="G327" s="27">
        <f t="shared" si="68"/>
        <v>372</v>
      </c>
      <c r="H327" s="27">
        <v>4946</v>
      </c>
      <c r="I327" s="27">
        <v>3586</v>
      </c>
      <c r="J327" s="27">
        <f t="shared" si="67"/>
        <v>1360</v>
      </c>
    </row>
    <row r="328" spans="1:10" s="106" customFormat="1" ht="12.75">
      <c r="A328" s="45">
        <v>2019</v>
      </c>
      <c r="B328" s="48" t="s">
        <v>48</v>
      </c>
      <c r="C328" s="35">
        <f t="shared" si="69"/>
        <v>0.62142161635832527</v>
      </c>
      <c r="D328" s="35">
        <f t="shared" si="70"/>
        <v>0.68038379530916848</v>
      </c>
      <c r="E328" s="35">
        <f t="shared" si="71"/>
        <v>0.91333982473222974</v>
      </c>
      <c r="F328" s="27">
        <v>5135</v>
      </c>
      <c r="G328" s="27">
        <f t="shared" si="68"/>
        <v>445</v>
      </c>
      <c r="H328" s="27">
        <v>4690</v>
      </c>
      <c r="I328" s="27">
        <v>3191</v>
      </c>
      <c r="J328" s="27">
        <f t="shared" si="67"/>
        <v>1499</v>
      </c>
    </row>
    <row r="329" spans="1:10" s="106" customFormat="1" ht="12.75">
      <c r="A329" s="46">
        <v>2019</v>
      </c>
      <c r="B329" s="47" t="s">
        <v>49</v>
      </c>
      <c r="C329" s="35">
        <f t="shared" si="69"/>
        <v>0.65103868877453785</v>
      </c>
      <c r="D329" s="35">
        <f t="shared" si="70"/>
        <v>0.69459129727531521</v>
      </c>
      <c r="E329" s="35">
        <f t="shared" si="71"/>
        <v>0.9372975033352392</v>
      </c>
      <c r="F329" s="27">
        <v>5247</v>
      </c>
      <c r="G329" s="27">
        <f t="shared" si="68"/>
        <v>329</v>
      </c>
      <c r="H329" s="27">
        <v>4918</v>
      </c>
      <c r="I329" s="27">
        <v>3416</v>
      </c>
      <c r="J329" s="27">
        <f t="shared" si="67"/>
        <v>1502</v>
      </c>
    </row>
    <row r="330" spans="1:10" s="106" customFormat="1" ht="12.75">
      <c r="A330" s="50">
        <v>2020</v>
      </c>
      <c r="B330" s="53" t="s">
        <v>38</v>
      </c>
      <c r="C330" s="35">
        <f t="shared" si="69"/>
        <v>0.79428356525009403</v>
      </c>
      <c r="D330" s="35">
        <f t="shared" si="70"/>
        <v>0.82921083627797409</v>
      </c>
      <c r="E330" s="35">
        <f t="shared" si="71"/>
        <v>0.957878901842798</v>
      </c>
      <c r="F330" s="27">
        <v>5318</v>
      </c>
      <c r="G330" s="27">
        <f>+F330-H330</f>
        <v>224</v>
      </c>
      <c r="H330" s="27">
        <v>5094</v>
      </c>
      <c r="I330" s="27">
        <v>4224</v>
      </c>
      <c r="J330" s="27">
        <f t="shared" si="67"/>
        <v>870</v>
      </c>
    </row>
    <row r="331" spans="1:10" s="106" customFormat="1" ht="12.75">
      <c r="A331" s="51">
        <v>2020</v>
      </c>
      <c r="B331" s="54" t="s">
        <v>39</v>
      </c>
      <c r="C331" s="35">
        <f t="shared" si="69"/>
        <v>0.74964146691251787</v>
      </c>
      <c r="D331" s="35">
        <f t="shared" si="70"/>
        <v>0.79925731760594143</v>
      </c>
      <c r="E331" s="35">
        <f t="shared" si="71"/>
        <v>0.93792255685310388</v>
      </c>
      <c r="F331" s="27">
        <v>4881</v>
      </c>
      <c r="G331" s="27">
        <f t="shared" ref="G331:G333" si="72">F331-H331</f>
        <v>303</v>
      </c>
      <c r="H331" s="27">
        <v>4578</v>
      </c>
      <c r="I331" s="27">
        <v>3659</v>
      </c>
      <c r="J331" s="27">
        <f t="shared" si="67"/>
        <v>919</v>
      </c>
    </row>
    <row r="332" spans="1:10" s="106" customFormat="1" ht="12.75">
      <c r="A332" s="50">
        <v>2020</v>
      </c>
      <c r="B332" s="53" t="s">
        <v>40</v>
      </c>
      <c r="C332" s="35">
        <f t="shared" si="69"/>
        <v>0.61111111111111116</v>
      </c>
      <c r="D332" s="35">
        <f t="shared" si="70"/>
        <v>0.70967741935483875</v>
      </c>
      <c r="E332" s="35">
        <f t="shared" si="71"/>
        <v>0.86111111111111116</v>
      </c>
      <c r="F332" s="27">
        <v>4608</v>
      </c>
      <c r="G332" s="27">
        <f t="shared" si="72"/>
        <v>640</v>
      </c>
      <c r="H332" s="27">
        <v>3968</v>
      </c>
      <c r="I332" s="27">
        <v>2816</v>
      </c>
      <c r="J332" s="27">
        <f t="shared" si="67"/>
        <v>1152</v>
      </c>
    </row>
    <row r="333" spans="1:10" s="106" customFormat="1" ht="12.75">
      <c r="A333" s="114">
        <v>2020</v>
      </c>
      <c r="B333" s="115" t="s">
        <v>41</v>
      </c>
      <c r="C333" s="35">
        <f t="shared" si="69"/>
        <v>0.8</v>
      </c>
      <c r="D333" s="35">
        <f t="shared" si="70"/>
        <v>0.90444145356662176</v>
      </c>
      <c r="E333" s="35">
        <f t="shared" si="71"/>
        <v>0.88452380952380949</v>
      </c>
      <c r="F333" s="27">
        <v>3360</v>
      </c>
      <c r="G333" s="27">
        <f t="shared" si="72"/>
        <v>388</v>
      </c>
      <c r="H333" s="27">
        <v>2972</v>
      </c>
      <c r="I333" s="27">
        <v>2688</v>
      </c>
      <c r="J333" s="27">
        <f t="shared" si="67"/>
        <v>284</v>
      </c>
    </row>
    <row r="334" spans="1:10" s="106" customFormat="1" ht="12.75">
      <c r="A334" s="114">
        <v>2020</v>
      </c>
      <c r="B334" s="115" t="s">
        <v>42</v>
      </c>
      <c r="C334" s="35">
        <f t="shared" ref="C334:C339" si="73">I334/F334</f>
        <v>0.88594470046082952</v>
      </c>
      <c r="D334" s="35">
        <f t="shared" ref="D334:D339" si="74">I334/H334</f>
        <v>0.91547619047619044</v>
      </c>
      <c r="E334" s="35">
        <f t="shared" ref="E334:E339" si="75">H334/F334</f>
        <v>0.967741935483871</v>
      </c>
      <c r="F334" s="27">
        <v>3472</v>
      </c>
      <c r="G334" s="27">
        <f t="shared" ref="G334:G339" si="76">F334-H334</f>
        <v>112</v>
      </c>
      <c r="H334" s="27">
        <v>3360</v>
      </c>
      <c r="I334" s="27">
        <v>3076</v>
      </c>
      <c r="J334" s="27">
        <f t="shared" ref="J334:J339" si="77">H334-I334</f>
        <v>284</v>
      </c>
    </row>
    <row r="335" spans="1:10" s="106" customFormat="1" ht="12.75">
      <c r="A335" s="114">
        <v>2020</v>
      </c>
      <c r="B335" s="115" t="s">
        <v>43</v>
      </c>
      <c r="C335" s="101">
        <f t="shared" si="73"/>
        <v>0.81964285714285712</v>
      </c>
      <c r="D335" s="101">
        <f t="shared" si="74"/>
        <v>0.86278195488721809</v>
      </c>
      <c r="E335" s="101">
        <f t="shared" si="75"/>
        <v>0.95</v>
      </c>
      <c r="F335" s="56">
        <v>3360</v>
      </c>
      <c r="G335" s="56">
        <f t="shared" si="76"/>
        <v>168</v>
      </c>
      <c r="H335" s="56">
        <v>3192</v>
      </c>
      <c r="I335" s="56">
        <v>2754</v>
      </c>
      <c r="J335" s="56">
        <f t="shared" si="77"/>
        <v>438</v>
      </c>
    </row>
    <row r="336" spans="1:10" s="106" customFormat="1" ht="12.75">
      <c r="A336" s="114">
        <v>2020</v>
      </c>
      <c r="B336" s="106" t="s">
        <v>44</v>
      </c>
      <c r="C336" s="101">
        <f t="shared" si="73"/>
        <v>0.7589285714285714</v>
      </c>
      <c r="D336" s="101">
        <f t="shared" si="74"/>
        <v>0.91239612188365649</v>
      </c>
      <c r="E336" s="101">
        <f t="shared" si="75"/>
        <v>0.83179723502304148</v>
      </c>
      <c r="F336" s="56">
        <v>3472</v>
      </c>
      <c r="G336" s="56">
        <f t="shared" si="76"/>
        <v>584</v>
      </c>
      <c r="H336" s="56">
        <v>2888</v>
      </c>
      <c r="I336" s="56">
        <v>2635</v>
      </c>
      <c r="J336" s="56">
        <f t="shared" si="77"/>
        <v>253</v>
      </c>
    </row>
    <row r="337" spans="1:11" s="106" customFormat="1" ht="12.75">
      <c r="A337" s="106">
        <v>2020</v>
      </c>
      <c r="B337" s="106" t="s">
        <v>45</v>
      </c>
      <c r="C337" s="101">
        <f t="shared" si="73"/>
        <v>0.92050691244239635</v>
      </c>
      <c r="D337" s="101">
        <f t="shared" si="74"/>
        <v>0.93861967694566817</v>
      </c>
      <c r="E337" s="101">
        <f t="shared" si="75"/>
        <v>0.98070276497695852</v>
      </c>
      <c r="F337" s="56">
        <v>3472</v>
      </c>
      <c r="G337" s="56">
        <f t="shared" si="76"/>
        <v>67</v>
      </c>
      <c r="H337" s="56">
        <v>3405</v>
      </c>
      <c r="I337" s="56">
        <v>3196</v>
      </c>
      <c r="J337" s="56">
        <f t="shared" si="77"/>
        <v>209</v>
      </c>
    </row>
    <row r="338" spans="1:11" s="106" customFormat="1" ht="12.75">
      <c r="A338" s="106">
        <v>2020</v>
      </c>
      <c r="B338" s="106" t="s">
        <v>46</v>
      </c>
      <c r="C338" s="101">
        <f t="shared" si="73"/>
        <v>0.91428571428571426</v>
      </c>
      <c r="D338" s="101">
        <f t="shared" si="74"/>
        <v>0.93203883495145634</v>
      </c>
      <c r="E338" s="101">
        <f t="shared" si="75"/>
        <v>0.98095238095238091</v>
      </c>
      <c r="F338" s="56">
        <v>3360</v>
      </c>
      <c r="G338" s="56">
        <f t="shared" si="76"/>
        <v>64</v>
      </c>
      <c r="H338" s="56">
        <v>3296</v>
      </c>
      <c r="I338" s="56">
        <v>3072</v>
      </c>
      <c r="J338" s="56">
        <f t="shared" si="77"/>
        <v>224</v>
      </c>
    </row>
    <row r="339" spans="1:11" s="106" customFormat="1" ht="12.75">
      <c r="A339" s="106">
        <v>2020</v>
      </c>
      <c r="B339" s="106" t="s">
        <v>47</v>
      </c>
      <c r="C339" s="101">
        <f t="shared" si="73"/>
        <v>0.88248847926267282</v>
      </c>
      <c r="D339" s="101">
        <f t="shared" si="74"/>
        <v>0.9159940209267563</v>
      </c>
      <c r="E339" s="101">
        <f t="shared" si="75"/>
        <v>0.96342165898617516</v>
      </c>
      <c r="F339" s="56">
        <v>3472</v>
      </c>
      <c r="G339" s="56">
        <f t="shared" si="76"/>
        <v>127</v>
      </c>
      <c r="H339" s="56">
        <v>3345</v>
      </c>
      <c r="I339" s="56">
        <v>3064</v>
      </c>
      <c r="J339" s="56">
        <f t="shared" si="77"/>
        <v>281</v>
      </c>
    </row>
    <row r="340" spans="1:11" s="106" customFormat="1" ht="12.75">
      <c r="A340" s="114">
        <v>2020</v>
      </c>
      <c r="B340" s="115" t="s">
        <v>48</v>
      </c>
      <c r="C340" s="101">
        <f>I340/F340</f>
        <v>0.84851190476190474</v>
      </c>
      <c r="D340" s="101">
        <f>I340/H340</f>
        <v>0.88238935314144229</v>
      </c>
      <c r="E340" s="101">
        <f>H340/F340</f>
        <v>0.96160714285714288</v>
      </c>
      <c r="F340" s="56">
        <v>3360</v>
      </c>
      <c r="G340" s="56">
        <f t="shared" ref="G340:G349" si="78">F340-H340</f>
        <v>129</v>
      </c>
      <c r="H340" s="56">
        <v>3231</v>
      </c>
      <c r="I340" s="56">
        <v>2851</v>
      </c>
      <c r="J340" s="56">
        <f>H340-I340</f>
        <v>380</v>
      </c>
    </row>
    <row r="341" spans="1:11" s="106" customFormat="1" ht="12.75">
      <c r="A341" s="106">
        <v>2020</v>
      </c>
      <c r="B341" s="106" t="s">
        <v>49</v>
      </c>
      <c r="C341" s="101">
        <f>I341/F341</f>
        <v>0.79205069124423966</v>
      </c>
      <c r="D341" s="101">
        <f>I341/H341</f>
        <v>0.83867032631899974</v>
      </c>
      <c r="E341" s="101">
        <f>H341/F341</f>
        <v>0.94441244239631339</v>
      </c>
      <c r="F341" s="56">
        <v>3472</v>
      </c>
      <c r="G341" s="56">
        <f t="shared" si="78"/>
        <v>193</v>
      </c>
      <c r="H341" s="56">
        <v>3279</v>
      </c>
      <c r="I341" s="56">
        <v>2750</v>
      </c>
      <c r="J341" s="56">
        <f>H341-I341</f>
        <v>529</v>
      </c>
    </row>
    <row r="342" spans="1:11" s="106" customFormat="1" ht="12.75">
      <c r="A342" s="106">
        <v>2021</v>
      </c>
      <c r="B342" s="106" t="s">
        <v>38</v>
      </c>
      <c r="C342" s="101">
        <f t="shared" ref="C342:C343" si="79">I342/F342</f>
        <v>0.8482142857142857</v>
      </c>
      <c r="D342" s="101">
        <f t="shared" ref="D342:D343" si="80">I342/H342</f>
        <v>0.89188370684433682</v>
      </c>
      <c r="E342" s="101">
        <f t="shared" ref="E342:E343" si="81">H342/F342</f>
        <v>0.95103686635944695</v>
      </c>
      <c r="F342" s="56">
        <v>3472</v>
      </c>
      <c r="G342" s="56">
        <f t="shared" si="78"/>
        <v>170</v>
      </c>
      <c r="H342" s="56">
        <v>3302</v>
      </c>
      <c r="I342" s="56">
        <v>2945</v>
      </c>
      <c r="J342" s="56">
        <f t="shared" ref="J342:J343" si="82">H342-I342</f>
        <v>357</v>
      </c>
    </row>
    <row r="343" spans="1:11" s="106" customFormat="1" ht="12.75">
      <c r="A343" s="106">
        <v>2021</v>
      </c>
      <c r="B343" s="106" t="s">
        <v>39</v>
      </c>
      <c r="C343" s="101">
        <f t="shared" si="79"/>
        <v>0.87340561224489799</v>
      </c>
      <c r="D343" s="101">
        <f t="shared" si="80"/>
        <v>0.90039447731755429</v>
      </c>
      <c r="E343" s="101">
        <f t="shared" si="81"/>
        <v>0.97002551020408168</v>
      </c>
      <c r="F343" s="56">
        <v>3136</v>
      </c>
      <c r="G343" s="56">
        <f t="shared" si="78"/>
        <v>94</v>
      </c>
      <c r="H343" s="56">
        <v>3042</v>
      </c>
      <c r="I343" s="56">
        <v>2739</v>
      </c>
      <c r="J343" s="56">
        <f t="shared" si="82"/>
        <v>303</v>
      </c>
    </row>
    <row r="344" spans="1:11" s="146" customFormat="1" ht="15.75" customHeight="1">
      <c r="A344" s="106">
        <v>2021</v>
      </c>
      <c r="B344" s="106" t="s">
        <v>40</v>
      </c>
      <c r="C344" s="101">
        <f t="shared" ref="C344:C345" si="83">I344/F344</f>
        <v>0.83957373271889402</v>
      </c>
      <c r="D344" s="101">
        <f t="shared" ref="D344:D345" si="84">I344/H344</f>
        <v>0.87197128327849238</v>
      </c>
      <c r="E344" s="101">
        <f t="shared" ref="E344:E345" si="85">H344/F344</f>
        <v>0.96284562211981561</v>
      </c>
      <c r="F344" s="56">
        <v>3472</v>
      </c>
      <c r="G344" s="56">
        <f t="shared" si="78"/>
        <v>129</v>
      </c>
      <c r="H344" s="56">
        <v>3343</v>
      </c>
      <c r="I344" s="56">
        <v>2915</v>
      </c>
      <c r="J344" s="56">
        <f t="shared" ref="J344:J345" si="86">H344-I344</f>
        <v>428</v>
      </c>
      <c r="K344" s="106"/>
    </row>
    <row r="345" spans="1:11" s="106" customFormat="1" ht="12.75">
      <c r="A345" s="106">
        <v>2021</v>
      </c>
      <c r="B345" s="106" t="s">
        <v>41</v>
      </c>
      <c r="C345" s="101">
        <f t="shared" si="83"/>
        <v>0.85446428571428568</v>
      </c>
      <c r="D345" s="101">
        <f t="shared" si="84"/>
        <v>0.91374920432845319</v>
      </c>
      <c r="E345" s="101">
        <f t="shared" si="85"/>
        <v>0.93511904761904763</v>
      </c>
      <c r="F345" s="56">
        <v>3360</v>
      </c>
      <c r="G345" s="56">
        <f t="shared" si="78"/>
        <v>218</v>
      </c>
      <c r="H345" s="56">
        <v>3142</v>
      </c>
      <c r="I345" s="56">
        <v>2871</v>
      </c>
      <c r="J345" s="56">
        <f t="shared" si="86"/>
        <v>271</v>
      </c>
    </row>
    <row r="346" spans="1:11" s="106" customFormat="1" ht="12.75">
      <c r="A346" s="106">
        <v>2021</v>
      </c>
      <c r="B346" s="106" t="s">
        <v>42</v>
      </c>
      <c r="C346" s="101">
        <f t="shared" ref="C346:C347" si="87">I346/F346</f>
        <v>0.90351382488479259</v>
      </c>
      <c r="D346" s="101">
        <f t="shared" ref="D346:D347" si="88">I346/H346</f>
        <v>0.92810650887573964</v>
      </c>
      <c r="E346" s="101">
        <f t="shared" ref="E346:E347" si="89">H346/F346</f>
        <v>0.97350230414746541</v>
      </c>
      <c r="F346" s="56">
        <v>3472</v>
      </c>
      <c r="G346" s="56">
        <f t="shared" si="78"/>
        <v>92</v>
      </c>
      <c r="H346" s="56">
        <v>3380</v>
      </c>
      <c r="I346" s="56">
        <v>3137</v>
      </c>
      <c r="J346" s="56">
        <f t="shared" ref="J346:J347" si="90">H346-I346</f>
        <v>243</v>
      </c>
    </row>
    <row r="347" spans="1:11" s="106" customFormat="1" ht="12.75">
      <c r="A347" s="106">
        <v>2021</v>
      </c>
      <c r="B347" s="106" t="s">
        <v>43</v>
      </c>
      <c r="C347" s="101">
        <f t="shared" si="87"/>
        <v>0.89821428571428574</v>
      </c>
      <c r="D347" s="101">
        <f t="shared" si="88"/>
        <v>0.92321810951361272</v>
      </c>
      <c r="E347" s="101">
        <f t="shared" si="89"/>
        <v>0.97291666666666665</v>
      </c>
      <c r="F347" s="56">
        <v>3360</v>
      </c>
      <c r="G347" s="56">
        <f t="shared" si="78"/>
        <v>91</v>
      </c>
      <c r="H347" s="56">
        <v>3269</v>
      </c>
      <c r="I347" s="56">
        <v>3018</v>
      </c>
      <c r="J347" s="56">
        <f t="shared" si="90"/>
        <v>251</v>
      </c>
    </row>
    <row r="348" spans="1:11" s="106" customFormat="1" ht="15.75" customHeight="1">
      <c r="A348" s="106">
        <v>2021</v>
      </c>
      <c r="B348" s="106" t="s">
        <v>44</v>
      </c>
      <c r="C348" s="101">
        <f>I348/F348</f>
        <v>0.89141705069124422</v>
      </c>
      <c r="D348" s="101">
        <f>I348/H348</f>
        <v>0.92720191731575796</v>
      </c>
      <c r="E348" s="101">
        <f>H348/F348</f>
        <v>0.96140552995391704</v>
      </c>
      <c r="F348" s="56">
        <v>3472</v>
      </c>
      <c r="G348" s="56">
        <f t="shared" si="78"/>
        <v>134</v>
      </c>
      <c r="H348" s="56">
        <v>3338</v>
      </c>
      <c r="I348" s="56">
        <v>3095</v>
      </c>
      <c r="J348" s="56">
        <f>H348-I348</f>
        <v>243</v>
      </c>
    </row>
    <row r="349" spans="1:11" s="106" customFormat="1" ht="12.75">
      <c r="A349" s="106">
        <v>2021</v>
      </c>
      <c r="B349" s="106" t="s">
        <v>45</v>
      </c>
      <c r="C349" s="101">
        <f>I349/F349</f>
        <v>0.85829493087557607</v>
      </c>
      <c r="D349" s="101">
        <f>I349/H349</f>
        <v>0.8858501783590963</v>
      </c>
      <c r="E349" s="101">
        <f>H349/F349</f>
        <v>0.96889400921658986</v>
      </c>
      <c r="F349" s="56">
        <v>3472</v>
      </c>
      <c r="G349" s="56">
        <f t="shared" si="78"/>
        <v>108</v>
      </c>
      <c r="H349" s="56">
        <v>3364</v>
      </c>
      <c r="I349" s="56">
        <v>2980</v>
      </c>
      <c r="J349" s="56">
        <f>H349-I349</f>
        <v>384</v>
      </c>
    </row>
    <row r="350" spans="1:11">
      <c r="A350" s="6" t="s">
        <v>93</v>
      </c>
      <c r="B350" s="6"/>
      <c r="C350" s="122">
        <f>I350/F350</f>
        <v>0.82466203258536619</v>
      </c>
      <c r="D350" s="122">
        <f>I350/H350</f>
        <v>0.87495611598711254</v>
      </c>
      <c r="E350" s="122">
        <f>H350/F350</f>
        <v>0.94251816464531446</v>
      </c>
      <c r="F350" s="121">
        <f>SUBTOTAL(109,SM[Trenes Programados])</f>
        <v>1671241</v>
      </c>
      <c r="G350" s="121">
        <f>SUBTOTAL(109,SM[Trenes Cancelados])</f>
        <v>96066</v>
      </c>
      <c r="H350" s="121">
        <f>SUBTOTAL(109,SM[Trenes Corridos])</f>
        <v>1575175</v>
      </c>
      <c r="I350" s="121">
        <f>SUBTOTAL(109,SM[Trenes Puntuales])</f>
        <v>1378209</v>
      </c>
      <c r="J350" s="121">
        <f>SUBTOTAL(109,SM[Trenes Atrasados])</f>
        <v>197881</v>
      </c>
      <c r="K350" s="145">
        <f>SUBTOTAL(103,SM[Observaciones])</f>
        <v>1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21" orientation="portrait" horizontalDpi="4294967292" r:id="rId1"/>
  <headerFooter alignWithMargins="0">
    <oddHeader>&amp;C&amp;14Cumplimiento del Servicio de Trenes
Línea San Martín</oddHeader>
  </headerFooter>
  <ignoredErrors>
    <ignoredError sqref="G115:H330" calculatedColumn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pageSetUpPr fitToPage="1"/>
  </sheetPr>
  <dimension ref="A1:K350"/>
  <sheetViews>
    <sheetView showGridLines="0" zoomScale="80" zoomScaleNormal="80" workbookViewId="0">
      <pane ySplit="5" topLeftCell="A323" activePane="bottomLeft" state="frozen"/>
      <selection pane="bottomLeft" activeCell="G349" sqref="G349"/>
    </sheetView>
  </sheetViews>
  <sheetFormatPr baseColWidth="10" defaultColWidth="11.5546875" defaultRowHeight="15"/>
  <cols>
    <col min="1" max="1" width="7.109375" style="32" customWidth="1"/>
    <col min="2" max="10" width="8.77734375" style="32" customWidth="1"/>
    <col min="11" max="11" width="14" style="32" customWidth="1"/>
    <col min="12" max="16384" width="11.5546875" style="32"/>
  </cols>
  <sheetData>
    <row r="1" spans="1:11" s="70" customFormat="1" ht="20.25">
      <c r="A1" s="70" t="s">
        <v>7</v>
      </c>
    </row>
    <row r="2" spans="1:11" s="70" customFormat="1" ht="20.25">
      <c r="A2" s="70" t="s">
        <v>2</v>
      </c>
    </row>
    <row r="3" spans="1:11" s="75" customFormat="1" ht="15.75">
      <c r="A3" s="85" t="s">
        <v>22</v>
      </c>
      <c r="B3" s="72"/>
      <c r="C3" s="72"/>
      <c r="D3" s="72"/>
      <c r="E3" s="72"/>
      <c r="F3" s="72"/>
      <c r="G3" s="72"/>
      <c r="H3" s="72"/>
      <c r="I3" s="72"/>
    </row>
    <row r="4" spans="1:11" s="29" customFormat="1" ht="12.75">
      <c r="B4" s="80"/>
      <c r="C4" s="24"/>
      <c r="D4" s="24"/>
      <c r="E4" s="24"/>
      <c r="F4" s="24"/>
      <c r="G4" s="24"/>
      <c r="H4" s="24"/>
      <c r="I4" s="24"/>
      <c r="J4" s="24"/>
    </row>
    <row r="5" spans="1:11" s="29" customFormat="1" ht="38.25">
      <c r="A5" s="78" t="s">
        <v>34</v>
      </c>
      <c r="B5" s="78" t="s">
        <v>33</v>
      </c>
      <c r="C5" s="78" t="s">
        <v>8</v>
      </c>
      <c r="D5" s="78" t="s">
        <v>10</v>
      </c>
      <c r="E5" s="78" t="s">
        <v>9</v>
      </c>
      <c r="F5" s="78" t="s">
        <v>54</v>
      </c>
      <c r="G5" s="78" t="s">
        <v>55</v>
      </c>
      <c r="H5" s="78" t="s">
        <v>27</v>
      </c>
      <c r="I5" s="78" t="s">
        <v>56</v>
      </c>
      <c r="J5" s="78" t="s">
        <v>57</v>
      </c>
      <c r="K5" s="78" t="s">
        <v>36</v>
      </c>
    </row>
    <row r="6" spans="1:11" s="29" customFormat="1" ht="12.75">
      <c r="A6" s="81">
        <v>1993</v>
      </c>
      <c r="B6" s="82" t="s">
        <v>38</v>
      </c>
      <c r="C6" s="101">
        <f t="shared" ref="C6" si="0">I6/F6</f>
        <v>0.80222602739726023</v>
      </c>
      <c r="D6" s="101">
        <f t="shared" ref="D6" si="1">I6/H6</f>
        <v>0.94423916694659049</v>
      </c>
      <c r="E6" s="101">
        <f t="shared" ref="E6" si="2">H6/F6</f>
        <v>0.84960045662100458</v>
      </c>
      <c r="F6" s="20">
        <v>3504</v>
      </c>
      <c r="G6" s="20">
        <f t="shared" ref="G6:G17" si="3">F6-H6</f>
        <v>527</v>
      </c>
      <c r="H6" s="20">
        <v>2977</v>
      </c>
      <c r="I6" s="20">
        <v>2811</v>
      </c>
      <c r="J6" s="20">
        <f t="shared" ref="J6:J17" si="4">H6-I6</f>
        <v>166</v>
      </c>
    </row>
    <row r="7" spans="1:11" s="29" customFormat="1" ht="12.75">
      <c r="A7" s="81">
        <v>1993</v>
      </c>
      <c r="B7" s="82" t="s">
        <v>39</v>
      </c>
      <c r="C7" s="101">
        <f t="shared" ref="C7:C70" si="5">I7/F7</f>
        <v>0.89221364221364219</v>
      </c>
      <c r="D7" s="101">
        <f t="shared" ref="D7:D70" si="6">I7/H7</f>
        <v>0.96251301631377995</v>
      </c>
      <c r="E7" s="101">
        <f t="shared" ref="E7:E70" si="7">H7/F7</f>
        <v>0.92696267696267698</v>
      </c>
      <c r="F7" s="20">
        <v>3108</v>
      </c>
      <c r="G7" s="20">
        <f t="shared" si="3"/>
        <v>227</v>
      </c>
      <c r="H7" s="20">
        <v>2881</v>
      </c>
      <c r="I7" s="20">
        <v>2773</v>
      </c>
      <c r="J7" s="20">
        <f t="shared" si="4"/>
        <v>108</v>
      </c>
    </row>
    <row r="8" spans="1:11" s="29" customFormat="1" ht="12.75">
      <c r="A8" s="81">
        <v>1993</v>
      </c>
      <c r="B8" s="82" t="s">
        <v>40</v>
      </c>
      <c r="C8" s="101">
        <f t="shared" si="5"/>
        <v>0.92718867379370129</v>
      </c>
      <c r="D8" s="101">
        <f t="shared" si="6"/>
        <v>0.9756764974156279</v>
      </c>
      <c r="E8" s="101">
        <f t="shared" si="7"/>
        <v>0.95030338052585961</v>
      </c>
      <c r="F8" s="20">
        <v>3461</v>
      </c>
      <c r="G8" s="20">
        <f t="shared" si="3"/>
        <v>172</v>
      </c>
      <c r="H8" s="20">
        <v>3289</v>
      </c>
      <c r="I8" s="20">
        <v>3209</v>
      </c>
      <c r="J8" s="20">
        <f t="shared" si="4"/>
        <v>80</v>
      </c>
    </row>
    <row r="9" spans="1:11" s="29" customFormat="1" ht="12.75">
      <c r="A9" s="81">
        <v>1993</v>
      </c>
      <c r="B9" s="82" t="s">
        <v>41</v>
      </c>
      <c r="C9" s="101">
        <f t="shared" si="5"/>
        <v>0.85922330097087374</v>
      </c>
      <c r="D9" s="101">
        <f t="shared" si="6"/>
        <v>0.95675675675675675</v>
      </c>
      <c r="E9" s="101">
        <f t="shared" si="7"/>
        <v>0.89805825242718451</v>
      </c>
      <c r="F9" s="20">
        <v>3296</v>
      </c>
      <c r="G9" s="20">
        <f t="shared" si="3"/>
        <v>336</v>
      </c>
      <c r="H9" s="20">
        <v>2960</v>
      </c>
      <c r="I9" s="20">
        <v>2832</v>
      </c>
      <c r="J9" s="20">
        <f t="shared" si="4"/>
        <v>128</v>
      </c>
    </row>
    <row r="10" spans="1:11" s="29" customFormat="1" ht="12.75">
      <c r="A10" s="81">
        <v>1993</v>
      </c>
      <c r="B10" s="82" t="s">
        <v>42</v>
      </c>
      <c r="C10" s="101">
        <f t="shared" si="5"/>
        <v>0.89900512511305397</v>
      </c>
      <c r="D10" s="101">
        <f t="shared" si="6"/>
        <v>0.96504854368932036</v>
      </c>
      <c r="E10" s="101">
        <f t="shared" si="7"/>
        <v>0.93156466686765149</v>
      </c>
      <c r="F10" s="20">
        <v>3317</v>
      </c>
      <c r="G10" s="20">
        <f t="shared" si="3"/>
        <v>227</v>
      </c>
      <c r="H10" s="20">
        <v>3090</v>
      </c>
      <c r="I10" s="20">
        <v>2982</v>
      </c>
      <c r="J10" s="20">
        <f t="shared" si="4"/>
        <v>108</v>
      </c>
    </row>
    <row r="11" spans="1:11" s="29" customFormat="1" ht="12.75">
      <c r="A11" s="81">
        <v>1993</v>
      </c>
      <c r="B11" s="82" t="s">
        <v>43</v>
      </c>
      <c r="C11" s="101">
        <f t="shared" si="5"/>
        <v>0.74855929632999696</v>
      </c>
      <c r="D11" s="101">
        <f t="shared" si="6"/>
        <v>0.92296185489902771</v>
      </c>
      <c r="E11" s="101">
        <f t="shared" si="7"/>
        <v>0.81104033970276013</v>
      </c>
      <c r="F11" s="20">
        <v>3297</v>
      </c>
      <c r="G11" s="20">
        <f t="shared" si="3"/>
        <v>623</v>
      </c>
      <c r="H11" s="20">
        <v>2674</v>
      </c>
      <c r="I11" s="20">
        <v>2468</v>
      </c>
      <c r="J11" s="20">
        <f t="shared" si="4"/>
        <v>206</v>
      </c>
    </row>
    <row r="12" spans="1:11" s="29" customFormat="1" ht="12.75">
      <c r="A12" s="81">
        <v>1993</v>
      </c>
      <c r="B12" s="82" t="s">
        <v>44</v>
      </c>
      <c r="C12" s="101">
        <f t="shared" si="5"/>
        <v>0.79671939074399534</v>
      </c>
      <c r="D12" s="101">
        <f t="shared" si="6"/>
        <v>0.90878717006348142</v>
      </c>
      <c r="E12" s="101">
        <f t="shared" si="7"/>
        <v>0.8766842413591095</v>
      </c>
      <c r="F12" s="20">
        <v>3414</v>
      </c>
      <c r="G12" s="20">
        <f t="shared" si="3"/>
        <v>421</v>
      </c>
      <c r="H12" s="20">
        <v>2993</v>
      </c>
      <c r="I12" s="20">
        <v>2720</v>
      </c>
      <c r="J12" s="20">
        <f t="shared" si="4"/>
        <v>273</v>
      </c>
    </row>
    <row r="13" spans="1:11" s="29" customFormat="1" ht="12.75">
      <c r="A13" s="81">
        <v>1993</v>
      </c>
      <c r="B13" s="82" t="s">
        <v>45</v>
      </c>
      <c r="C13" s="101">
        <f t="shared" si="5"/>
        <v>0.81660692951015534</v>
      </c>
      <c r="D13" s="101">
        <f t="shared" si="6"/>
        <v>0.9395189003436426</v>
      </c>
      <c r="E13" s="101">
        <f t="shared" si="7"/>
        <v>0.86917562724014341</v>
      </c>
      <c r="F13" s="20">
        <v>3348</v>
      </c>
      <c r="G13" s="20">
        <f t="shared" si="3"/>
        <v>438</v>
      </c>
      <c r="H13" s="20">
        <v>2910</v>
      </c>
      <c r="I13" s="20">
        <v>2734</v>
      </c>
      <c r="J13" s="20">
        <f t="shared" si="4"/>
        <v>176</v>
      </c>
    </row>
    <row r="14" spans="1:11" s="29" customFormat="1" ht="12.75">
      <c r="A14" s="81">
        <v>1993</v>
      </c>
      <c r="B14" s="82" t="s">
        <v>46</v>
      </c>
      <c r="C14" s="101">
        <f t="shared" si="5"/>
        <v>0.81730148482892184</v>
      </c>
      <c r="D14" s="101">
        <f t="shared" si="6"/>
        <v>0.91507047343693526</v>
      </c>
      <c r="E14" s="101">
        <f t="shared" si="7"/>
        <v>0.89315687540348609</v>
      </c>
      <c r="F14" s="20">
        <v>3098</v>
      </c>
      <c r="G14" s="20">
        <f t="shared" si="3"/>
        <v>331</v>
      </c>
      <c r="H14" s="20">
        <v>2767</v>
      </c>
      <c r="I14" s="20">
        <v>2532</v>
      </c>
      <c r="J14" s="20">
        <f t="shared" si="4"/>
        <v>235</v>
      </c>
    </row>
    <row r="15" spans="1:11" s="29" customFormat="1" ht="12.75">
      <c r="A15" s="81">
        <v>1993</v>
      </c>
      <c r="B15" s="82" t="s">
        <v>47</v>
      </c>
      <c r="C15" s="101">
        <f t="shared" si="5"/>
        <v>0.86561898652982683</v>
      </c>
      <c r="D15" s="101">
        <f t="shared" si="6"/>
        <v>0.95777146912704048</v>
      </c>
      <c r="E15" s="101">
        <f t="shared" si="7"/>
        <v>0.90378447722899291</v>
      </c>
      <c r="F15" s="20">
        <v>3118</v>
      </c>
      <c r="G15" s="20">
        <f t="shared" si="3"/>
        <v>300</v>
      </c>
      <c r="H15" s="20">
        <v>2818</v>
      </c>
      <c r="I15" s="20">
        <v>2699</v>
      </c>
      <c r="J15" s="20">
        <f t="shared" si="4"/>
        <v>119</v>
      </c>
    </row>
    <row r="16" spans="1:11" s="29" customFormat="1" ht="12.75">
      <c r="A16" s="81">
        <v>1993</v>
      </c>
      <c r="B16" s="82" t="s">
        <v>48</v>
      </c>
      <c r="C16" s="101">
        <f t="shared" si="5"/>
        <v>0.88554801163918528</v>
      </c>
      <c r="D16" s="101">
        <f t="shared" si="6"/>
        <v>0.96818663838812302</v>
      </c>
      <c r="E16" s="101">
        <f t="shared" si="7"/>
        <v>0.91464597478176524</v>
      </c>
      <c r="F16" s="20">
        <v>3093</v>
      </c>
      <c r="G16" s="20">
        <f t="shared" si="3"/>
        <v>264</v>
      </c>
      <c r="H16" s="20">
        <v>2829</v>
      </c>
      <c r="I16" s="20">
        <v>2739</v>
      </c>
      <c r="J16" s="20">
        <f t="shared" si="4"/>
        <v>90</v>
      </c>
    </row>
    <row r="17" spans="1:10" s="29" customFormat="1" ht="12.75">
      <c r="A17" s="81">
        <v>1993</v>
      </c>
      <c r="B17" s="82" t="s">
        <v>49</v>
      </c>
      <c r="C17" s="101">
        <f t="shared" si="5"/>
        <v>0.87816455696202533</v>
      </c>
      <c r="D17" s="101">
        <f t="shared" si="6"/>
        <v>0.97163865546218486</v>
      </c>
      <c r="E17" s="101">
        <f t="shared" si="7"/>
        <v>0.90379746835443042</v>
      </c>
      <c r="F17" s="20">
        <v>3160</v>
      </c>
      <c r="G17" s="20">
        <f t="shared" si="3"/>
        <v>304</v>
      </c>
      <c r="H17" s="20">
        <v>2856</v>
      </c>
      <c r="I17" s="20">
        <v>2775</v>
      </c>
      <c r="J17" s="20">
        <f t="shared" si="4"/>
        <v>81</v>
      </c>
    </row>
    <row r="18" spans="1:10" s="29" customFormat="1" ht="12.75">
      <c r="A18" s="81">
        <v>1994</v>
      </c>
      <c r="B18" s="82" t="s">
        <v>38</v>
      </c>
      <c r="C18" s="101">
        <f t="shared" si="5"/>
        <v>0.85397946084724008</v>
      </c>
      <c r="D18" s="101">
        <f t="shared" si="6"/>
        <v>0.94529307282415631</v>
      </c>
      <c r="E18" s="101">
        <f t="shared" si="7"/>
        <v>0.90340179717586655</v>
      </c>
      <c r="F18" s="20">
        <v>3116</v>
      </c>
      <c r="G18" s="20">
        <f>275+26</f>
        <v>301</v>
      </c>
      <c r="H18" s="20">
        <v>2815</v>
      </c>
      <c r="I18" s="20">
        <v>2661</v>
      </c>
      <c r="J18" s="20">
        <f t="shared" ref="J18:J29" si="8">H18-I18</f>
        <v>154</v>
      </c>
    </row>
    <row r="19" spans="1:10" s="29" customFormat="1" ht="12.75">
      <c r="A19" s="81">
        <v>1994</v>
      </c>
      <c r="B19" s="82" t="s">
        <v>39</v>
      </c>
      <c r="C19" s="101">
        <f t="shared" si="5"/>
        <v>0.88664812239221136</v>
      </c>
      <c r="D19" s="101">
        <f t="shared" si="6"/>
        <v>0.97254004576659037</v>
      </c>
      <c r="E19" s="101">
        <f t="shared" si="7"/>
        <v>0.91168289290681503</v>
      </c>
      <c r="F19" s="20">
        <v>2876</v>
      </c>
      <c r="G19" s="20">
        <v>254</v>
      </c>
      <c r="H19" s="20">
        <v>2622</v>
      </c>
      <c r="I19" s="20">
        <v>2550</v>
      </c>
      <c r="J19" s="20">
        <f t="shared" si="8"/>
        <v>72</v>
      </c>
    </row>
    <row r="20" spans="1:10" s="29" customFormat="1" ht="12.75">
      <c r="A20" s="81">
        <v>1994</v>
      </c>
      <c r="B20" s="82" t="s">
        <v>40</v>
      </c>
      <c r="C20" s="101">
        <f t="shared" si="5"/>
        <v>0.79893849516078674</v>
      </c>
      <c r="D20" s="101">
        <f t="shared" si="6"/>
        <v>0.95806813927368029</v>
      </c>
      <c r="E20" s="101">
        <f t="shared" si="7"/>
        <v>0.83390571339369346</v>
      </c>
      <c r="F20" s="20">
        <v>3203</v>
      </c>
      <c r="G20" s="20">
        <v>532</v>
      </c>
      <c r="H20" s="20">
        <v>2671</v>
      </c>
      <c r="I20" s="20">
        <v>2559</v>
      </c>
      <c r="J20" s="20">
        <f t="shared" si="8"/>
        <v>112</v>
      </c>
    </row>
    <row r="21" spans="1:10" s="29" customFormat="1" ht="12.75">
      <c r="A21" s="81">
        <v>1994</v>
      </c>
      <c r="B21" s="82" t="s">
        <v>41</v>
      </c>
      <c r="C21" s="101">
        <f t="shared" si="5"/>
        <v>0.8110898661567878</v>
      </c>
      <c r="D21" s="101">
        <f t="shared" si="6"/>
        <v>0.91147400085947572</v>
      </c>
      <c r="E21" s="101">
        <f t="shared" si="7"/>
        <v>0.88986615678776293</v>
      </c>
      <c r="F21" s="20">
        <v>2615</v>
      </c>
      <c r="G21" s="20">
        <v>288</v>
      </c>
      <c r="H21" s="20">
        <v>2327</v>
      </c>
      <c r="I21" s="20">
        <v>2121</v>
      </c>
      <c r="J21" s="20">
        <f t="shared" si="8"/>
        <v>206</v>
      </c>
    </row>
    <row r="22" spans="1:10" s="29" customFormat="1" ht="12.75">
      <c r="A22" s="81">
        <v>1994</v>
      </c>
      <c r="B22" s="82" t="s">
        <v>42</v>
      </c>
      <c r="C22" s="101">
        <f t="shared" si="5"/>
        <v>0.89234042553191484</v>
      </c>
      <c r="D22" s="101">
        <f t="shared" si="6"/>
        <v>0.96591432519576237</v>
      </c>
      <c r="E22" s="101">
        <f t="shared" si="7"/>
        <v>0.92382978723404252</v>
      </c>
      <c r="F22" s="20">
        <v>2350</v>
      </c>
      <c r="G22" s="20">
        <v>179</v>
      </c>
      <c r="H22" s="20">
        <v>2171</v>
      </c>
      <c r="I22" s="20">
        <v>2097</v>
      </c>
      <c r="J22" s="20">
        <f t="shared" si="8"/>
        <v>74</v>
      </c>
    </row>
    <row r="23" spans="1:10" s="29" customFormat="1" ht="12.75">
      <c r="A23" s="81">
        <v>1994</v>
      </c>
      <c r="B23" s="82" t="s">
        <v>43</v>
      </c>
      <c r="C23" s="101">
        <f t="shared" si="5"/>
        <v>0.93061840120663653</v>
      </c>
      <c r="D23" s="101">
        <f t="shared" si="6"/>
        <v>0.97742574257425741</v>
      </c>
      <c r="E23" s="101">
        <f t="shared" si="7"/>
        <v>0.95211161387631971</v>
      </c>
      <c r="F23" s="20">
        <v>2652</v>
      </c>
      <c r="G23" s="20">
        <f t="shared" ref="G23:G29" si="9">F23-H23</f>
        <v>127</v>
      </c>
      <c r="H23" s="20">
        <v>2525</v>
      </c>
      <c r="I23" s="20">
        <v>2468</v>
      </c>
      <c r="J23" s="20">
        <f t="shared" si="8"/>
        <v>57</v>
      </c>
    </row>
    <row r="24" spans="1:10" s="29" customFormat="1" ht="12.75">
      <c r="A24" s="81">
        <v>1994</v>
      </c>
      <c r="B24" s="82" t="s">
        <v>44</v>
      </c>
      <c r="C24" s="101">
        <f t="shared" si="5"/>
        <v>0.92700729927007297</v>
      </c>
      <c r="D24" s="101">
        <f t="shared" si="6"/>
        <v>0.97355308547336139</v>
      </c>
      <c r="E24" s="101">
        <f t="shared" si="7"/>
        <v>0.95218978102189777</v>
      </c>
      <c r="F24" s="20">
        <v>2740</v>
      </c>
      <c r="G24" s="20">
        <f t="shared" si="9"/>
        <v>131</v>
      </c>
      <c r="H24" s="20">
        <v>2609</v>
      </c>
      <c r="I24" s="20">
        <v>2540</v>
      </c>
      <c r="J24" s="20">
        <f t="shared" si="8"/>
        <v>69</v>
      </c>
    </row>
    <row r="25" spans="1:10" s="29" customFormat="1" ht="12.75">
      <c r="A25" s="81">
        <v>1994</v>
      </c>
      <c r="B25" s="82" t="s">
        <v>45</v>
      </c>
      <c r="C25" s="101">
        <f t="shared" si="5"/>
        <v>0.94546767786204411</v>
      </c>
      <c r="D25" s="101">
        <f t="shared" si="6"/>
        <v>0.96427255985267035</v>
      </c>
      <c r="E25" s="101">
        <f t="shared" si="7"/>
        <v>0.98049837486457203</v>
      </c>
      <c r="F25" s="20">
        <v>2769</v>
      </c>
      <c r="G25" s="20">
        <f t="shared" si="9"/>
        <v>54</v>
      </c>
      <c r="H25" s="20">
        <v>2715</v>
      </c>
      <c r="I25" s="20">
        <v>2618</v>
      </c>
      <c r="J25" s="20">
        <f t="shared" si="8"/>
        <v>97</v>
      </c>
    </row>
    <row r="26" spans="1:10" s="29" customFormat="1" ht="12.75">
      <c r="A26" s="81">
        <v>1994</v>
      </c>
      <c r="B26" s="82" t="s">
        <v>46</v>
      </c>
      <c r="C26" s="101">
        <f t="shared" si="5"/>
        <v>0.94970414201183428</v>
      </c>
      <c r="D26" s="101">
        <f t="shared" si="6"/>
        <v>0.97052154195011342</v>
      </c>
      <c r="E26" s="101">
        <f t="shared" si="7"/>
        <v>0.97855029585798814</v>
      </c>
      <c r="F26" s="20">
        <v>2704</v>
      </c>
      <c r="G26" s="20">
        <f t="shared" si="9"/>
        <v>58</v>
      </c>
      <c r="H26" s="20">
        <v>2646</v>
      </c>
      <c r="I26" s="20">
        <v>2568</v>
      </c>
      <c r="J26" s="20">
        <f t="shared" si="8"/>
        <v>78</v>
      </c>
    </row>
    <row r="27" spans="1:10" s="29" customFormat="1" ht="12.75">
      <c r="A27" s="81">
        <v>1994</v>
      </c>
      <c r="B27" s="82" t="s">
        <v>47</v>
      </c>
      <c r="C27" s="101">
        <f t="shared" si="5"/>
        <v>0.98029916089018609</v>
      </c>
      <c r="D27" s="101">
        <f t="shared" si="6"/>
        <v>0.98786764705882357</v>
      </c>
      <c r="E27" s="101">
        <f t="shared" si="7"/>
        <v>0.99233856256840569</v>
      </c>
      <c r="F27" s="20">
        <v>2741</v>
      </c>
      <c r="G27" s="20">
        <f t="shared" si="9"/>
        <v>21</v>
      </c>
      <c r="H27" s="20">
        <v>2720</v>
      </c>
      <c r="I27" s="20">
        <v>2687</v>
      </c>
      <c r="J27" s="20">
        <f t="shared" si="8"/>
        <v>33</v>
      </c>
    </row>
    <row r="28" spans="1:10" s="29" customFormat="1" ht="12.75">
      <c r="A28" s="81">
        <v>1994</v>
      </c>
      <c r="B28" s="82" t="s">
        <v>48</v>
      </c>
      <c r="C28" s="101">
        <f t="shared" si="5"/>
        <v>0.93676035502958577</v>
      </c>
      <c r="D28" s="101">
        <f t="shared" si="6"/>
        <v>0.94797904191616766</v>
      </c>
      <c r="E28" s="101">
        <f t="shared" si="7"/>
        <v>0.98816568047337283</v>
      </c>
      <c r="F28" s="20">
        <v>2704</v>
      </c>
      <c r="G28" s="20">
        <f t="shared" si="9"/>
        <v>32</v>
      </c>
      <c r="H28" s="20">
        <v>2672</v>
      </c>
      <c r="I28" s="20">
        <v>2533</v>
      </c>
      <c r="J28" s="20">
        <f t="shared" si="8"/>
        <v>139</v>
      </c>
    </row>
    <row r="29" spans="1:10" s="29" customFormat="1" ht="12.75">
      <c r="A29" s="81">
        <v>1994</v>
      </c>
      <c r="B29" s="82" t="s">
        <v>49</v>
      </c>
      <c r="C29" s="101">
        <f t="shared" si="5"/>
        <v>0.95710059171597628</v>
      </c>
      <c r="D29" s="101">
        <f t="shared" si="6"/>
        <v>0.97513187641296162</v>
      </c>
      <c r="E29" s="101">
        <f t="shared" si="7"/>
        <v>0.98150887573964496</v>
      </c>
      <c r="F29" s="20">
        <v>2704</v>
      </c>
      <c r="G29" s="20">
        <f t="shared" si="9"/>
        <v>50</v>
      </c>
      <c r="H29" s="20">
        <v>2654</v>
      </c>
      <c r="I29" s="20">
        <v>2588</v>
      </c>
      <c r="J29" s="20">
        <f t="shared" si="8"/>
        <v>66</v>
      </c>
    </row>
    <row r="30" spans="1:10" s="29" customFormat="1" ht="12.75">
      <c r="A30" s="81">
        <v>1995</v>
      </c>
      <c r="B30" s="82" t="s">
        <v>38</v>
      </c>
      <c r="C30" s="101">
        <f t="shared" si="5"/>
        <v>0.96782544378698221</v>
      </c>
      <c r="D30" s="101">
        <f t="shared" si="6"/>
        <v>0.97795216741405078</v>
      </c>
      <c r="E30" s="101">
        <f t="shared" si="7"/>
        <v>0.98964497041420119</v>
      </c>
      <c r="F30" s="20">
        <v>2704</v>
      </c>
      <c r="G30" s="20">
        <f t="shared" ref="G30:G41" si="10">F30-H30</f>
        <v>28</v>
      </c>
      <c r="H30" s="20">
        <v>2676</v>
      </c>
      <c r="I30" s="20">
        <v>2617</v>
      </c>
      <c r="J30" s="20">
        <f t="shared" ref="J30:J41" si="11">H30-I30</f>
        <v>59</v>
      </c>
    </row>
    <row r="31" spans="1:10" s="29" customFormat="1" ht="12.75">
      <c r="A31" s="81">
        <v>1995</v>
      </c>
      <c r="B31" s="82" t="s">
        <v>39</v>
      </c>
      <c r="C31" s="101">
        <f t="shared" si="5"/>
        <v>0.97575516693163755</v>
      </c>
      <c r="D31" s="101">
        <f t="shared" si="6"/>
        <v>0.98713309207880984</v>
      </c>
      <c r="E31" s="101">
        <f t="shared" si="7"/>
        <v>0.98847376788553254</v>
      </c>
      <c r="F31" s="20">
        <v>2516</v>
      </c>
      <c r="G31" s="20">
        <f t="shared" si="10"/>
        <v>29</v>
      </c>
      <c r="H31" s="20">
        <v>2487</v>
      </c>
      <c r="I31" s="20">
        <v>2455</v>
      </c>
      <c r="J31" s="20">
        <f t="shared" si="11"/>
        <v>32</v>
      </c>
    </row>
    <row r="32" spans="1:10" s="29" customFormat="1" ht="12.75">
      <c r="A32" s="81">
        <v>1995</v>
      </c>
      <c r="B32" s="82" t="s">
        <v>40</v>
      </c>
      <c r="C32" s="101">
        <f t="shared" si="5"/>
        <v>0.95913107511045659</v>
      </c>
      <c r="D32" s="101">
        <f t="shared" si="6"/>
        <v>0.98413298073290523</v>
      </c>
      <c r="E32" s="101">
        <f t="shared" si="7"/>
        <v>0.97459499263622973</v>
      </c>
      <c r="F32" s="20">
        <v>2716</v>
      </c>
      <c r="G32" s="20">
        <f t="shared" si="10"/>
        <v>69</v>
      </c>
      <c r="H32" s="20">
        <v>2647</v>
      </c>
      <c r="I32" s="20">
        <v>2605</v>
      </c>
      <c r="J32" s="20">
        <f t="shared" si="11"/>
        <v>42</v>
      </c>
    </row>
    <row r="33" spans="1:10" s="29" customFormat="1" ht="12.75">
      <c r="A33" s="81">
        <v>1995</v>
      </c>
      <c r="B33" s="82" t="s">
        <v>41</v>
      </c>
      <c r="C33" s="101">
        <f t="shared" si="5"/>
        <v>0.95901145268233878</v>
      </c>
      <c r="D33" s="101">
        <f t="shared" si="6"/>
        <v>0.97249388753056232</v>
      </c>
      <c r="E33" s="101">
        <f t="shared" si="7"/>
        <v>0.98613622664255574</v>
      </c>
      <c r="F33" s="20">
        <v>3318</v>
      </c>
      <c r="G33" s="20">
        <f t="shared" si="10"/>
        <v>46</v>
      </c>
      <c r="H33" s="20">
        <v>3272</v>
      </c>
      <c r="I33" s="20">
        <v>3182</v>
      </c>
      <c r="J33" s="20">
        <f t="shared" si="11"/>
        <v>90</v>
      </c>
    </row>
    <row r="34" spans="1:10" s="29" customFormat="1" ht="12.75">
      <c r="A34" s="81">
        <v>1995</v>
      </c>
      <c r="B34" s="82" t="s">
        <v>42</v>
      </c>
      <c r="C34" s="101">
        <f t="shared" si="5"/>
        <v>0.97502937720329019</v>
      </c>
      <c r="D34" s="101">
        <f t="shared" si="6"/>
        <v>0.98079196217494091</v>
      </c>
      <c r="E34" s="101">
        <f t="shared" si="7"/>
        <v>0.99412455934195065</v>
      </c>
      <c r="F34" s="20">
        <v>3404</v>
      </c>
      <c r="G34" s="20">
        <f t="shared" si="10"/>
        <v>20</v>
      </c>
      <c r="H34" s="20">
        <v>3384</v>
      </c>
      <c r="I34" s="20">
        <v>3319</v>
      </c>
      <c r="J34" s="20">
        <f t="shared" si="11"/>
        <v>65</v>
      </c>
    </row>
    <row r="35" spans="1:10" s="29" customFormat="1" ht="12.75">
      <c r="A35" s="81">
        <v>1995</v>
      </c>
      <c r="B35" s="82" t="s">
        <v>43</v>
      </c>
      <c r="C35" s="101">
        <f t="shared" si="5"/>
        <v>0.95711678832116787</v>
      </c>
      <c r="D35" s="101">
        <f t="shared" si="6"/>
        <v>0.97009864364981502</v>
      </c>
      <c r="E35" s="101">
        <f t="shared" si="7"/>
        <v>0.98661800486618001</v>
      </c>
      <c r="F35" s="20">
        <v>3288</v>
      </c>
      <c r="G35" s="20">
        <f t="shared" si="10"/>
        <v>44</v>
      </c>
      <c r="H35" s="20">
        <v>3244</v>
      </c>
      <c r="I35" s="20">
        <v>3147</v>
      </c>
      <c r="J35" s="20">
        <f t="shared" si="11"/>
        <v>97</v>
      </c>
    </row>
    <row r="36" spans="1:10" s="29" customFormat="1" ht="12.75">
      <c r="A36" s="81">
        <v>1995</v>
      </c>
      <c r="B36" s="82" t="s">
        <v>44</v>
      </c>
      <c r="C36" s="101">
        <f t="shared" si="5"/>
        <v>0.95131195335276963</v>
      </c>
      <c r="D36" s="101">
        <f t="shared" si="6"/>
        <v>0.96452852497783037</v>
      </c>
      <c r="E36" s="101">
        <f t="shared" si="7"/>
        <v>0.98629737609329449</v>
      </c>
      <c r="F36" s="20">
        <v>3430</v>
      </c>
      <c r="G36" s="20">
        <f t="shared" si="10"/>
        <v>47</v>
      </c>
      <c r="H36" s="20">
        <v>3383</v>
      </c>
      <c r="I36" s="20">
        <v>3263</v>
      </c>
      <c r="J36" s="20">
        <f t="shared" si="11"/>
        <v>120</v>
      </c>
    </row>
    <row r="37" spans="1:10" s="29" customFormat="1" ht="12.75">
      <c r="A37" s="81">
        <v>1995</v>
      </c>
      <c r="B37" s="82" t="s">
        <v>45</v>
      </c>
      <c r="C37" s="101">
        <f t="shared" si="5"/>
        <v>0.93456861609727848</v>
      </c>
      <c r="D37" s="101">
        <f t="shared" si="6"/>
        <v>0.96243291592128799</v>
      </c>
      <c r="E37" s="101">
        <f t="shared" si="7"/>
        <v>0.97104806022003476</v>
      </c>
      <c r="F37" s="20">
        <v>3454</v>
      </c>
      <c r="G37" s="20">
        <f t="shared" si="10"/>
        <v>100</v>
      </c>
      <c r="H37" s="20">
        <v>3354</v>
      </c>
      <c r="I37" s="20">
        <v>3228</v>
      </c>
      <c r="J37" s="20">
        <f t="shared" si="11"/>
        <v>126</v>
      </c>
    </row>
    <row r="38" spans="1:10" s="29" customFormat="1" ht="12.75">
      <c r="A38" s="81">
        <v>1995</v>
      </c>
      <c r="B38" s="82" t="s">
        <v>46</v>
      </c>
      <c r="C38" s="101">
        <f t="shared" si="5"/>
        <v>0.91775754126351738</v>
      </c>
      <c r="D38" s="101">
        <f t="shared" si="6"/>
        <v>0.96010717475439122</v>
      </c>
      <c r="E38" s="101">
        <f t="shared" si="7"/>
        <v>0.9558907228229937</v>
      </c>
      <c r="F38" s="20">
        <v>3514</v>
      </c>
      <c r="G38" s="20">
        <f t="shared" si="10"/>
        <v>155</v>
      </c>
      <c r="H38" s="20">
        <v>3359</v>
      </c>
      <c r="I38" s="20">
        <v>3225</v>
      </c>
      <c r="J38" s="20">
        <f t="shared" si="11"/>
        <v>134</v>
      </c>
    </row>
    <row r="39" spans="1:10" s="29" customFormat="1" ht="12.75">
      <c r="A39" s="81">
        <v>1995</v>
      </c>
      <c r="B39" s="82" t="s">
        <v>47</v>
      </c>
      <c r="C39" s="101">
        <f t="shared" si="5"/>
        <v>0.94595328625746877</v>
      </c>
      <c r="D39" s="101">
        <f t="shared" si="6"/>
        <v>0.964552755469399</v>
      </c>
      <c r="E39" s="101">
        <f t="shared" si="7"/>
        <v>0.98071700162954911</v>
      </c>
      <c r="F39" s="20">
        <v>3682</v>
      </c>
      <c r="G39" s="20">
        <f t="shared" si="10"/>
        <v>71</v>
      </c>
      <c r="H39" s="20">
        <v>3611</v>
      </c>
      <c r="I39" s="20">
        <v>3483</v>
      </c>
      <c r="J39" s="20">
        <f t="shared" si="11"/>
        <v>128</v>
      </c>
    </row>
    <row r="40" spans="1:10" s="29" customFormat="1" ht="12.75">
      <c r="A40" s="81">
        <v>1995</v>
      </c>
      <c r="B40" s="82" t="s">
        <v>48</v>
      </c>
      <c r="C40" s="101">
        <f t="shared" si="5"/>
        <v>0.93974918211559433</v>
      </c>
      <c r="D40" s="101">
        <f t="shared" si="6"/>
        <v>0.96825842696629216</v>
      </c>
      <c r="E40" s="101">
        <f t="shared" si="7"/>
        <v>0.9705561613958561</v>
      </c>
      <c r="F40" s="20">
        <v>3668</v>
      </c>
      <c r="G40" s="20">
        <f t="shared" si="10"/>
        <v>108</v>
      </c>
      <c r="H40" s="20">
        <v>3560</v>
      </c>
      <c r="I40" s="20">
        <v>3447</v>
      </c>
      <c r="J40" s="20">
        <f t="shared" si="11"/>
        <v>113</v>
      </c>
    </row>
    <row r="41" spans="1:10" s="29" customFormat="1" ht="12.75">
      <c r="A41" s="81">
        <v>1995</v>
      </c>
      <c r="B41" s="82" t="s">
        <v>49</v>
      </c>
      <c r="C41" s="101">
        <f t="shared" si="5"/>
        <v>0.8109823399558499</v>
      </c>
      <c r="D41" s="101">
        <f t="shared" si="6"/>
        <v>0.87184811628596859</v>
      </c>
      <c r="E41" s="101">
        <f t="shared" si="7"/>
        <v>0.93018763796909487</v>
      </c>
      <c r="F41" s="20">
        <v>3624</v>
      </c>
      <c r="G41" s="20">
        <f t="shared" si="10"/>
        <v>253</v>
      </c>
      <c r="H41" s="20">
        <v>3371</v>
      </c>
      <c r="I41" s="20">
        <v>2939</v>
      </c>
      <c r="J41" s="20">
        <f t="shared" si="11"/>
        <v>432</v>
      </c>
    </row>
    <row r="42" spans="1:10" s="29" customFormat="1" ht="12.75">
      <c r="A42" s="81">
        <v>1996</v>
      </c>
      <c r="B42" s="82" t="s">
        <v>38</v>
      </c>
      <c r="C42" s="101">
        <f t="shared" si="5"/>
        <v>0.83315508021390372</v>
      </c>
      <c r="D42" s="101">
        <f t="shared" si="6"/>
        <v>0.91271236086701812</v>
      </c>
      <c r="E42" s="101">
        <f t="shared" si="7"/>
        <v>0.91283422459893049</v>
      </c>
      <c r="F42" s="20">
        <v>3740</v>
      </c>
      <c r="G42" s="20">
        <f t="shared" ref="G42:G53" si="12">F42-H42</f>
        <v>326</v>
      </c>
      <c r="H42" s="20">
        <v>3414</v>
      </c>
      <c r="I42" s="20">
        <v>3116</v>
      </c>
      <c r="J42" s="20">
        <f t="shared" ref="J42:J53" si="13">H42-I42</f>
        <v>298</v>
      </c>
    </row>
    <row r="43" spans="1:10" s="29" customFormat="1" ht="12.75">
      <c r="A43" s="81">
        <v>1996</v>
      </c>
      <c r="B43" s="82" t="s">
        <v>39</v>
      </c>
      <c r="C43" s="101">
        <f t="shared" si="5"/>
        <v>0.78259637188208619</v>
      </c>
      <c r="D43" s="101">
        <f t="shared" si="6"/>
        <v>0.8563895781637717</v>
      </c>
      <c r="E43" s="101">
        <f t="shared" si="7"/>
        <v>0.91383219954648531</v>
      </c>
      <c r="F43" s="20">
        <v>3528</v>
      </c>
      <c r="G43" s="20">
        <f t="shared" si="12"/>
        <v>304</v>
      </c>
      <c r="H43" s="20">
        <v>3224</v>
      </c>
      <c r="I43" s="20">
        <v>2761</v>
      </c>
      <c r="J43" s="20">
        <f t="shared" si="13"/>
        <v>463</v>
      </c>
    </row>
    <row r="44" spans="1:10" s="29" customFormat="1" ht="12.75">
      <c r="A44" s="81">
        <v>1996</v>
      </c>
      <c r="B44" s="82" t="s">
        <v>40</v>
      </c>
      <c r="C44" s="101">
        <f t="shared" si="5"/>
        <v>0.71711229946524069</v>
      </c>
      <c r="D44" s="101">
        <f t="shared" si="6"/>
        <v>0.78859159070861506</v>
      </c>
      <c r="E44" s="101">
        <f t="shared" si="7"/>
        <v>0.90935828877005342</v>
      </c>
      <c r="F44" s="20">
        <v>3740</v>
      </c>
      <c r="G44" s="20">
        <f t="shared" si="12"/>
        <v>339</v>
      </c>
      <c r="H44" s="20">
        <v>3401</v>
      </c>
      <c r="I44" s="20">
        <v>2682</v>
      </c>
      <c r="J44" s="20">
        <f t="shared" si="13"/>
        <v>719</v>
      </c>
    </row>
    <row r="45" spans="1:10" s="29" customFormat="1" ht="12.75">
      <c r="A45" s="81">
        <v>1996</v>
      </c>
      <c r="B45" s="82" t="s">
        <v>41</v>
      </c>
      <c r="C45" s="101">
        <f t="shared" si="5"/>
        <v>0.77368421052631575</v>
      </c>
      <c r="D45" s="101">
        <f t="shared" si="6"/>
        <v>0.85152439024390247</v>
      </c>
      <c r="E45" s="101">
        <f t="shared" si="7"/>
        <v>0.90858725761772852</v>
      </c>
      <c r="F45" s="20">
        <v>3610</v>
      </c>
      <c r="G45" s="20">
        <f t="shared" si="12"/>
        <v>330</v>
      </c>
      <c r="H45" s="20">
        <v>3280</v>
      </c>
      <c r="I45" s="20">
        <v>2793</v>
      </c>
      <c r="J45" s="20">
        <f t="shared" si="13"/>
        <v>487</v>
      </c>
    </row>
    <row r="46" spans="1:10" s="29" customFormat="1" ht="12.75">
      <c r="A46" s="81">
        <v>1996</v>
      </c>
      <c r="B46" s="82" t="s">
        <v>42</v>
      </c>
      <c r="C46" s="101">
        <f t="shared" si="5"/>
        <v>0.82428028245518736</v>
      </c>
      <c r="D46" s="101">
        <f t="shared" si="6"/>
        <v>0.90273646638905414</v>
      </c>
      <c r="E46" s="101">
        <f t="shared" si="7"/>
        <v>0.91309071156979904</v>
      </c>
      <c r="F46" s="20">
        <v>3682</v>
      </c>
      <c r="G46" s="20">
        <f t="shared" si="12"/>
        <v>320</v>
      </c>
      <c r="H46" s="20">
        <v>3362</v>
      </c>
      <c r="I46" s="20">
        <v>3035</v>
      </c>
      <c r="J46" s="20">
        <f t="shared" si="13"/>
        <v>327</v>
      </c>
    </row>
    <row r="47" spans="1:10" s="29" customFormat="1" ht="12.75">
      <c r="A47" s="81">
        <v>1996</v>
      </c>
      <c r="B47" s="82" t="s">
        <v>43</v>
      </c>
      <c r="C47" s="101">
        <f t="shared" si="5"/>
        <v>0.88469493278179934</v>
      </c>
      <c r="D47" s="101">
        <f t="shared" si="6"/>
        <v>0.96150604102275916</v>
      </c>
      <c r="E47" s="101">
        <f t="shared" si="7"/>
        <v>0.92011375387797312</v>
      </c>
      <c r="F47" s="20">
        <v>3868</v>
      </c>
      <c r="G47" s="20">
        <f t="shared" si="12"/>
        <v>309</v>
      </c>
      <c r="H47" s="20">
        <v>3559</v>
      </c>
      <c r="I47" s="20">
        <v>3422</v>
      </c>
      <c r="J47" s="20">
        <f t="shared" si="13"/>
        <v>137</v>
      </c>
    </row>
    <row r="48" spans="1:10" s="29" customFormat="1" ht="12.75">
      <c r="A48" s="81">
        <v>1996</v>
      </c>
      <c r="B48" s="82" t="s">
        <v>44</v>
      </c>
      <c r="C48" s="101">
        <f t="shared" si="5"/>
        <v>0.88999762413875028</v>
      </c>
      <c r="D48" s="101">
        <f t="shared" si="6"/>
        <v>0.96596183599793706</v>
      </c>
      <c r="E48" s="101">
        <f t="shared" si="7"/>
        <v>0.92135899263483012</v>
      </c>
      <c r="F48" s="20">
        <v>4209</v>
      </c>
      <c r="G48" s="20">
        <f t="shared" si="12"/>
        <v>331</v>
      </c>
      <c r="H48" s="20">
        <v>3878</v>
      </c>
      <c r="I48" s="20">
        <v>3746</v>
      </c>
      <c r="J48" s="20">
        <f t="shared" si="13"/>
        <v>132</v>
      </c>
    </row>
    <row r="49" spans="1:10" s="29" customFormat="1" ht="12.75">
      <c r="A49" s="81">
        <v>1996</v>
      </c>
      <c r="B49" s="82" t="s">
        <v>45</v>
      </c>
      <c r="C49" s="101">
        <f t="shared" si="5"/>
        <v>0.85927654609101511</v>
      </c>
      <c r="D49" s="101">
        <f t="shared" si="6"/>
        <v>0.96869244935543275</v>
      </c>
      <c r="E49" s="101">
        <f t="shared" si="7"/>
        <v>0.88704784130688452</v>
      </c>
      <c r="F49" s="20">
        <v>4285</v>
      </c>
      <c r="G49" s="20">
        <f t="shared" si="12"/>
        <v>484</v>
      </c>
      <c r="H49" s="20">
        <v>3801</v>
      </c>
      <c r="I49" s="20">
        <v>3682</v>
      </c>
      <c r="J49" s="20">
        <f t="shared" si="13"/>
        <v>119</v>
      </c>
    </row>
    <row r="50" spans="1:10" s="29" customFormat="1" ht="12.75">
      <c r="A50" s="81">
        <v>1996</v>
      </c>
      <c r="B50" s="82" t="s">
        <v>46</v>
      </c>
      <c r="C50" s="101">
        <f t="shared" si="5"/>
        <v>0.87123221605980228</v>
      </c>
      <c r="D50" s="101">
        <f t="shared" si="6"/>
        <v>0.97149771443936539</v>
      </c>
      <c r="E50" s="101">
        <f t="shared" si="7"/>
        <v>0.89679286231010369</v>
      </c>
      <c r="F50" s="20">
        <v>4147</v>
      </c>
      <c r="G50" s="20">
        <f t="shared" si="12"/>
        <v>428</v>
      </c>
      <c r="H50" s="20">
        <v>3719</v>
      </c>
      <c r="I50" s="20">
        <v>3613</v>
      </c>
      <c r="J50" s="20">
        <f t="shared" si="13"/>
        <v>106</v>
      </c>
    </row>
    <row r="51" spans="1:10" s="29" customFormat="1" ht="12.75">
      <c r="A51" s="81">
        <v>1996</v>
      </c>
      <c r="B51" s="82" t="s">
        <v>47</v>
      </c>
      <c r="C51" s="101">
        <f t="shared" si="5"/>
        <v>0.86631139944392954</v>
      </c>
      <c r="D51" s="101">
        <f t="shared" si="6"/>
        <v>0.98550342646283606</v>
      </c>
      <c r="E51" s="101">
        <f t="shared" si="7"/>
        <v>0.87905468025949951</v>
      </c>
      <c r="F51" s="20">
        <v>4316</v>
      </c>
      <c r="G51" s="20">
        <f t="shared" si="12"/>
        <v>522</v>
      </c>
      <c r="H51" s="20">
        <v>3794</v>
      </c>
      <c r="I51" s="20">
        <v>3739</v>
      </c>
      <c r="J51" s="20">
        <f t="shared" si="13"/>
        <v>55</v>
      </c>
    </row>
    <row r="52" spans="1:10" s="29" customFormat="1" ht="12.75">
      <c r="A52" s="81">
        <v>1996</v>
      </c>
      <c r="B52" s="82" t="s">
        <v>48</v>
      </c>
      <c r="C52" s="101">
        <f t="shared" si="5"/>
        <v>0.915692007797271</v>
      </c>
      <c r="D52" s="101">
        <f t="shared" si="6"/>
        <v>0.97231565329883574</v>
      </c>
      <c r="E52" s="101">
        <f t="shared" si="7"/>
        <v>0.94176413255360625</v>
      </c>
      <c r="F52" s="20">
        <v>4104</v>
      </c>
      <c r="G52" s="20">
        <f t="shared" si="12"/>
        <v>239</v>
      </c>
      <c r="H52" s="20">
        <v>3865</v>
      </c>
      <c r="I52" s="20">
        <v>3758</v>
      </c>
      <c r="J52" s="20">
        <f t="shared" si="13"/>
        <v>107</v>
      </c>
    </row>
    <row r="53" spans="1:10" s="29" customFormat="1" ht="12.75">
      <c r="A53" s="81">
        <v>1996</v>
      </c>
      <c r="B53" s="82" t="s">
        <v>49</v>
      </c>
      <c r="C53" s="101">
        <f t="shared" si="5"/>
        <v>0.91427889207258839</v>
      </c>
      <c r="D53" s="101">
        <f t="shared" si="6"/>
        <v>0.96961256014180808</v>
      </c>
      <c r="E53" s="101">
        <f t="shared" si="7"/>
        <v>0.94293218720152816</v>
      </c>
      <c r="F53" s="20">
        <v>4188</v>
      </c>
      <c r="G53" s="20">
        <f t="shared" si="12"/>
        <v>239</v>
      </c>
      <c r="H53" s="20">
        <v>3949</v>
      </c>
      <c r="I53" s="20">
        <v>3829</v>
      </c>
      <c r="J53" s="20">
        <f t="shared" si="13"/>
        <v>120</v>
      </c>
    </row>
    <row r="54" spans="1:10" s="29" customFormat="1" ht="12.75">
      <c r="A54" s="81">
        <v>1997</v>
      </c>
      <c r="B54" s="82" t="s">
        <v>38</v>
      </c>
      <c r="C54" s="101">
        <f t="shared" si="5"/>
        <v>0.94860255802936999</v>
      </c>
      <c r="D54" s="101">
        <f t="shared" si="6"/>
        <v>0.9933035714285714</v>
      </c>
      <c r="E54" s="101">
        <f t="shared" si="7"/>
        <v>0.95499763145428707</v>
      </c>
      <c r="F54" s="20">
        <v>4222</v>
      </c>
      <c r="G54" s="20">
        <f t="shared" ref="G54:G65" si="14">F54-H54</f>
        <v>190</v>
      </c>
      <c r="H54" s="20">
        <v>4032</v>
      </c>
      <c r="I54" s="20">
        <v>4005</v>
      </c>
      <c r="J54" s="20">
        <f t="shared" ref="J54:J65" si="15">H54-I54</f>
        <v>27</v>
      </c>
    </row>
    <row r="55" spans="1:10" s="29" customFormat="1" ht="12.75">
      <c r="A55" s="81">
        <v>1997</v>
      </c>
      <c r="B55" s="82" t="s">
        <v>39</v>
      </c>
      <c r="C55" s="101">
        <f t="shared" si="5"/>
        <v>0.94325313807531386</v>
      </c>
      <c r="D55" s="101">
        <f t="shared" si="6"/>
        <v>0.98984632272228323</v>
      </c>
      <c r="E55" s="101">
        <f t="shared" si="7"/>
        <v>0.95292887029288698</v>
      </c>
      <c r="F55" s="20">
        <v>3824</v>
      </c>
      <c r="G55" s="20">
        <f t="shared" si="14"/>
        <v>180</v>
      </c>
      <c r="H55" s="20">
        <v>3644</v>
      </c>
      <c r="I55" s="20">
        <v>3607</v>
      </c>
      <c r="J55" s="20">
        <f t="shared" si="15"/>
        <v>37</v>
      </c>
    </row>
    <row r="56" spans="1:10" s="29" customFormat="1" ht="12.75">
      <c r="A56" s="81">
        <v>1997</v>
      </c>
      <c r="B56" s="82" t="s">
        <v>40</v>
      </c>
      <c r="C56" s="101">
        <f t="shared" si="5"/>
        <v>0.93528841492971404</v>
      </c>
      <c r="D56" s="101">
        <f t="shared" si="6"/>
        <v>0.98822023047375163</v>
      </c>
      <c r="E56" s="101">
        <f t="shared" si="7"/>
        <v>0.94643722733882696</v>
      </c>
      <c r="F56" s="20">
        <v>4126</v>
      </c>
      <c r="G56" s="20">
        <f t="shared" si="14"/>
        <v>221</v>
      </c>
      <c r="H56" s="20">
        <v>3905</v>
      </c>
      <c r="I56" s="20">
        <v>3859</v>
      </c>
      <c r="J56" s="20">
        <f t="shared" si="15"/>
        <v>46</v>
      </c>
    </row>
    <row r="57" spans="1:10" s="29" customFormat="1" ht="12.75">
      <c r="A57" s="81">
        <v>1997</v>
      </c>
      <c r="B57" s="82" t="s">
        <v>41</v>
      </c>
      <c r="C57" s="101">
        <f t="shared" si="5"/>
        <v>0.91321118611378982</v>
      </c>
      <c r="D57" s="101">
        <f t="shared" si="6"/>
        <v>0.98364061282783688</v>
      </c>
      <c r="E57" s="101">
        <f t="shared" si="7"/>
        <v>0.92839922854387658</v>
      </c>
      <c r="F57" s="20">
        <v>4148</v>
      </c>
      <c r="G57" s="20">
        <f t="shared" si="14"/>
        <v>297</v>
      </c>
      <c r="H57" s="20">
        <v>3851</v>
      </c>
      <c r="I57" s="20">
        <v>3788</v>
      </c>
      <c r="J57" s="20">
        <f t="shared" si="15"/>
        <v>63</v>
      </c>
    </row>
    <row r="58" spans="1:10" s="29" customFormat="1" ht="12.75">
      <c r="A58" s="81">
        <v>1997</v>
      </c>
      <c r="B58" s="82" t="s">
        <v>42</v>
      </c>
      <c r="C58" s="101">
        <f t="shared" si="5"/>
        <v>0.9190520882214922</v>
      </c>
      <c r="D58" s="101">
        <f t="shared" si="6"/>
        <v>0.98964123294593231</v>
      </c>
      <c r="E58" s="101">
        <f t="shared" si="7"/>
        <v>0.92867198498357584</v>
      </c>
      <c r="F58" s="20">
        <v>4262</v>
      </c>
      <c r="G58" s="20">
        <f t="shared" si="14"/>
        <v>304</v>
      </c>
      <c r="H58" s="20">
        <v>3958</v>
      </c>
      <c r="I58" s="20">
        <v>3917</v>
      </c>
      <c r="J58" s="20">
        <f t="shared" si="15"/>
        <v>41</v>
      </c>
    </row>
    <row r="59" spans="1:10" s="29" customFormat="1" ht="12.75">
      <c r="A59" s="81">
        <v>1997</v>
      </c>
      <c r="B59" s="82" t="s">
        <v>43</v>
      </c>
      <c r="C59" s="101">
        <f t="shared" si="5"/>
        <v>0.95792322834645671</v>
      </c>
      <c r="D59" s="101">
        <f t="shared" si="6"/>
        <v>0.99108961303462317</v>
      </c>
      <c r="E59" s="101">
        <f t="shared" si="7"/>
        <v>0.96653543307086609</v>
      </c>
      <c r="F59" s="20">
        <v>4064</v>
      </c>
      <c r="G59" s="20">
        <f t="shared" si="14"/>
        <v>136</v>
      </c>
      <c r="H59" s="20">
        <v>3928</v>
      </c>
      <c r="I59" s="20">
        <v>3893</v>
      </c>
      <c r="J59" s="20">
        <f t="shared" si="15"/>
        <v>35</v>
      </c>
    </row>
    <row r="60" spans="1:10" s="29" customFormat="1" ht="12.75">
      <c r="A60" s="81">
        <v>1997</v>
      </c>
      <c r="B60" s="82" t="s">
        <v>44</v>
      </c>
      <c r="C60" s="101">
        <f t="shared" si="5"/>
        <v>0.97623514696685432</v>
      </c>
      <c r="D60" s="101">
        <f t="shared" si="6"/>
        <v>0.98485804416403788</v>
      </c>
      <c r="E60" s="101">
        <f t="shared" si="7"/>
        <v>0.9912445278298937</v>
      </c>
      <c r="F60" s="20">
        <v>4797</v>
      </c>
      <c r="G60" s="20">
        <f t="shared" si="14"/>
        <v>42</v>
      </c>
      <c r="H60" s="20">
        <v>4755</v>
      </c>
      <c r="I60" s="20">
        <v>4683</v>
      </c>
      <c r="J60" s="20">
        <f t="shared" si="15"/>
        <v>72</v>
      </c>
    </row>
    <row r="61" spans="1:10" s="29" customFormat="1" ht="12.75">
      <c r="A61" s="81">
        <v>1997</v>
      </c>
      <c r="B61" s="82" t="s">
        <v>45</v>
      </c>
      <c r="C61" s="101">
        <f t="shared" si="5"/>
        <v>0.98234042553191492</v>
      </c>
      <c r="D61" s="101">
        <f t="shared" si="6"/>
        <v>0.98801626364219985</v>
      </c>
      <c r="E61" s="101">
        <f t="shared" si="7"/>
        <v>0.99425531914893617</v>
      </c>
      <c r="F61" s="20">
        <v>4700</v>
      </c>
      <c r="G61" s="20">
        <f t="shared" si="14"/>
        <v>27</v>
      </c>
      <c r="H61" s="20">
        <v>4673</v>
      </c>
      <c r="I61" s="20">
        <v>4617</v>
      </c>
      <c r="J61" s="20">
        <f t="shared" si="15"/>
        <v>56</v>
      </c>
    </row>
    <row r="62" spans="1:10" s="29" customFormat="1" ht="12.75">
      <c r="A62" s="81">
        <v>1997</v>
      </c>
      <c r="B62" s="82" t="s">
        <v>46</v>
      </c>
      <c r="C62" s="101">
        <f t="shared" si="5"/>
        <v>0.97629218282785135</v>
      </c>
      <c r="D62" s="101">
        <f t="shared" si="6"/>
        <v>0.98470486859112449</v>
      </c>
      <c r="E62" s="101">
        <f t="shared" si="7"/>
        <v>0.99145664246048693</v>
      </c>
      <c r="F62" s="20">
        <v>4682</v>
      </c>
      <c r="G62" s="20">
        <f t="shared" si="14"/>
        <v>40</v>
      </c>
      <c r="H62" s="20">
        <v>4642</v>
      </c>
      <c r="I62" s="20">
        <v>4571</v>
      </c>
      <c r="J62" s="20">
        <f t="shared" si="15"/>
        <v>71</v>
      </c>
    </row>
    <row r="63" spans="1:10" s="29" customFormat="1" ht="12.75">
      <c r="A63" s="81">
        <v>1997</v>
      </c>
      <c r="B63" s="82" t="s">
        <v>47</v>
      </c>
      <c r="C63" s="101">
        <f t="shared" si="5"/>
        <v>0.97917955060812201</v>
      </c>
      <c r="D63" s="101">
        <f t="shared" si="6"/>
        <v>0.98466003316749584</v>
      </c>
      <c r="E63" s="101">
        <f t="shared" si="7"/>
        <v>0.99443413729128016</v>
      </c>
      <c r="F63" s="20">
        <v>4851</v>
      </c>
      <c r="G63" s="20">
        <f t="shared" si="14"/>
        <v>27</v>
      </c>
      <c r="H63" s="20">
        <v>4824</v>
      </c>
      <c r="I63" s="20">
        <v>4750</v>
      </c>
      <c r="J63" s="20">
        <f t="shared" si="15"/>
        <v>74</v>
      </c>
    </row>
    <row r="64" spans="1:10" s="29" customFormat="1" ht="12.75">
      <c r="A64" s="81">
        <v>1997</v>
      </c>
      <c r="B64" s="82" t="s">
        <v>48</v>
      </c>
      <c r="C64" s="101">
        <f t="shared" si="5"/>
        <v>0.97557251908396947</v>
      </c>
      <c r="D64" s="101">
        <f t="shared" si="6"/>
        <v>0.98502532481832195</v>
      </c>
      <c r="E64" s="101">
        <f t="shared" si="7"/>
        <v>0.99040348964013081</v>
      </c>
      <c r="F64" s="20">
        <v>4585</v>
      </c>
      <c r="G64" s="20">
        <f t="shared" si="14"/>
        <v>44</v>
      </c>
      <c r="H64" s="20">
        <v>4541</v>
      </c>
      <c r="I64" s="20">
        <v>4473</v>
      </c>
      <c r="J64" s="20">
        <f t="shared" si="15"/>
        <v>68</v>
      </c>
    </row>
    <row r="65" spans="1:10" s="29" customFormat="1" ht="12.75">
      <c r="A65" s="81">
        <v>1997</v>
      </c>
      <c r="B65" s="82" t="s">
        <v>49</v>
      </c>
      <c r="C65" s="101">
        <f t="shared" si="5"/>
        <v>0.97659709044908283</v>
      </c>
      <c r="D65" s="101">
        <f t="shared" si="6"/>
        <v>0.98364833297940113</v>
      </c>
      <c r="E65" s="101">
        <f t="shared" si="7"/>
        <v>0.99283154121863804</v>
      </c>
      <c r="F65" s="20">
        <v>4743</v>
      </c>
      <c r="G65" s="20">
        <f t="shared" si="14"/>
        <v>34</v>
      </c>
      <c r="H65" s="20">
        <v>4709</v>
      </c>
      <c r="I65" s="20">
        <v>4632</v>
      </c>
      <c r="J65" s="20">
        <f t="shared" si="15"/>
        <v>77</v>
      </c>
    </row>
    <row r="66" spans="1:10" s="29" customFormat="1" ht="12.75">
      <c r="A66" s="81">
        <v>1998</v>
      </c>
      <c r="B66" s="82" t="s">
        <v>38</v>
      </c>
      <c r="C66" s="101">
        <f t="shared" si="5"/>
        <v>0.93058477071939416</v>
      </c>
      <c r="D66" s="101">
        <f t="shared" si="6"/>
        <v>0.97102721685689197</v>
      </c>
      <c r="E66" s="101">
        <f t="shared" si="7"/>
        <v>0.95835086243163647</v>
      </c>
      <c r="F66" s="20">
        <v>4754</v>
      </c>
      <c r="G66" s="20">
        <f t="shared" ref="G66:G77" si="16">F66-H66</f>
        <v>198</v>
      </c>
      <c r="H66" s="20">
        <v>4556</v>
      </c>
      <c r="I66" s="20">
        <v>4424</v>
      </c>
      <c r="J66" s="20">
        <f t="shared" ref="J66:J77" si="17">H66-I66</f>
        <v>132</v>
      </c>
    </row>
    <row r="67" spans="1:10" s="29" customFormat="1" ht="12.75">
      <c r="A67" s="81">
        <v>1998</v>
      </c>
      <c r="B67" s="82" t="s">
        <v>39</v>
      </c>
      <c r="C67" s="101">
        <f t="shared" si="5"/>
        <v>0.91689686924493552</v>
      </c>
      <c r="D67" s="101">
        <f t="shared" si="6"/>
        <v>0.98006889763779526</v>
      </c>
      <c r="E67" s="101">
        <f t="shared" si="7"/>
        <v>0.9355432780847146</v>
      </c>
      <c r="F67" s="20">
        <v>4344</v>
      </c>
      <c r="G67" s="20">
        <f t="shared" si="16"/>
        <v>280</v>
      </c>
      <c r="H67" s="20">
        <v>4064</v>
      </c>
      <c r="I67" s="20">
        <v>3983</v>
      </c>
      <c r="J67" s="20">
        <f t="shared" si="17"/>
        <v>81</v>
      </c>
    </row>
    <row r="68" spans="1:10" s="29" customFormat="1" ht="12.75">
      <c r="A68" s="81">
        <v>1998</v>
      </c>
      <c r="B68" s="82" t="s">
        <v>40</v>
      </c>
      <c r="C68" s="101">
        <f t="shared" si="5"/>
        <v>0.91327913279132789</v>
      </c>
      <c r="D68" s="101">
        <f t="shared" si="6"/>
        <v>0.97659384752563527</v>
      </c>
      <c r="E68" s="101">
        <f t="shared" si="7"/>
        <v>0.9351678132165937</v>
      </c>
      <c r="F68" s="20">
        <v>4797</v>
      </c>
      <c r="G68" s="20">
        <f t="shared" si="16"/>
        <v>311</v>
      </c>
      <c r="H68" s="20">
        <v>4486</v>
      </c>
      <c r="I68" s="20">
        <v>4381</v>
      </c>
      <c r="J68" s="20">
        <f t="shared" si="17"/>
        <v>105</v>
      </c>
    </row>
    <row r="69" spans="1:10" s="29" customFormat="1" ht="12.75">
      <c r="A69" s="81">
        <v>1998</v>
      </c>
      <c r="B69" s="82" t="s">
        <v>41</v>
      </c>
      <c r="C69" s="101">
        <f t="shared" si="5"/>
        <v>0.91897147796024203</v>
      </c>
      <c r="D69" s="101">
        <f t="shared" si="6"/>
        <v>0.98199030247056107</v>
      </c>
      <c r="E69" s="101">
        <f t="shared" si="7"/>
        <v>0.93582541054451163</v>
      </c>
      <c r="F69" s="20">
        <v>4628</v>
      </c>
      <c r="G69" s="20">
        <f t="shared" si="16"/>
        <v>297</v>
      </c>
      <c r="H69" s="20">
        <v>4331</v>
      </c>
      <c r="I69" s="20">
        <v>4253</v>
      </c>
      <c r="J69" s="20">
        <f t="shared" si="17"/>
        <v>78</v>
      </c>
    </row>
    <row r="70" spans="1:10" s="29" customFormat="1" ht="12.75">
      <c r="A70" s="81">
        <v>1998</v>
      </c>
      <c r="B70" s="82" t="s">
        <v>42</v>
      </c>
      <c r="C70" s="101">
        <f t="shared" si="5"/>
        <v>0.93671975893241499</v>
      </c>
      <c r="D70" s="101">
        <f t="shared" si="6"/>
        <v>0.9821710674791243</v>
      </c>
      <c r="E70" s="101">
        <f t="shared" si="7"/>
        <v>0.95372363323288856</v>
      </c>
      <c r="F70" s="20">
        <v>4646</v>
      </c>
      <c r="G70" s="20">
        <f t="shared" si="16"/>
        <v>215</v>
      </c>
      <c r="H70" s="20">
        <v>4431</v>
      </c>
      <c r="I70" s="20">
        <v>4352</v>
      </c>
      <c r="J70" s="20">
        <f t="shared" si="17"/>
        <v>79</v>
      </c>
    </row>
    <row r="71" spans="1:10" s="29" customFormat="1" ht="12.75">
      <c r="A71" s="81">
        <v>1998</v>
      </c>
      <c r="B71" s="82" t="s">
        <v>43</v>
      </c>
      <c r="C71" s="101">
        <f t="shared" ref="C71:C134" si="18">I71/F71</f>
        <v>0.98578924355050279</v>
      </c>
      <c r="D71" s="101">
        <f t="shared" ref="D71:D134" si="19">I71/H71</f>
        <v>0.99186097668279805</v>
      </c>
      <c r="E71" s="101">
        <f t="shared" ref="E71:E134" si="20">H71/F71</f>
        <v>0.99387844337560127</v>
      </c>
      <c r="F71" s="20">
        <v>4574</v>
      </c>
      <c r="G71" s="20">
        <f t="shared" si="16"/>
        <v>28</v>
      </c>
      <c r="H71" s="20">
        <v>4546</v>
      </c>
      <c r="I71" s="20">
        <v>4509</v>
      </c>
      <c r="J71" s="20">
        <f t="shared" si="17"/>
        <v>37</v>
      </c>
    </row>
    <row r="72" spans="1:10" s="29" customFormat="1" ht="12.75">
      <c r="A72" s="81">
        <v>1998</v>
      </c>
      <c r="B72" s="82" t="s">
        <v>44</v>
      </c>
      <c r="C72" s="101">
        <f t="shared" si="18"/>
        <v>0.98415676464456947</v>
      </c>
      <c r="D72" s="101">
        <f t="shared" si="19"/>
        <v>0.9884840871021775</v>
      </c>
      <c r="E72" s="101">
        <f t="shared" si="20"/>
        <v>0.99562226391494679</v>
      </c>
      <c r="F72" s="20">
        <v>4797</v>
      </c>
      <c r="G72" s="20">
        <f t="shared" si="16"/>
        <v>21</v>
      </c>
      <c r="H72" s="20">
        <v>4776</v>
      </c>
      <c r="I72" s="20">
        <v>4721</v>
      </c>
      <c r="J72" s="20">
        <f t="shared" si="17"/>
        <v>55</v>
      </c>
    </row>
    <row r="73" spans="1:10" s="29" customFormat="1" ht="12.75">
      <c r="A73" s="81">
        <v>1998</v>
      </c>
      <c r="B73" s="82" t="s">
        <v>45</v>
      </c>
      <c r="C73" s="101">
        <f t="shared" si="18"/>
        <v>0.98085106382978726</v>
      </c>
      <c r="D73" s="101">
        <f t="shared" si="19"/>
        <v>0.98715203426124198</v>
      </c>
      <c r="E73" s="101">
        <f t="shared" si="20"/>
        <v>0.99361702127659579</v>
      </c>
      <c r="F73" s="20">
        <v>4700</v>
      </c>
      <c r="G73" s="20">
        <f t="shared" si="16"/>
        <v>30</v>
      </c>
      <c r="H73" s="20">
        <v>4670</v>
      </c>
      <c r="I73" s="20">
        <v>4610</v>
      </c>
      <c r="J73" s="20">
        <f t="shared" si="17"/>
        <v>60</v>
      </c>
    </row>
    <row r="74" spans="1:10" s="29" customFormat="1" ht="12.75">
      <c r="A74" s="81">
        <v>1998</v>
      </c>
      <c r="B74" s="82" t="s">
        <v>46</v>
      </c>
      <c r="C74" s="101">
        <f t="shared" si="18"/>
        <v>0.97415634344297308</v>
      </c>
      <c r="D74" s="101">
        <f t="shared" si="19"/>
        <v>0.98255062473071952</v>
      </c>
      <c r="E74" s="101">
        <f t="shared" si="20"/>
        <v>0.99145664246048693</v>
      </c>
      <c r="F74" s="20">
        <v>4682</v>
      </c>
      <c r="G74" s="20">
        <f t="shared" si="16"/>
        <v>40</v>
      </c>
      <c r="H74" s="20">
        <v>4642</v>
      </c>
      <c r="I74" s="20">
        <v>4561</v>
      </c>
      <c r="J74" s="20">
        <f t="shared" si="17"/>
        <v>81</v>
      </c>
    </row>
    <row r="75" spans="1:10" s="29" customFormat="1" ht="12.75">
      <c r="A75" s="81">
        <v>1998</v>
      </c>
      <c r="B75" s="82" t="s">
        <v>47</v>
      </c>
      <c r="C75" s="101">
        <f t="shared" si="18"/>
        <v>0.97370635254522508</v>
      </c>
      <c r="D75" s="101">
        <f t="shared" si="19"/>
        <v>0.98720409468969927</v>
      </c>
      <c r="E75" s="101">
        <f t="shared" si="20"/>
        <v>0.98632730332351704</v>
      </c>
      <c r="F75" s="20">
        <v>4754</v>
      </c>
      <c r="G75" s="20">
        <f t="shared" si="16"/>
        <v>65</v>
      </c>
      <c r="H75" s="20">
        <v>4689</v>
      </c>
      <c r="I75" s="20">
        <v>4629</v>
      </c>
      <c r="J75" s="20">
        <f t="shared" si="17"/>
        <v>60</v>
      </c>
    </row>
    <row r="76" spans="1:10" s="29" customFormat="1" ht="12.75">
      <c r="A76" s="81">
        <v>1998</v>
      </c>
      <c r="B76" s="82" t="s">
        <v>48</v>
      </c>
      <c r="C76" s="101">
        <f t="shared" si="18"/>
        <v>0.97882454624027659</v>
      </c>
      <c r="D76" s="101">
        <f t="shared" si="19"/>
        <v>0.98649825783972123</v>
      </c>
      <c r="E76" s="101">
        <f t="shared" si="20"/>
        <v>0.99222126188418325</v>
      </c>
      <c r="F76" s="20">
        <v>4628</v>
      </c>
      <c r="G76" s="20">
        <f t="shared" si="16"/>
        <v>36</v>
      </c>
      <c r="H76" s="20">
        <v>4592</v>
      </c>
      <c r="I76" s="20">
        <v>4530</v>
      </c>
      <c r="J76" s="20">
        <f t="shared" si="17"/>
        <v>62</v>
      </c>
    </row>
    <row r="77" spans="1:10" s="29" customFormat="1" ht="12.75">
      <c r="A77" s="81">
        <v>1998</v>
      </c>
      <c r="B77" s="82" t="s">
        <v>49</v>
      </c>
      <c r="C77" s="101">
        <f t="shared" si="18"/>
        <v>0.93991144845034791</v>
      </c>
      <c r="D77" s="101">
        <f t="shared" si="19"/>
        <v>0.98150594451783357</v>
      </c>
      <c r="E77" s="101">
        <f t="shared" si="20"/>
        <v>0.95762175838077168</v>
      </c>
      <c r="F77" s="20">
        <v>4743</v>
      </c>
      <c r="G77" s="20">
        <f t="shared" si="16"/>
        <v>201</v>
      </c>
      <c r="H77" s="20">
        <v>4542</v>
      </c>
      <c r="I77" s="20">
        <v>4458</v>
      </c>
      <c r="J77" s="20">
        <f t="shared" si="17"/>
        <v>84</v>
      </c>
    </row>
    <row r="78" spans="1:10" s="29" customFormat="1" ht="12.75">
      <c r="A78" s="81">
        <v>1999</v>
      </c>
      <c r="B78" s="82" t="s">
        <v>38</v>
      </c>
      <c r="C78" s="101">
        <f t="shared" si="18"/>
        <v>0.98127659574468085</v>
      </c>
      <c r="D78" s="101">
        <f t="shared" si="19"/>
        <v>0.98631308810949525</v>
      </c>
      <c r="E78" s="101">
        <f t="shared" si="20"/>
        <v>0.99489361702127654</v>
      </c>
      <c r="F78" s="20">
        <v>4700</v>
      </c>
      <c r="G78" s="20">
        <f t="shared" ref="G78:G89" si="21">F78-H78</f>
        <v>24</v>
      </c>
      <c r="H78" s="20">
        <v>4676</v>
      </c>
      <c r="I78" s="20">
        <v>4612</v>
      </c>
      <c r="J78" s="20">
        <f t="shared" ref="J78:J89" si="22">H78-I78</f>
        <v>64</v>
      </c>
    </row>
    <row r="79" spans="1:10" s="29" customFormat="1" ht="12.75">
      <c r="A79" s="81">
        <v>1999</v>
      </c>
      <c r="B79" s="82" t="s">
        <v>39</v>
      </c>
      <c r="C79" s="101">
        <f t="shared" si="18"/>
        <v>0.98526703499079193</v>
      </c>
      <c r="D79" s="101">
        <f t="shared" si="19"/>
        <v>0.99234871319267326</v>
      </c>
      <c r="E79" s="101">
        <f t="shared" si="20"/>
        <v>0.99286372007366486</v>
      </c>
      <c r="F79" s="20">
        <v>4344</v>
      </c>
      <c r="G79" s="20">
        <f t="shared" si="21"/>
        <v>31</v>
      </c>
      <c r="H79" s="20">
        <v>4313</v>
      </c>
      <c r="I79" s="20">
        <v>4280</v>
      </c>
      <c r="J79" s="20">
        <f t="shared" si="22"/>
        <v>33</v>
      </c>
    </row>
    <row r="80" spans="1:10" s="29" customFormat="1" ht="12.75">
      <c r="A80" s="81">
        <v>1999</v>
      </c>
      <c r="B80" s="82" t="s">
        <v>40</v>
      </c>
      <c r="C80" s="101">
        <f t="shared" si="18"/>
        <v>0.98103483817769532</v>
      </c>
      <c r="D80" s="101">
        <f t="shared" si="19"/>
        <v>0.99083905892150737</v>
      </c>
      <c r="E80" s="101">
        <f t="shared" si="20"/>
        <v>0.99010513296227587</v>
      </c>
      <c r="F80" s="20">
        <v>4851</v>
      </c>
      <c r="G80" s="20">
        <f t="shared" si="21"/>
        <v>48</v>
      </c>
      <c r="H80" s="20">
        <v>4803</v>
      </c>
      <c r="I80" s="20">
        <v>4759</v>
      </c>
      <c r="J80" s="20">
        <f t="shared" si="22"/>
        <v>44</v>
      </c>
    </row>
    <row r="81" spans="1:10" s="29" customFormat="1" ht="12.75">
      <c r="A81" s="81">
        <v>1999</v>
      </c>
      <c r="B81" s="82" t="s">
        <v>41</v>
      </c>
      <c r="C81" s="101">
        <f t="shared" si="18"/>
        <v>0.98919619706136563</v>
      </c>
      <c r="D81" s="101">
        <f t="shared" si="19"/>
        <v>0.99327402907355178</v>
      </c>
      <c r="E81" s="101">
        <f t="shared" si="20"/>
        <v>0.99589455488331891</v>
      </c>
      <c r="F81" s="20">
        <v>4628</v>
      </c>
      <c r="G81" s="20">
        <f t="shared" si="21"/>
        <v>19</v>
      </c>
      <c r="H81" s="20">
        <v>4609</v>
      </c>
      <c r="I81" s="20">
        <v>4578</v>
      </c>
      <c r="J81" s="20">
        <f t="shared" si="22"/>
        <v>31</v>
      </c>
    </row>
    <row r="82" spans="1:10" s="29" customFormat="1" ht="12.75">
      <c r="A82" s="81">
        <v>1999</v>
      </c>
      <c r="B82" s="82" t="s">
        <v>42</v>
      </c>
      <c r="C82" s="101">
        <f t="shared" si="18"/>
        <v>0.98123267221155897</v>
      </c>
      <c r="D82" s="101">
        <f t="shared" si="19"/>
        <v>0.99052744886975241</v>
      </c>
      <c r="E82" s="101">
        <f t="shared" si="20"/>
        <v>0.99061633610577948</v>
      </c>
      <c r="F82" s="20">
        <v>4689</v>
      </c>
      <c r="G82" s="20">
        <f t="shared" si="21"/>
        <v>44</v>
      </c>
      <c r="H82" s="20">
        <v>4645</v>
      </c>
      <c r="I82" s="20">
        <v>4601</v>
      </c>
      <c r="J82" s="20">
        <f t="shared" si="22"/>
        <v>44</v>
      </c>
    </row>
    <row r="83" spans="1:10" s="29" customFormat="1" ht="12.75">
      <c r="A83" s="81">
        <v>1999</v>
      </c>
      <c r="B83" s="82" t="s">
        <v>43</v>
      </c>
      <c r="C83" s="101">
        <f t="shared" si="18"/>
        <v>0.9889429455992923</v>
      </c>
      <c r="D83" s="101">
        <f t="shared" si="19"/>
        <v>0.9942196531791907</v>
      </c>
      <c r="E83" s="101">
        <f t="shared" si="20"/>
        <v>0.99469261388766028</v>
      </c>
      <c r="F83" s="20">
        <v>4522</v>
      </c>
      <c r="G83" s="20">
        <f t="shared" si="21"/>
        <v>24</v>
      </c>
      <c r="H83" s="20">
        <v>4498</v>
      </c>
      <c r="I83" s="20">
        <v>4472</v>
      </c>
      <c r="J83" s="20">
        <f t="shared" si="22"/>
        <v>26</v>
      </c>
    </row>
    <row r="84" spans="1:10" s="29" customFormat="1" ht="12.75">
      <c r="A84" s="81">
        <v>1999</v>
      </c>
      <c r="B84" s="82" t="s">
        <v>44</v>
      </c>
      <c r="C84" s="101">
        <f t="shared" si="18"/>
        <v>0.96870981568795544</v>
      </c>
      <c r="D84" s="101">
        <f t="shared" si="19"/>
        <v>0.98646879092099515</v>
      </c>
      <c r="E84" s="101">
        <f t="shared" si="20"/>
        <v>0.98199742820402913</v>
      </c>
      <c r="F84" s="20">
        <v>4666</v>
      </c>
      <c r="G84" s="20">
        <f t="shared" si="21"/>
        <v>84</v>
      </c>
      <c r="H84" s="20">
        <v>4582</v>
      </c>
      <c r="I84" s="20">
        <v>4520</v>
      </c>
      <c r="J84" s="20">
        <f t="shared" si="22"/>
        <v>62</v>
      </c>
    </row>
    <row r="85" spans="1:10" s="29" customFormat="1" ht="12.75">
      <c r="A85" s="81">
        <v>1999</v>
      </c>
      <c r="B85" s="82" t="s">
        <v>45</v>
      </c>
      <c r="C85" s="101">
        <f t="shared" si="18"/>
        <v>0.946520618556701</v>
      </c>
      <c r="D85" s="101">
        <f t="shared" si="19"/>
        <v>0.97586359610274576</v>
      </c>
      <c r="E85" s="101">
        <f t="shared" si="20"/>
        <v>0.96993127147766323</v>
      </c>
      <c r="F85" s="20">
        <v>4656</v>
      </c>
      <c r="G85" s="20">
        <f t="shared" si="21"/>
        <v>140</v>
      </c>
      <c r="H85" s="20">
        <v>4516</v>
      </c>
      <c r="I85" s="20">
        <v>4407</v>
      </c>
      <c r="J85" s="20">
        <f t="shared" si="22"/>
        <v>109</v>
      </c>
    </row>
    <row r="86" spans="1:10" s="29" customFormat="1" ht="12.75">
      <c r="A86" s="81">
        <v>1999</v>
      </c>
      <c r="B86" s="82" t="s">
        <v>46</v>
      </c>
      <c r="C86" s="101">
        <f t="shared" si="18"/>
        <v>0.95974760661444736</v>
      </c>
      <c r="D86" s="101">
        <f t="shared" si="19"/>
        <v>0.98547810545129577</v>
      </c>
      <c r="E86" s="101">
        <f t="shared" si="20"/>
        <v>0.97389033942558745</v>
      </c>
      <c r="F86" s="20">
        <v>4596</v>
      </c>
      <c r="G86" s="20">
        <f t="shared" si="21"/>
        <v>120</v>
      </c>
      <c r="H86" s="20">
        <v>4476</v>
      </c>
      <c r="I86" s="20">
        <v>4411</v>
      </c>
      <c r="J86" s="20">
        <f t="shared" si="22"/>
        <v>65</v>
      </c>
    </row>
    <row r="87" spans="1:10" s="29" customFormat="1" ht="12.75">
      <c r="A87" s="81">
        <v>1999</v>
      </c>
      <c r="B87" s="82" t="s">
        <v>47</v>
      </c>
      <c r="C87" s="101">
        <f t="shared" si="18"/>
        <v>0.94515499674831993</v>
      </c>
      <c r="D87" s="101">
        <f t="shared" si="19"/>
        <v>0.97234611953612848</v>
      </c>
      <c r="E87" s="101">
        <f t="shared" si="20"/>
        <v>0.97203555170171252</v>
      </c>
      <c r="F87" s="20">
        <v>4613</v>
      </c>
      <c r="G87" s="20">
        <f t="shared" si="21"/>
        <v>129</v>
      </c>
      <c r="H87" s="20">
        <v>4484</v>
      </c>
      <c r="I87" s="20">
        <v>4360</v>
      </c>
      <c r="J87" s="20">
        <f t="shared" si="22"/>
        <v>124</v>
      </c>
    </row>
    <row r="88" spans="1:10" s="29" customFormat="1" ht="12.75">
      <c r="A88" s="81">
        <v>1999</v>
      </c>
      <c r="B88" s="82" t="s">
        <v>48</v>
      </c>
      <c r="C88" s="101">
        <f t="shared" si="18"/>
        <v>0.96583986074847694</v>
      </c>
      <c r="D88" s="101">
        <f t="shared" si="19"/>
        <v>0.97753798722748297</v>
      </c>
      <c r="E88" s="101">
        <f t="shared" si="20"/>
        <v>0.98803307223672754</v>
      </c>
      <c r="F88" s="20">
        <v>4596</v>
      </c>
      <c r="G88" s="20">
        <f t="shared" si="21"/>
        <v>55</v>
      </c>
      <c r="H88" s="20">
        <v>4541</v>
      </c>
      <c r="I88" s="20">
        <v>4439</v>
      </c>
      <c r="J88" s="20">
        <f t="shared" si="22"/>
        <v>102</v>
      </c>
    </row>
    <row r="89" spans="1:10" s="29" customFormat="1" ht="12.75">
      <c r="A89" s="81">
        <v>1999</v>
      </c>
      <c r="B89" s="82" t="s">
        <v>49</v>
      </c>
      <c r="C89" s="101">
        <f t="shared" si="18"/>
        <v>0.97212172802723984</v>
      </c>
      <c r="D89" s="101">
        <f t="shared" si="19"/>
        <v>0.98299978480740258</v>
      </c>
      <c r="E89" s="101">
        <f t="shared" si="20"/>
        <v>0.98893381570546923</v>
      </c>
      <c r="F89" s="20">
        <v>4699</v>
      </c>
      <c r="G89" s="20">
        <f t="shared" si="21"/>
        <v>52</v>
      </c>
      <c r="H89" s="20">
        <v>4647</v>
      </c>
      <c r="I89" s="20">
        <v>4568</v>
      </c>
      <c r="J89" s="20">
        <f t="shared" si="22"/>
        <v>79</v>
      </c>
    </row>
    <row r="90" spans="1:10" s="29" customFormat="1" ht="12.75">
      <c r="A90" s="81">
        <v>2000</v>
      </c>
      <c r="B90" s="82" t="s">
        <v>38</v>
      </c>
      <c r="C90" s="101">
        <f t="shared" si="18"/>
        <v>0.95897766323024058</v>
      </c>
      <c r="D90" s="101">
        <f t="shared" si="19"/>
        <v>0.96540540540540543</v>
      </c>
      <c r="E90" s="101">
        <f t="shared" si="20"/>
        <v>0.99334192439862545</v>
      </c>
      <c r="F90" s="20">
        <v>4656</v>
      </c>
      <c r="G90" s="20">
        <f t="shared" ref="G90:G101" si="23">F90-H90</f>
        <v>31</v>
      </c>
      <c r="H90" s="20">
        <v>4625</v>
      </c>
      <c r="I90" s="20">
        <v>4465</v>
      </c>
      <c r="J90" s="20">
        <f t="shared" ref="J90:J101" si="24">H90-I90</f>
        <v>160</v>
      </c>
    </row>
    <row r="91" spans="1:10" s="29" customFormat="1" ht="12.75">
      <c r="A91" s="81">
        <v>2000</v>
      </c>
      <c r="B91" s="82" t="s">
        <v>39</v>
      </c>
      <c r="C91" s="101">
        <f t="shared" si="18"/>
        <v>0.97516930022573367</v>
      </c>
      <c r="D91" s="101">
        <f t="shared" si="19"/>
        <v>0.98450319051959889</v>
      </c>
      <c r="E91" s="101">
        <f t="shared" si="20"/>
        <v>0.99051918735891653</v>
      </c>
      <c r="F91" s="20">
        <v>4430</v>
      </c>
      <c r="G91" s="20">
        <f t="shared" si="23"/>
        <v>42</v>
      </c>
      <c r="H91" s="20">
        <v>4388</v>
      </c>
      <c r="I91" s="20">
        <v>4320</v>
      </c>
      <c r="J91" s="20">
        <f t="shared" si="24"/>
        <v>68</v>
      </c>
    </row>
    <row r="92" spans="1:10" s="29" customFormat="1" ht="12.75">
      <c r="A92" s="81">
        <v>2000</v>
      </c>
      <c r="B92" s="82" t="s">
        <v>40</v>
      </c>
      <c r="C92" s="101">
        <f t="shared" si="18"/>
        <v>0.98992020159596805</v>
      </c>
      <c r="D92" s="101">
        <f t="shared" si="19"/>
        <v>0.99221216585981897</v>
      </c>
      <c r="E92" s="101">
        <f t="shared" si="20"/>
        <v>0.99769004619907597</v>
      </c>
      <c r="F92" s="20">
        <v>4762</v>
      </c>
      <c r="G92" s="20">
        <f t="shared" si="23"/>
        <v>11</v>
      </c>
      <c r="H92" s="20">
        <v>4751</v>
      </c>
      <c r="I92" s="20">
        <v>4714</v>
      </c>
      <c r="J92" s="20">
        <f t="shared" si="24"/>
        <v>37</v>
      </c>
    </row>
    <row r="93" spans="1:10" s="29" customFormat="1" ht="12.75">
      <c r="A93" s="81">
        <v>2000</v>
      </c>
      <c r="B93" s="82" t="s">
        <v>41</v>
      </c>
      <c r="C93" s="101">
        <f t="shared" si="18"/>
        <v>0.97661344726782096</v>
      </c>
      <c r="D93" s="101">
        <f t="shared" si="19"/>
        <v>0.98592508513053345</v>
      </c>
      <c r="E93" s="101">
        <f t="shared" si="20"/>
        <v>0.99055543062738927</v>
      </c>
      <c r="F93" s="20">
        <v>4447</v>
      </c>
      <c r="G93" s="20">
        <f t="shared" si="23"/>
        <v>42</v>
      </c>
      <c r="H93" s="20">
        <v>4405</v>
      </c>
      <c r="I93" s="20">
        <v>4343</v>
      </c>
      <c r="J93" s="20">
        <f t="shared" si="24"/>
        <v>62</v>
      </c>
    </row>
    <row r="94" spans="1:10" s="29" customFormat="1" ht="12.75">
      <c r="A94" s="81">
        <v>2000</v>
      </c>
      <c r="B94" s="82" t="s">
        <v>42</v>
      </c>
      <c r="C94" s="101">
        <f t="shared" si="18"/>
        <v>0.95133207468009229</v>
      </c>
      <c r="D94" s="101">
        <f t="shared" si="19"/>
        <v>0.97150814053127676</v>
      </c>
      <c r="E94" s="101">
        <f t="shared" si="20"/>
        <v>0.9792322215229704</v>
      </c>
      <c r="F94" s="20">
        <v>4767</v>
      </c>
      <c r="G94" s="20">
        <f t="shared" si="23"/>
        <v>99</v>
      </c>
      <c r="H94" s="20">
        <v>4668</v>
      </c>
      <c r="I94" s="20">
        <v>4535</v>
      </c>
      <c r="J94" s="20">
        <f t="shared" si="24"/>
        <v>133</v>
      </c>
    </row>
    <row r="95" spans="1:10" s="29" customFormat="1" ht="12.75">
      <c r="A95" s="81">
        <v>2000</v>
      </c>
      <c r="B95" s="82" t="s">
        <v>43</v>
      </c>
      <c r="C95" s="101">
        <f t="shared" si="18"/>
        <v>0.96716033483580166</v>
      </c>
      <c r="D95" s="101">
        <f t="shared" si="19"/>
        <v>0.99054737304902174</v>
      </c>
      <c r="E95" s="101">
        <f t="shared" si="20"/>
        <v>0.97638978321528225</v>
      </c>
      <c r="F95" s="20">
        <v>4659</v>
      </c>
      <c r="G95" s="20">
        <f t="shared" si="23"/>
        <v>110</v>
      </c>
      <c r="H95" s="20">
        <v>4549</v>
      </c>
      <c r="I95" s="20">
        <v>4506</v>
      </c>
      <c r="J95" s="20">
        <f t="shared" si="24"/>
        <v>43</v>
      </c>
    </row>
    <row r="96" spans="1:10" s="29" customFormat="1" ht="12.75">
      <c r="A96" s="81">
        <v>2000</v>
      </c>
      <c r="B96" s="82" t="s">
        <v>44</v>
      </c>
      <c r="C96" s="101">
        <f t="shared" si="18"/>
        <v>0.98101001669449084</v>
      </c>
      <c r="D96" s="101">
        <f t="shared" si="19"/>
        <v>0.98781256566505571</v>
      </c>
      <c r="E96" s="101">
        <f t="shared" si="20"/>
        <v>0.99311352253756258</v>
      </c>
      <c r="F96" s="20">
        <v>4792</v>
      </c>
      <c r="G96" s="20">
        <f t="shared" si="23"/>
        <v>33</v>
      </c>
      <c r="H96" s="20">
        <v>4759</v>
      </c>
      <c r="I96" s="20">
        <v>4701</v>
      </c>
      <c r="J96" s="20">
        <f t="shared" si="24"/>
        <v>58</v>
      </c>
    </row>
    <row r="97" spans="1:10" s="29" customFormat="1" ht="12.75">
      <c r="A97" s="81">
        <v>2000</v>
      </c>
      <c r="B97" s="82" t="s">
        <v>45</v>
      </c>
      <c r="C97" s="101">
        <f t="shared" si="18"/>
        <v>0.98409419541417065</v>
      </c>
      <c r="D97" s="101">
        <f t="shared" si="19"/>
        <v>0.98838174273858925</v>
      </c>
      <c r="E97" s="101">
        <f t="shared" si="20"/>
        <v>0.99566205329477375</v>
      </c>
      <c r="F97" s="20">
        <v>4841</v>
      </c>
      <c r="G97" s="20">
        <f t="shared" si="23"/>
        <v>21</v>
      </c>
      <c r="H97" s="20">
        <v>4820</v>
      </c>
      <c r="I97" s="20">
        <v>4764</v>
      </c>
      <c r="J97" s="20">
        <f t="shared" si="24"/>
        <v>56</v>
      </c>
    </row>
    <row r="98" spans="1:10" s="29" customFormat="1" ht="12.75">
      <c r="A98" s="81">
        <v>2000</v>
      </c>
      <c r="B98" s="82" t="s">
        <v>46</v>
      </c>
      <c r="C98" s="101">
        <f t="shared" si="18"/>
        <v>0.97991023723017734</v>
      </c>
      <c r="D98" s="101">
        <f t="shared" si="19"/>
        <v>0.9909228441754917</v>
      </c>
      <c r="E98" s="101">
        <f t="shared" si="20"/>
        <v>0.98888651421243856</v>
      </c>
      <c r="F98" s="20">
        <v>4679</v>
      </c>
      <c r="G98" s="20">
        <f t="shared" si="23"/>
        <v>52</v>
      </c>
      <c r="H98" s="20">
        <v>4627</v>
      </c>
      <c r="I98" s="20">
        <v>4585</v>
      </c>
      <c r="J98" s="20">
        <f t="shared" si="24"/>
        <v>42</v>
      </c>
    </row>
    <row r="99" spans="1:10" s="29" customFormat="1" ht="12.75">
      <c r="A99" s="81">
        <v>2000</v>
      </c>
      <c r="B99" s="82" t="s">
        <v>47</v>
      </c>
      <c r="C99" s="101">
        <f t="shared" si="18"/>
        <v>0.98557089084065241</v>
      </c>
      <c r="D99" s="101">
        <f t="shared" si="19"/>
        <v>0.99221052631578943</v>
      </c>
      <c r="E99" s="101">
        <f t="shared" si="20"/>
        <v>0.99330823923044753</v>
      </c>
      <c r="F99" s="20">
        <v>4782</v>
      </c>
      <c r="G99" s="20">
        <f t="shared" si="23"/>
        <v>32</v>
      </c>
      <c r="H99" s="20">
        <v>4750</v>
      </c>
      <c r="I99" s="20">
        <v>4713</v>
      </c>
      <c r="J99" s="20">
        <f t="shared" si="24"/>
        <v>37</v>
      </c>
    </row>
    <row r="100" spans="1:10" s="29" customFormat="1" ht="12.75">
      <c r="A100" s="81">
        <v>2000</v>
      </c>
      <c r="B100" s="82" t="s">
        <v>48</v>
      </c>
      <c r="C100" s="101">
        <f t="shared" si="18"/>
        <v>0.9634329963432996</v>
      </c>
      <c r="D100" s="101">
        <f t="shared" si="19"/>
        <v>0.99268617021276595</v>
      </c>
      <c r="E100" s="101">
        <f t="shared" si="20"/>
        <v>0.97053129705312968</v>
      </c>
      <c r="F100" s="20">
        <v>4649</v>
      </c>
      <c r="G100" s="20">
        <f t="shared" si="23"/>
        <v>137</v>
      </c>
      <c r="H100" s="20">
        <v>4512</v>
      </c>
      <c r="I100" s="20">
        <v>4479</v>
      </c>
      <c r="J100" s="20">
        <f t="shared" si="24"/>
        <v>33</v>
      </c>
    </row>
    <row r="101" spans="1:10" s="29" customFormat="1" ht="12.75">
      <c r="A101" s="81">
        <v>2000</v>
      </c>
      <c r="B101" s="82" t="s">
        <v>49</v>
      </c>
      <c r="C101" s="101">
        <f t="shared" si="18"/>
        <v>0.97026101839965773</v>
      </c>
      <c r="D101" s="101">
        <f t="shared" si="19"/>
        <v>0.98266522210184182</v>
      </c>
      <c r="E101" s="101">
        <f t="shared" si="20"/>
        <v>0.98737697903294819</v>
      </c>
      <c r="F101" s="20">
        <v>4674</v>
      </c>
      <c r="G101" s="20">
        <f t="shared" si="23"/>
        <v>59</v>
      </c>
      <c r="H101" s="20">
        <v>4615</v>
      </c>
      <c r="I101" s="20">
        <v>4535</v>
      </c>
      <c r="J101" s="20">
        <f t="shared" si="24"/>
        <v>80</v>
      </c>
    </row>
    <row r="102" spans="1:10" s="29" customFormat="1" ht="12.75">
      <c r="A102" s="81">
        <v>2001</v>
      </c>
      <c r="B102" s="82" t="s">
        <v>38</v>
      </c>
      <c r="C102" s="101">
        <f t="shared" si="18"/>
        <v>0.98657302210287134</v>
      </c>
      <c r="D102" s="101">
        <f t="shared" si="19"/>
        <v>0.99355107135427501</v>
      </c>
      <c r="E102" s="101">
        <f t="shared" si="20"/>
        <v>0.99297665771534804</v>
      </c>
      <c r="F102" s="20">
        <v>4841</v>
      </c>
      <c r="G102" s="20">
        <f t="shared" ref="G102:G113" si="25">F102-H102</f>
        <v>34</v>
      </c>
      <c r="H102" s="20">
        <v>4807</v>
      </c>
      <c r="I102" s="20">
        <v>4776</v>
      </c>
      <c r="J102" s="20">
        <f t="shared" ref="J102:J113" si="26">H102-I102</f>
        <v>31</v>
      </c>
    </row>
    <row r="103" spans="1:10" s="29" customFormat="1" ht="12.75">
      <c r="A103" s="81">
        <v>2001</v>
      </c>
      <c r="B103" s="82" t="s">
        <v>39</v>
      </c>
      <c r="C103" s="101">
        <f t="shared" si="18"/>
        <v>0.98745437956204385</v>
      </c>
      <c r="D103" s="101">
        <f t="shared" si="19"/>
        <v>0.99357355978884554</v>
      </c>
      <c r="E103" s="101">
        <f t="shared" si="20"/>
        <v>0.99384124087591241</v>
      </c>
      <c r="F103" s="20">
        <v>4384</v>
      </c>
      <c r="G103" s="20">
        <f t="shared" si="25"/>
        <v>27</v>
      </c>
      <c r="H103" s="20">
        <v>4357</v>
      </c>
      <c r="I103" s="20">
        <v>4329</v>
      </c>
      <c r="J103" s="20">
        <f t="shared" si="26"/>
        <v>28</v>
      </c>
    </row>
    <row r="104" spans="1:10" s="29" customFormat="1" ht="12.75">
      <c r="A104" s="81">
        <v>2001</v>
      </c>
      <c r="B104" s="82" t="s">
        <v>40</v>
      </c>
      <c r="C104" s="101">
        <f t="shared" si="18"/>
        <v>0.98185941043083902</v>
      </c>
      <c r="D104" s="101">
        <f t="shared" si="19"/>
        <v>0.98920041536863967</v>
      </c>
      <c r="E104" s="101">
        <f t="shared" si="20"/>
        <v>0.99257884972170685</v>
      </c>
      <c r="F104" s="20">
        <v>4851</v>
      </c>
      <c r="G104" s="20">
        <f t="shared" si="25"/>
        <v>36</v>
      </c>
      <c r="H104" s="20">
        <v>4815</v>
      </c>
      <c r="I104" s="20">
        <v>4763</v>
      </c>
      <c r="J104" s="20">
        <f t="shared" si="26"/>
        <v>52</v>
      </c>
    </row>
    <row r="105" spans="1:10" s="29" customFormat="1" ht="12.75">
      <c r="A105" s="81">
        <v>2001</v>
      </c>
      <c r="B105" s="82" t="s">
        <v>41</v>
      </c>
      <c r="C105" s="101">
        <f t="shared" si="18"/>
        <v>0.98571742474181501</v>
      </c>
      <c r="D105" s="101">
        <f t="shared" si="19"/>
        <v>0.99006841756786579</v>
      </c>
      <c r="E105" s="101">
        <f t="shared" si="20"/>
        <v>0.99560536145902001</v>
      </c>
      <c r="F105" s="20">
        <v>4551</v>
      </c>
      <c r="G105" s="20">
        <f t="shared" si="25"/>
        <v>20</v>
      </c>
      <c r="H105" s="20">
        <v>4531</v>
      </c>
      <c r="I105" s="20">
        <v>4486</v>
      </c>
      <c r="J105" s="20">
        <f t="shared" si="26"/>
        <v>45</v>
      </c>
    </row>
    <row r="106" spans="1:10" s="29" customFormat="1" ht="12.75">
      <c r="A106" s="81">
        <v>2001</v>
      </c>
      <c r="B106" s="82" t="s">
        <v>42</v>
      </c>
      <c r="C106" s="101">
        <f t="shared" si="18"/>
        <v>0.97156001672940195</v>
      </c>
      <c r="D106" s="101">
        <f t="shared" si="19"/>
        <v>0.98767006802721091</v>
      </c>
      <c r="E106" s="101">
        <f t="shared" si="20"/>
        <v>0.98368883312421584</v>
      </c>
      <c r="F106" s="20">
        <v>4782</v>
      </c>
      <c r="G106" s="20">
        <f t="shared" si="25"/>
        <v>78</v>
      </c>
      <c r="H106" s="20">
        <v>4704</v>
      </c>
      <c r="I106" s="20">
        <v>4646</v>
      </c>
      <c r="J106" s="20">
        <f t="shared" si="26"/>
        <v>58</v>
      </c>
    </row>
    <row r="107" spans="1:10" s="29" customFormat="1" ht="12.75">
      <c r="A107" s="81">
        <v>2001</v>
      </c>
      <c r="B107" s="82" t="s">
        <v>43</v>
      </c>
      <c r="C107" s="101">
        <f t="shared" si="18"/>
        <v>0.98701298701298701</v>
      </c>
      <c r="D107" s="101">
        <f t="shared" si="19"/>
        <v>0.99368054042275</v>
      </c>
      <c r="E107" s="101">
        <f t="shared" si="20"/>
        <v>0.99329004329004333</v>
      </c>
      <c r="F107" s="20">
        <v>4620</v>
      </c>
      <c r="G107" s="20">
        <f t="shared" si="25"/>
        <v>31</v>
      </c>
      <c r="H107" s="20">
        <v>4589</v>
      </c>
      <c r="I107" s="20">
        <v>4560</v>
      </c>
      <c r="J107" s="20">
        <f t="shared" si="26"/>
        <v>29</v>
      </c>
    </row>
    <row r="108" spans="1:10" s="29" customFormat="1" ht="12.75">
      <c r="A108" s="81">
        <v>2001</v>
      </c>
      <c r="B108" s="82" t="s">
        <v>44</v>
      </c>
      <c r="C108" s="101">
        <f t="shared" si="18"/>
        <v>0.97044439719328091</v>
      </c>
      <c r="D108" s="101">
        <f t="shared" si="19"/>
        <v>0.99002169197396961</v>
      </c>
      <c r="E108" s="101">
        <f t="shared" si="20"/>
        <v>0.98022538805018078</v>
      </c>
      <c r="F108" s="20">
        <v>4703</v>
      </c>
      <c r="G108" s="20">
        <f t="shared" si="25"/>
        <v>93</v>
      </c>
      <c r="H108" s="20">
        <v>4610</v>
      </c>
      <c r="I108" s="20">
        <v>4564</v>
      </c>
      <c r="J108" s="20">
        <f t="shared" si="26"/>
        <v>46</v>
      </c>
    </row>
    <row r="109" spans="1:10" s="29" customFormat="1" ht="12.75">
      <c r="A109" s="81">
        <v>2001</v>
      </c>
      <c r="B109" s="82" t="s">
        <v>45</v>
      </c>
      <c r="C109" s="101">
        <f t="shared" si="18"/>
        <v>0.9797562487089444</v>
      </c>
      <c r="D109" s="101">
        <f t="shared" si="19"/>
        <v>0.99101546176347677</v>
      </c>
      <c r="E109" s="101">
        <f t="shared" si="20"/>
        <v>0.98863871101012191</v>
      </c>
      <c r="F109" s="20">
        <v>4841</v>
      </c>
      <c r="G109" s="20">
        <f t="shared" si="25"/>
        <v>55</v>
      </c>
      <c r="H109" s="20">
        <v>4786</v>
      </c>
      <c r="I109" s="20">
        <v>4743</v>
      </c>
      <c r="J109" s="20">
        <f t="shared" si="26"/>
        <v>43</v>
      </c>
    </row>
    <row r="110" spans="1:10" s="29" customFormat="1" ht="12.75">
      <c r="A110" s="81">
        <v>2001</v>
      </c>
      <c r="B110" s="82" t="s">
        <v>46</v>
      </c>
      <c r="C110" s="101">
        <f t="shared" si="18"/>
        <v>0.98008658008658012</v>
      </c>
      <c r="D110" s="101">
        <f t="shared" si="19"/>
        <v>0.98886219698624156</v>
      </c>
      <c r="E110" s="101">
        <f t="shared" si="20"/>
        <v>0.99112554112554108</v>
      </c>
      <c r="F110" s="20">
        <v>4620</v>
      </c>
      <c r="G110" s="20">
        <f t="shared" si="25"/>
        <v>41</v>
      </c>
      <c r="H110" s="20">
        <v>4579</v>
      </c>
      <c r="I110" s="20">
        <v>4528</v>
      </c>
      <c r="J110" s="20">
        <f t="shared" si="26"/>
        <v>51</v>
      </c>
    </row>
    <row r="111" spans="1:10" s="29" customFormat="1" ht="12.75">
      <c r="A111" s="81">
        <v>2001</v>
      </c>
      <c r="B111" s="82" t="s">
        <v>47</v>
      </c>
      <c r="C111" s="101">
        <f t="shared" si="18"/>
        <v>0.98636645321214622</v>
      </c>
      <c r="D111" s="101">
        <f t="shared" si="19"/>
        <v>0.99354972950478571</v>
      </c>
      <c r="E111" s="101">
        <f t="shared" si="20"/>
        <v>0.99277008882462303</v>
      </c>
      <c r="F111" s="20">
        <v>4841</v>
      </c>
      <c r="G111" s="20">
        <f t="shared" si="25"/>
        <v>35</v>
      </c>
      <c r="H111" s="20">
        <v>4806</v>
      </c>
      <c r="I111" s="20">
        <v>4775</v>
      </c>
      <c r="J111" s="20">
        <f t="shared" si="26"/>
        <v>31</v>
      </c>
    </row>
    <row r="112" spans="1:10" s="29" customFormat="1" ht="12.75">
      <c r="A112" s="81">
        <v>2001</v>
      </c>
      <c r="B112" s="82" t="s">
        <v>48</v>
      </c>
      <c r="C112" s="101">
        <f t="shared" si="18"/>
        <v>0.98643493005510807</v>
      </c>
      <c r="D112" s="101">
        <f t="shared" si="19"/>
        <v>0.99232409381663111</v>
      </c>
      <c r="E112" s="101">
        <f t="shared" si="20"/>
        <v>0.99406528189910981</v>
      </c>
      <c r="F112" s="20">
        <v>4718</v>
      </c>
      <c r="G112" s="20">
        <f t="shared" si="25"/>
        <v>28</v>
      </c>
      <c r="H112" s="20">
        <v>4690</v>
      </c>
      <c r="I112" s="20">
        <v>4654</v>
      </c>
      <c r="J112" s="20">
        <f t="shared" si="26"/>
        <v>36</v>
      </c>
    </row>
    <row r="113" spans="1:10" s="29" customFormat="1" ht="12.75">
      <c r="A113" s="81">
        <v>2001</v>
      </c>
      <c r="B113" s="82" t="s">
        <v>49</v>
      </c>
      <c r="C113" s="101">
        <f t="shared" si="18"/>
        <v>0.91093379340090574</v>
      </c>
      <c r="D113" s="101">
        <f t="shared" si="19"/>
        <v>0.98992266229200843</v>
      </c>
      <c r="E113" s="101">
        <f t="shared" si="20"/>
        <v>0.92020703040759111</v>
      </c>
      <c r="F113" s="20">
        <v>4637</v>
      </c>
      <c r="G113" s="20">
        <f t="shared" si="25"/>
        <v>370</v>
      </c>
      <c r="H113" s="20">
        <v>4267</v>
      </c>
      <c r="I113" s="20">
        <v>4224</v>
      </c>
      <c r="J113" s="20">
        <f t="shared" si="26"/>
        <v>43</v>
      </c>
    </row>
    <row r="114" spans="1:10" s="29" customFormat="1" ht="12.75">
      <c r="A114" s="81">
        <v>2002</v>
      </c>
      <c r="B114" s="82" t="s">
        <v>38</v>
      </c>
      <c r="C114" s="101">
        <f t="shared" si="18"/>
        <v>0.83179406563175473</v>
      </c>
      <c r="D114" s="101">
        <f t="shared" si="19"/>
        <v>0.99389528058229626</v>
      </c>
      <c r="E114" s="101">
        <f t="shared" si="20"/>
        <v>0.8369031243859304</v>
      </c>
      <c r="F114" s="20">
        <v>5089</v>
      </c>
      <c r="G114" s="20">
        <f t="shared" ref="G114:G125" si="27">F114-H114</f>
        <v>830</v>
      </c>
      <c r="H114" s="20">
        <v>4259</v>
      </c>
      <c r="I114" s="20">
        <v>4233</v>
      </c>
      <c r="J114" s="20">
        <f t="shared" ref="J114:J125" si="28">H114-I114</f>
        <v>26</v>
      </c>
    </row>
    <row r="115" spans="1:10" s="29" customFormat="1" ht="12.75">
      <c r="A115" s="81">
        <v>2002</v>
      </c>
      <c r="B115" s="82" t="s">
        <v>39</v>
      </c>
      <c r="C115" s="101">
        <f t="shared" si="18"/>
        <v>0.72368421052631582</v>
      </c>
      <c r="D115" s="101">
        <f t="shared" si="19"/>
        <v>0.98880047155909223</v>
      </c>
      <c r="E115" s="101">
        <f t="shared" si="20"/>
        <v>0.73188093183779124</v>
      </c>
      <c r="F115" s="20">
        <v>4636</v>
      </c>
      <c r="G115" s="20">
        <f t="shared" si="27"/>
        <v>1243</v>
      </c>
      <c r="H115" s="20">
        <v>3393</v>
      </c>
      <c r="I115" s="20">
        <v>3355</v>
      </c>
      <c r="J115" s="20">
        <f t="shared" si="28"/>
        <v>38</v>
      </c>
    </row>
    <row r="116" spans="1:10" s="29" customFormat="1" ht="12.75">
      <c r="A116" s="81">
        <v>2002</v>
      </c>
      <c r="B116" s="82" t="s">
        <v>40</v>
      </c>
      <c r="C116" s="101">
        <f t="shared" si="18"/>
        <v>0.72859450726979003</v>
      </c>
      <c r="D116" s="101">
        <f t="shared" si="19"/>
        <v>0.98176870748299316</v>
      </c>
      <c r="E116" s="101">
        <f t="shared" si="20"/>
        <v>0.74212439418416798</v>
      </c>
      <c r="F116" s="20">
        <v>4952</v>
      </c>
      <c r="G116" s="20">
        <f t="shared" si="27"/>
        <v>1277</v>
      </c>
      <c r="H116" s="20">
        <v>3675</v>
      </c>
      <c r="I116" s="20">
        <v>3608</v>
      </c>
      <c r="J116" s="20">
        <f t="shared" si="28"/>
        <v>67</v>
      </c>
    </row>
    <row r="117" spans="1:10" s="29" customFormat="1" ht="12.75">
      <c r="A117" s="81">
        <v>2002</v>
      </c>
      <c r="B117" s="82" t="s">
        <v>41</v>
      </c>
      <c r="C117" s="101">
        <f t="shared" si="18"/>
        <v>0.68722109533468556</v>
      </c>
      <c r="D117" s="101">
        <f t="shared" si="19"/>
        <v>0.97608758282915586</v>
      </c>
      <c r="E117" s="101">
        <f t="shared" si="20"/>
        <v>0.70405679513184583</v>
      </c>
      <c r="F117" s="20">
        <v>4930</v>
      </c>
      <c r="G117" s="20">
        <f t="shared" si="27"/>
        <v>1459</v>
      </c>
      <c r="H117" s="20">
        <v>3471</v>
      </c>
      <c r="I117" s="20">
        <v>3388</v>
      </c>
      <c r="J117" s="20">
        <f t="shared" si="28"/>
        <v>83</v>
      </c>
    </row>
    <row r="118" spans="1:10" s="29" customFormat="1" ht="12.75">
      <c r="A118" s="81">
        <v>2002</v>
      </c>
      <c r="B118" s="82" t="s">
        <v>42</v>
      </c>
      <c r="C118" s="101">
        <f t="shared" si="18"/>
        <v>0.71378022410064867</v>
      </c>
      <c r="D118" s="101">
        <f t="shared" si="19"/>
        <v>0.9734584450402145</v>
      </c>
      <c r="E118" s="101">
        <f t="shared" si="20"/>
        <v>0.73324159622567331</v>
      </c>
      <c r="F118" s="20">
        <v>5087</v>
      </c>
      <c r="G118" s="20">
        <f t="shared" si="27"/>
        <v>1357</v>
      </c>
      <c r="H118" s="20">
        <v>3730</v>
      </c>
      <c r="I118" s="20">
        <v>3631</v>
      </c>
      <c r="J118" s="20">
        <f t="shared" si="28"/>
        <v>99</v>
      </c>
    </row>
    <row r="119" spans="1:10" s="29" customFormat="1" ht="12.75">
      <c r="A119" s="81">
        <v>2002</v>
      </c>
      <c r="B119" s="82" t="s">
        <v>43</v>
      </c>
      <c r="C119" s="101">
        <f t="shared" si="18"/>
        <v>0.73312564901349953</v>
      </c>
      <c r="D119" s="101">
        <f t="shared" si="19"/>
        <v>0.98962713765068688</v>
      </c>
      <c r="E119" s="101">
        <f t="shared" si="20"/>
        <v>0.74080996884735206</v>
      </c>
      <c r="F119" s="20">
        <v>4815</v>
      </c>
      <c r="G119" s="20">
        <f t="shared" si="27"/>
        <v>1248</v>
      </c>
      <c r="H119" s="20">
        <v>3567</v>
      </c>
      <c r="I119" s="20">
        <v>3530</v>
      </c>
      <c r="J119" s="20">
        <f t="shared" si="28"/>
        <v>37</v>
      </c>
    </row>
    <row r="120" spans="1:10" s="29" customFormat="1" ht="12.75">
      <c r="A120" s="81">
        <v>2002</v>
      </c>
      <c r="B120" s="82" t="s">
        <v>44</v>
      </c>
      <c r="C120" s="101">
        <f t="shared" si="18"/>
        <v>0.72476525821596249</v>
      </c>
      <c r="D120" s="101">
        <f t="shared" si="19"/>
        <v>0.98484848484848486</v>
      </c>
      <c r="E120" s="101">
        <f t="shared" si="20"/>
        <v>0.7359154929577465</v>
      </c>
      <c r="F120" s="20">
        <v>5112</v>
      </c>
      <c r="G120" s="20">
        <f t="shared" si="27"/>
        <v>1350</v>
      </c>
      <c r="H120" s="20">
        <v>3762</v>
      </c>
      <c r="I120" s="20">
        <v>3705</v>
      </c>
      <c r="J120" s="20">
        <f t="shared" si="28"/>
        <v>57</v>
      </c>
    </row>
    <row r="121" spans="1:10" s="29" customFormat="1" ht="12.75">
      <c r="A121" s="81">
        <v>2002</v>
      </c>
      <c r="B121" s="82" t="s">
        <v>45</v>
      </c>
      <c r="C121" s="101">
        <f t="shared" si="18"/>
        <v>0.72705743043220838</v>
      </c>
      <c r="D121" s="101">
        <f t="shared" si="19"/>
        <v>0.98450026723677175</v>
      </c>
      <c r="E121" s="101">
        <f t="shared" si="20"/>
        <v>0.73850404578646145</v>
      </c>
      <c r="F121" s="20">
        <v>5067</v>
      </c>
      <c r="G121" s="20">
        <f t="shared" si="27"/>
        <v>1325</v>
      </c>
      <c r="H121" s="20">
        <v>3742</v>
      </c>
      <c r="I121" s="20">
        <v>3684</v>
      </c>
      <c r="J121" s="20">
        <f t="shared" si="28"/>
        <v>58</v>
      </c>
    </row>
    <row r="122" spans="1:10" s="29" customFormat="1" ht="12.75">
      <c r="A122" s="81">
        <v>2002</v>
      </c>
      <c r="B122" s="82" t="s">
        <v>46</v>
      </c>
      <c r="C122" s="101">
        <f t="shared" si="18"/>
        <v>0.84694793536804314</v>
      </c>
      <c r="D122" s="101">
        <f t="shared" si="19"/>
        <v>0.98847564169722368</v>
      </c>
      <c r="E122" s="101">
        <f t="shared" si="20"/>
        <v>0.85682226211849188</v>
      </c>
      <c r="F122" s="20">
        <v>4456</v>
      </c>
      <c r="G122" s="20">
        <f t="shared" si="27"/>
        <v>638</v>
      </c>
      <c r="H122" s="20">
        <v>3818</v>
      </c>
      <c r="I122" s="20">
        <v>3774</v>
      </c>
      <c r="J122" s="20">
        <f t="shared" si="28"/>
        <v>44</v>
      </c>
    </row>
    <row r="123" spans="1:10" s="29" customFormat="1" ht="12.75">
      <c r="A123" s="81">
        <v>2002</v>
      </c>
      <c r="B123" s="82" t="s">
        <v>47</v>
      </c>
      <c r="C123" s="101">
        <f t="shared" si="18"/>
        <v>0.97950325536532434</v>
      </c>
      <c r="D123" s="101">
        <f t="shared" si="19"/>
        <v>0.98401162790697672</v>
      </c>
      <c r="E123" s="101">
        <f t="shared" si="20"/>
        <v>0.99541837472871952</v>
      </c>
      <c r="F123" s="20">
        <v>4147</v>
      </c>
      <c r="G123" s="20">
        <f t="shared" si="27"/>
        <v>19</v>
      </c>
      <c r="H123" s="20">
        <v>4128</v>
      </c>
      <c r="I123" s="20">
        <v>4062</v>
      </c>
      <c r="J123" s="20">
        <f t="shared" si="28"/>
        <v>66</v>
      </c>
    </row>
    <row r="124" spans="1:10" s="29" customFormat="1" ht="12.75">
      <c r="A124" s="81">
        <v>2002</v>
      </c>
      <c r="B124" s="82" t="s">
        <v>48</v>
      </c>
      <c r="C124" s="101">
        <f t="shared" si="18"/>
        <v>0.96443670728674458</v>
      </c>
      <c r="D124" s="101">
        <f t="shared" si="19"/>
        <v>0.97022767075306482</v>
      </c>
      <c r="E124" s="101">
        <f t="shared" si="20"/>
        <v>0.99403133548868439</v>
      </c>
      <c r="F124" s="20">
        <v>4021</v>
      </c>
      <c r="G124" s="20">
        <f t="shared" si="27"/>
        <v>24</v>
      </c>
      <c r="H124" s="20">
        <v>3997</v>
      </c>
      <c r="I124" s="20">
        <v>3878</v>
      </c>
      <c r="J124" s="20">
        <f t="shared" si="28"/>
        <v>119</v>
      </c>
    </row>
    <row r="125" spans="1:10" s="29" customFormat="1" ht="12.75">
      <c r="A125" s="81">
        <v>2002</v>
      </c>
      <c r="B125" s="82" t="s">
        <v>49</v>
      </c>
      <c r="C125" s="101">
        <f t="shared" si="18"/>
        <v>0.960693359375</v>
      </c>
      <c r="D125" s="101">
        <f t="shared" si="19"/>
        <v>0.97376886909180893</v>
      </c>
      <c r="E125" s="101">
        <f t="shared" si="20"/>
        <v>0.986572265625</v>
      </c>
      <c r="F125" s="20">
        <v>4096</v>
      </c>
      <c r="G125" s="20">
        <f t="shared" si="27"/>
        <v>55</v>
      </c>
      <c r="H125" s="20">
        <v>4041</v>
      </c>
      <c r="I125" s="20">
        <v>3935</v>
      </c>
      <c r="J125" s="20">
        <f t="shared" si="28"/>
        <v>106</v>
      </c>
    </row>
    <row r="126" spans="1:10" s="29" customFormat="1" ht="12.75">
      <c r="A126" s="81">
        <v>2003</v>
      </c>
      <c r="B126" s="82" t="s">
        <v>38</v>
      </c>
      <c r="C126" s="101">
        <f t="shared" si="18"/>
        <v>0.96672293224017358</v>
      </c>
      <c r="D126" s="101">
        <f t="shared" si="19"/>
        <v>0.97164323800290842</v>
      </c>
      <c r="E126" s="101">
        <f t="shared" si="20"/>
        <v>0.99493609838437425</v>
      </c>
      <c r="F126" s="20">
        <v>4147</v>
      </c>
      <c r="G126" s="20">
        <f t="shared" ref="G126:G137" si="29">F126-H126</f>
        <v>21</v>
      </c>
      <c r="H126" s="20">
        <v>4126</v>
      </c>
      <c r="I126" s="20">
        <v>4009</v>
      </c>
      <c r="J126" s="20">
        <f t="shared" ref="J126:J137" si="30">H126-I126</f>
        <v>117</v>
      </c>
    </row>
    <row r="127" spans="1:10" s="29" customFormat="1" ht="12.75">
      <c r="A127" s="81">
        <v>2003</v>
      </c>
      <c r="B127" s="82" t="s">
        <v>39</v>
      </c>
      <c r="C127" s="101">
        <f t="shared" si="18"/>
        <v>0.96382978723404256</v>
      </c>
      <c r="D127" s="101">
        <f t="shared" si="19"/>
        <v>0.97367006985491666</v>
      </c>
      <c r="E127" s="101">
        <f t="shared" si="20"/>
        <v>0.98989361702127665</v>
      </c>
      <c r="F127" s="20">
        <v>3760</v>
      </c>
      <c r="G127" s="20">
        <f t="shared" si="29"/>
        <v>38</v>
      </c>
      <c r="H127" s="20">
        <v>3722</v>
      </c>
      <c r="I127" s="20">
        <v>3624</v>
      </c>
      <c r="J127" s="20">
        <f t="shared" si="30"/>
        <v>98</v>
      </c>
    </row>
    <row r="128" spans="1:10" s="29" customFormat="1" ht="12.75">
      <c r="A128" s="81">
        <v>2003</v>
      </c>
      <c r="B128" s="82" t="s">
        <v>40</v>
      </c>
      <c r="C128" s="101">
        <f t="shared" si="18"/>
        <v>0.92988929889298888</v>
      </c>
      <c r="D128" s="101">
        <f t="shared" si="19"/>
        <v>0.96873398257303944</v>
      </c>
      <c r="E128" s="101">
        <f t="shared" si="20"/>
        <v>0.95990159901599015</v>
      </c>
      <c r="F128" s="20">
        <v>4065</v>
      </c>
      <c r="G128" s="20">
        <f t="shared" si="29"/>
        <v>163</v>
      </c>
      <c r="H128" s="20">
        <v>3902</v>
      </c>
      <c r="I128" s="20">
        <v>3780</v>
      </c>
      <c r="J128" s="20">
        <f t="shared" si="30"/>
        <v>122</v>
      </c>
    </row>
    <row r="129" spans="1:10" s="29" customFormat="1" ht="12.75">
      <c r="A129" s="81">
        <v>2003</v>
      </c>
      <c r="B129" s="82" t="s">
        <v>41</v>
      </c>
      <c r="C129" s="101">
        <f t="shared" si="18"/>
        <v>0.96450887278180453</v>
      </c>
      <c r="D129" s="101">
        <f t="shared" si="19"/>
        <v>0.96838143036386448</v>
      </c>
      <c r="E129" s="101">
        <f t="shared" si="20"/>
        <v>0.99600099975006251</v>
      </c>
      <c r="F129" s="20">
        <v>4001</v>
      </c>
      <c r="G129" s="20">
        <f t="shared" si="29"/>
        <v>16</v>
      </c>
      <c r="H129" s="20">
        <v>3985</v>
      </c>
      <c r="I129" s="20">
        <v>3859</v>
      </c>
      <c r="J129" s="20">
        <f t="shared" si="30"/>
        <v>126</v>
      </c>
    </row>
    <row r="130" spans="1:10" s="29" customFormat="1" ht="12.75">
      <c r="A130" s="81">
        <v>2003</v>
      </c>
      <c r="B130" s="82" t="s">
        <v>42</v>
      </c>
      <c r="C130" s="101">
        <f t="shared" si="18"/>
        <v>0.95553935860058314</v>
      </c>
      <c r="D130" s="101">
        <f t="shared" si="19"/>
        <v>0.95880058508044852</v>
      </c>
      <c r="E130" s="101">
        <f t="shared" si="20"/>
        <v>0.99659863945578231</v>
      </c>
      <c r="F130" s="20">
        <v>4116</v>
      </c>
      <c r="G130" s="20">
        <f t="shared" si="29"/>
        <v>14</v>
      </c>
      <c r="H130" s="20">
        <v>4102</v>
      </c>
      <c r="I130" s="20">
        <v>3933</v>
      </c>
      <c r="J130" s="20">
        <f t="shared" si="30"/>
        <v>169</v>
      </c>
    </row>
    <row r="131" spans="1:10" s="29" customFormat="1" ht="12.75">
      <c r="A131" s="81">
        <v>2003</v>
      </c>
      <c r="B131" s="82" t="s">
        <v>43</v>
      </c>
      <c r="C131" s="101">
        <f t="shared" si="18"/>
        <v>0.96683544303797464</v>
      </c>
      <c r="D131" s="101">
        <f t="shared" si="19"/>
        <v>0.97027439024390238</v>
      </c>
      <c r="E131" s="101">
        <f t="shared" si="20"/>
        <v>0.9964556962025316</v>
      </c>
      <c r="F131" s="20">
        <v>3950</v>
      </c>
      <c r="G131" s="20">
        <f t="shared" si="29"/>
        <v>14</v>
      </c>
      <c r="H131" s="20">
        <v>3936</v>
      </c>
      <c r="I131" s="20">
        <v>3819</v>
      </c>
      <c r="J131" s="20">
        <f t="shared" si="30"/>
        <v>117</v>
      </c>
    </row>
    <row r="132" spans="1:10" s="29" customFormat="1" ht="12.75">
      <c r="A132" s="81">
        <v>2003</v>
      </c>
      <c r="B132" s="82" t="s">
        <v>44</v>
      </c>
      <c r="C132" s="101">
        <f t="shared" si="18"/>
        <v>0.94670846394984332</v>
      </c>
      <c r="D132" s="101">
        <f t="shared" si="19"/>
        <v>0.95314396698227721</v>
      </c>
      <c r="E132" s="101">
        <f t="shared" si="20"/>
        <v>0.99324813117916566</v>
      </c>
      <c r="F132" s="20">
        <v>4147</v>
      </c>
      <c r="G132" s="20">
        <f t="shared" si="29"/>
        <v>28</v>
      </c>
      <c r="H132" s="20">
        <v>4119</v>
      </c>
      <c r="I132" s="20">
        <v>3926</v>
      </c>
      <c r="J132" s="20">
        <f t="shared" si="30"/>
        <v>193</v>
      </c>
    </row>
    <row r="133" spans="1:10" s="29" customFormat="1" ht="12.75">
      <c r="A133" s="81">
        <v>2003</v>
      </c>
      <c r="B133" s="82" t="s">
        <v>45</v>
      </c>
      <c r="C133" s="101">
        <f t="shared" si="18"/>
        <v>0.9456334563345633</v>
      </c>
      <c r="D133" s="101">
        <f t="shared" si="19"/>
        <v>0.95836449763151332</v>
      </c>
      <c r="E133" s="101">
        <f t="shared" si="20"/>
        <v>0.98671586715867154</v>
      </c>
      <c r="F133" s="20">
        <v>4065</v>
      </c>
      <c r="G133" s="20">
        <f t="shared" si="29"/>
        <v>54</v>
      </c>
      <c r="H133" s="20">
        <v>4011</v>
      </c>
      <c r="I133" s="20">
        <v>3844</v>
      </c>
      <c r="J133" s="20">
        <f t="shared" si="30"/>
        <v>167</v>
      </c>
    </row>
    <row r="134" spans="1:10" s="29" customFormat="1" ht="12.75">
      <c r="A134" s="81">
        <v>2003</v>
      </c>
      <c r="B134" s="82" t="s">
        <v>46</v>
      </c>
      <c r="C134" s="101">
        <f t="shared" si="18"/>
        <v>0.96079812206572768</v>
      </c>
      <c r="D134" s="101">
        <f t="shared" si="19"/>
        <v>0.96784109718609601</v>
      </c>
      <c r="E134" s="101">
        <f t="shared" si="20"/>
        <v>0.99272300469483565</v>
      </c>
      <c r="F134" s="20">
        <v>4260</v>
      </c>
      <c r="G134" s="20">
        <f t="shared" si="29"/>
        <v>31</v>
      </c>
      <c r="H134" s="20">
        <v>4229</v>
      </c>
      <c r="I134" s="20">
        <v>4093</v>
      </c>
      <c r="J134" s="20">
        <f t="shared" si="30"/>
        <v>136</v>
      </c>
    </row>
    <row r="135" spans="1:10" s="29" customFormat="1" ht="12.75">
      <c r="A135" s="81">
        <v>2003</v>
      </c>
      <c r="B135" s="82" t="s">
        <v>47</v>
      </c>
      <c r="C135" s="101">
        <f t="shared" ref="C135:C198" si="31">I135/F135</f>
        <v>0.96537365768134997</v>
      </c>
      <c r="D135" s="101">
        <f t="shared" ref="D135:D198" si="32">I135/H135</f>
        <v>0.97305058537662914</v>
      </c>
      <c r="E135" s="101">
        <f t="shared" ref="E135:E198" si="33">H135/F135</f>
        <v>0.99211045364891515</v>
      </c>
      <c r="F135" s="20">
        <v>4563</v>
      </c>
      <c r="G135" s="20">
        <f t="shared" si="29"/>
        <v>36</v>
      </c>
      <c r="H135" s="20">
        <v>4527</v>
      </c>
      <c r="I135" s="20">
        <v>4405</v>
      </c>
      <c r="J135" s="20">
        <f t="shared" si="30"/>
        <v>122</v>
      </c>
    </row>
    <row r="136" spans="1:10" s="29" customFormat="1" ht="12.75">
      <c r="A136" s="81">
        <v>2003</v>
      </c>
      <c r="B136" s="82" t="s">
        <v>48</v>
      </c>
      <c r="C136" s="101">
        <f t="shared" si="31"/>
        <v>0.95881006864988561</v>
      </c>
      <c r="D136" s="101">
        <f t="shared" si="32"/>
        <v>0.9730608453320948</v>
      </c>
      <c r="E136" s="101">
        <f t="shared" si="33"/>
        <v>0.98535469107551488</v>
      </c>
      <c r="F136" s="20">
        <v>4370</v>
      </c>
      <c r="G136" s="20">
        <f t="shared" si="29"/>
        <v>64</v>
      </c>
      <c r="H136" s="20">
        <v>4306</v>
      </c>
      <c r="I136" s="20">
        <v>4190</v>
      </c>
      <c r="J136" s="20">
        <f t="shared" si="30"/>
        <v>116</v>
      </c>
    </row>
    <row r="137" spans="1:10" s="29" customFormat="1" ht="12.75">
      <c r="A137" s="81">
        <v>2003</v>
      </c>
      <c r="B137" s="82" t="s">
        <v>49</v>
      </c>
      <c r="C137" s="101">
        <f t="shared" si="31"/>
        <v>0.96611721611721613</v>
      </c>
      <c r="D137" s="101">
        <f t="shared" si="32"/>
        <v>0.97639981490050898</v>
      </c>
      <c r="E137" s="101">
        <f t="shared" si="33"/>
        <v>0.98946886446886451</v>
      </c>
      <c r="F137" s="20">
        <v>4368</v>
      </c>
      <c r="G137" s="20">
        <f t="shared" si="29"/>
        <v>46</v>
      </c>
      <c r="H137" s="20">
        <v>4322</v>
      </c>
      <c r="I137" s="20">
        <v>4220</v>
      </c>
      <c r="J137" s="20">
        <f t="shared" si="30"/>
        <v>102</v>
      </c>
    </row>
    <row r="138" spans="1:10" s="29" customFormat="1" ht="12.75">
      <c r="A138" s="81">
        <v>2004</v>
      </c>
      <c r="B138" s="82" t="s">
        <v>38</v>
      </c>
      <c r="C138" s="101">
        <f t="shared" si="31"/>
        <v>0.97910592808551988</v>
      </c>
      <c r="D138" s="101">
        <f t="shared" si="32"/>
        <v>0.98196881091617938</v>
      </c>
      <c r="E138" s="101">
        <f t="shared" si="33"/>
        <v>0.99708454810495628</v>
      </c>
      <c r="F138" s="20">
        <v>4116</v>
      </c>
      <c r="G138" s="20">
        <f t="shared" ref="G138:G144" si="34">F138-H138</f>
        <v>12</v>
      </c>
      <c r="H138" s="20">
        <v>4104</v>
      </c>
      <c r="I138" s="20">
        <v>4030</v>
      </c>
      <c r="J138" s="20">
        <f t="shared" ref="J138:J144" si="35">H138-I138</f>
        <v>74</v>
      </c>
    </row>
    <row r="139" spans="1:10" s="29" customFormat="1" ht="12.75">
      <c r="A139" s="81">
        <v>2004</v>
      </c>
      <c r="B139" s="82" t="s">
        <v>39</v>
      </c>
      <c r="C139" s="101">
        <f t="shared" si="31"/>
        <v>0.95797665369649809</v>
      </c>
      <c r="D139" s="101">
        <f t="shared" si="32"/>
        <v>0.97312252964426882</v>
      </c>
      <c r="E139" s="101">
        <f t="shared" si="33"/>
        <v>0.98443579766536971</v>
      </c>
      <c r="F139" s="20">
        <v>3855</v>
      </c>
      <c r="G139" s="20">
        <f t="shared" si="34"/>
        <v>60</v>
      </c>
      <c r="H139" s="20">
        <v>3795</v>
      </c>
      <c r="I139" s="20">
        <v>3693</v>
      </c>
      <c r="J139" s="20">
        <f t="shared" si="35"/>
        <v>102</v>
      </c>
    </row>
    <row r="140" spans="1:10" s="29" customFormat="1" ht="12.75">
      <c r="A140" s="81">
        <v>2004</v>
      </c>
      <c r="B140" s="82" t="s">
        <v>40</v>
      </c>
      <c r="C140" s="101">
        <f t="shared" si="31"/>
        <v>0.93434125269978396</v>
      </c>
      <c r="D140" s="101">
        <f t="shared" si="32"/>
        <v>0.94392319441413919</v>
      </c>
      <c r="E140" s="101">
        <f t="shared" si="33"/>
        <v>0.98984881209503239</v>
      </c>
      <c r="F140" s="20">
        <v>4630</v>
      </c>
      <c r="G140" s="20">
        <f t="shared" si="34"/>
        <v>47</v>
      </c>
      <c r="H140" s="20">
        <v>4583</v>
      </c>
      <c r="I140" s="20">
        <v>4326</v>
      </c>
      <c r="J140" s="20">
        <f t="shared" si="35"/>
        <v>257</v>
      </c>
    </row>
    <row r="141" spans="1:10" s="29" customFormat="1" ht="12.75">
      <c r="A141" s="81">
        <v>2004</v>
      </c>
      <c r="B141" s="82" t="s">
        <v>41</v>
      </c>
      <c r="C141" s="101">
        <f t="shared" si="31"/>
        <v>0.94323950161513614</v>
      </c>
      <c r="D141" s="101">
        <f t="shared" si="32"/>
        <v>0.9502556950255695</v>
      </c>
      <c r="E141" s="101">
        <f t="shared" si="33"/>
        <v>0.99261652053530225</v>
      </c>
      <c r="F141" s="20">
        <v>4334</v>
      </c>
      <c r="G141" s="20">
        <f t="shared" si="34"/>
        <v>32</v>
      </c>
      <c r="H141" s="20">
        <v>4302</v>
      </c>
      <c r="I141" s="20">
        <v>4088</v>
      </c>
      <c r="J141" s="20">
        <f t="shared" si="35"/>
        <v>214</v>
      </c>
    </row>
    <row r="142" spans="1:10" s="29" customFormat="1" ht="12.75">
      <c r="A142" s="81">
        <v>2004</v>
      </c>
      <c r="B142" s="82" t="s">
        <v>42</v>
      </c>
      <c r="C142" s="101">
        <f t="shared" si="31"/>
        <v>0.92052382027545721</v>
      </c>
      <c r="D142" s="101">
        <f t="shared" si="32"/>
        <v>0.94005072630850817</v>
      </c>
      <c r="E142" s="101">
        <f t="shared" si="33"/>
        <v>0.97922781666290359</v>
      </c>
      <c r="F142" s="20">
        <v>4429</v>
      </c>
      <c r="G142" s="20">
        <f t="shared" si="34"/>
        <v>92</v>
      </c>
      <c r="H142" s="20">
        <v>4337</v>
      </c>
      <c r="I142" s="20">
        <v>4077</v>
      </c>
      <c r="J142" s="20">
        <f t="shared" si="35"/>
        <v>260</v>
      </c>
    </row>
    <row r="143" spans="1:10" s="29" customFormat="1" ht="12.75">
      <c r="A143" s="81">
        <v>2004</v>
      </c>
      <c r="B143" s="82" t="s">
        <v>43</v>
      </c>
      <c r="C143" s="101">
        <f t="shared" si="31"/>
        <v>0.92092706203135655</v>
      </c>
      <c r="D143" s="101">
        <f t="shared" si="32"/>
        <v>0.93537964458804523</v>
      </c>
      <c r="E143" s="101">
        <f t="shared" si="33"/>
        <v>0.98454896614405818</v>
      </c>
      <c r="F143" s="20">
        <v>4401</v>
      </c>
      <c r="G143" s="20">
        <f t="shared" si="34"/>
        <v>68</v>
      </c>
      <c r="H143" s="20">
        <v>4333</v>
      </c>
      <c r="I143" s="20">
        <v>4053</v>
      </c>
      <c r="J143" s="20">
        <f t="shared" si="35"/>
        <v>280</v>
      </c>
    </row>
    <row r="144" spans="1:10" s="29" customFormat="1" ht="12.75">
      <c r="A144" s="81">
        <v>2004</v>
      </c>
      <c r="B144" s="82" t="s">
        <v>44</v>
      </c>
      <c r="C144" s="101">
        <f t="shared" si="31"/>
        <v>0.94593998234774934</v>
      </c>
      <c r="D144" s="101">
        <f t="shared" si="32"/>
        <v>0.95330220146764511</v>
      </c>
      <c r="E144" s="101">
        <f t="shared" si="33"/>
        <v>0.99227714033539272</v>
      </c>
      <c r="F144" s="20">
        <v>4532</v>
      </c>
      <c r="G144" s="20">
        <f t="shared" si="34"/>
        <v>35</v>
      </c>
      <c r="H144" s="20">
        <v>4497</v>
      </c>
      <c r="I144" s="20">
        <v>4287</v>
      </c>
      <c r="J144" s="20">
        <f t="shared" si="35"/>
        <v>210</v>
      </c>
    </row>
    <row r="145" spans="1:10" s="29" customFormat="1" ht="12.75">
      <c r="A145" s="81">
        <v>2004</v>
      </c>
      <c r="B145" s="82" t="s">
        <v>45</v>
      </c>
      <c r="C145" s="101">
        <f t="shared" si="31"/>
        <v>0.94172597864768681</v>
      </c>
      <c r="D145" s="101">
        <f t="shared" si="32"/>
        <v>0.94530029024335793</v>
      </c>
      <c r="E145" s="101">
        <f t="shared" si="33"/>
        <v>0.99621886120996439</v>
      </c>
      <c r="F145" s="20">
        <v>4496</v>
      </c>
      <c r="G145" s="20">
        <f>F145-H145</f>
        <v>17</v>
      </c>
      <c r="H145" s="20">
        <v>4479</v>
      </c>
      <c r="I145" s="20">
        <v>4234</v>
      </c>
      <c r="J145" s="20">
        <f>H145-I145</f>
        <v>245</v>
      </c>
    </row>
    <row r="146" spans="1:10" s="29" customFormat="1" ht="12.75">
      <c r="A146" s="81">
        <v>2004</v>
      </c>
      <c r="B146" s="82" t="s">
        <v>46</v>
      </c>
      <c r="C146" s="101">
        <f t="shared" si="31"/>
        <v>0.94046553267681288</v>
      </c>
      <c r="D146" s="101">
        <f t="shared" si="32"/>
        <v>0.94767704104645922</v>
      </c>
      <c r="E146" s="101">
        <f t="shared" si="33"/>
        <v>0.99239033124440468</v>
      </c>
      <c r="F146" s="20">
        <v>4468</v>
      </c>
      <c r="G146" s="20">
        <f>F146-H146</f>
        <v>34</v>
      </c>
      <c r="H146" s="20">
        <v>4434</v>
      </c>
      <c r="I146" s="20">
        <v>4202</v>
      </c>
      <c r="J146" s="20">
        <f>H146-I146</f>
        <v>232</v>
      </c>
    </row>
    <row r="147" spans="1:10" s="29" customFormat="1" ht="12.75">
      <c r="A147" s="81">
        <v>2004</v>
      </c>
      <c r="B147" s="82" t="s">
        <v>47</v>
      </c>
      <c r="C147" s="101">
        <f t="shared" si="31"/>
        <v>0.93594624860022402</v>
      </c>
      <c r="D147" s="101">
        <f t="shared" si="32"/>
        <v>0.94568906992532242</v>
      </c>
      <c r="E147" s="101">
        <f t="shared" si="33"/>
        <v>0.98969764837625984</v>
      </c>
      <c r="F147" s="20">
        <v>4465</v>
      </c>
      <c r="G147" s="20">
        <f>F147-H147</f>
        <v>46</v>
      </c>
      <c r="H147" s="20">
        <v>4419</v>
      </c>
      <c r="I147" s="20">
        <v>4179</v>
      </c>
      <c r="J147" s="20">
        <f>H147-I147</f>
        <v>240</v>
      </c>
    </row>
    <row r="148" spans="1:10" s="29" customFormat="1" ht="12.75">
      <c r="A148" s="81">
        <v>2004</v>
      </c>
      <c r="B148" s="82" t="s">
        <v>48</v>
      </c>
      <c r="C148" s="101">
        <f t="shared" si="31"/>
        <v>0.94717994628469115</v>
      </c>
      <c r="D148" s="101">
        <f t="shared" si="32"/>
        <v>0.95508914466260442</v>
      </c>
      <c r="E148" s="101">
        <f t="shared" si="33"/>
        <v>0.99171888988361678</v>
      </c>
      <c r="F148" s="20">
        <v>4468</v>
      </c>
      <c r="G148" s="20">
        <f>F148-H148</f>
        <v>37</v>
      </c>
      <c r="H148" s="20">
        <v>4431</v>
      </c>
      <c r="I148" s="20">
        <v>4232</v>
      </c>
      <c r="J148" s="20">
        <f>H148-I148</f>
        <v>199</v>
      </c>
    </row>
    <row r="149" spans="1:10" s="29" customFormat="1" ht="12.75">
      <c r="A149" s="81">
        <v>2004</v>
      </c>
      <c r="B149" s="82" t="s">
        <v>49</v>
      </c>
      <c r="C149" s="101">
        <f t="shared" si="31"/>
        <v>0.94367130550033129</v>
      </c>
      <c r="D149" s="101">
        <f t="shared" si="32"/>
        <v>0.95314591700133866</v>
      </c>
      <c r="E149" s="101">
        <f t="shared" si="33"/>
        <v>0.99005964214711728</v>
      </c>
      <c r="F149" s="20">
        <v>4527</v>
      </c>
      <c r="G149" s="20">
        <f>F149-H149</f>
        <v>45</v>
      </c>
      <c r="H149" s="20">
        <v>4482</v>
      </c>
      <c r="I149" s="20">
        <v>4272</v>
      </c>
      <c r="J149" s="20">
        <f>H149-I149</f>
        <v>210</v>
      </c>
    </row>
    <row r="150" spans="1:10" s="29" customFormat="1" ht="12.75">
      <c r="A150" s="81">
        <v>2005</v>
      </c>
      <c r="B150" s="82" t="s">
        <v>38</v>
      </c>
      <c r="C150" s="101">
        <f t="shared" si="31"/>
        <v>0.92593416370106763</v>
      </c>
      <c r="D150" s="101">
        <f t="shared" si="32"/>
        <v>0.9495894160583942</v>
      </c>
      <c r="E150" s="101">
        <f t="shared" si="33"/>
        <v>0.97508896797153022</v>
      </c>
      <c r="F150" s="20">
        <v>4496</v>
      </c>
      <c r="G150" s="20">
        <v>112</v>
      </c>
      <c r="H150" s="20">
        <v>4384</v>
      </c>
      <c r="I150" s="20">
        <v>4163</v>
      </c>
      <c r="J150" s="20">
        <v>333</v>
      </c>
    </row>
    <row r="151" spans="1:10" s="29" customFormat="1" ht="12.75">
      <c r="A151" s="81">
        <v>2005</v>
      </c>
      <c r="B151" s="82" t="s">
        <v>39</v>
      </c>
      <c r="C151" s="101">
        <f t="shared" si="31"/>
        <v>0.95970077220077221</v>
      </c>
      <c r="D151" s="101">
        <f t="shared" si="32"/>
        <v>0.96342054263565891</v>
      </c>
      <c r="E151" s="101">
        <f t="shared" si="33"/>
        <v>0.99613899613899615</v>
      </c>
      <c r="F151" s="20">
        <v>4144</v>
      </c>
      <c r="G151" s="20">
        <v>16</v>
      </c>
      <c r="H151" s="20">
        <v>4128</v>
      </c>
      <c r="I151" s="20">
        <v>3977</v>
      </c>
      <c r="J151" s="20">
        <v>167</v>
      </c>
    </row>
    <row r="152" spans="1:10" s="29" customFormat="1" ht="12.75">
      <c r="A152" s="81">
        <v>2005</v>
      </c>
      <c r="B152" s="82" t="s">
        <v>40</v>
      </c>
      <c r="C152" s="101">
        <f t="shared" si="31"/>
        <v>0.95244356782818318</v>
      </c>
      <c r="D152" s="101">
        <f t="shared" si="32"/>
        <v>0.9576906126046717</v>
      </c>
      <c r="E152" s="101">
        <f t="shared" si="33"/>
        <v>0.99452114836730221</v>
      </c>
      <c r="F152" s="20">
        <v>4563</v>
      </c>
      <c r="G152" s="20">
        <v>25</v>
      </c>
      <c r="H152" s="20">
        <v>4538</v>
      </c>
      <c r="I152" s="20">
        <v>4346</v>
      </c>
      <c r="J152" s="20">
        <v>217</v>
      </c>
    </row>
    <row r="153" spans="1:10" s="29" customFormat="1" ht="12.75">
      <c r="A153" s="81">
        <v>2005</v>
      </c>
      <c r="B153" s="82" t="s">
        <v>41</v>
      </c>
      <c r="C153" s="101">
        <f t="shared" si="31"/>
        <v>0.92638036809815949</v>
      </c>
      <c r="D153" s="101">
        <f t="shared" si="32"/>
        <v>0.93831990794016107</v>
      </c>
      <c r="E153" s="101">
        <f t="shared" si="33"/>
        <v>0.98727561917745965</v>
      </c>
      <c r="F153" s="20">
        <v>4401</v>
      </c>
      <c r="G153" s="20">
        <v>56</v>
      </c>
      <c r="H153" s="20">
        <v>4345</v>
      </c>
      <c r="I153" s="20">
        <v>4077</v>
      </c>
      <c r="J153" s="20">
        <v>324</v>
      </c>
    </row>
    <row r="154" spans="1:10" s="29" customFormat="1" ht="12.75">
      <c r="A154" s="81">
        <v>2005</v>
      </c>
      <c r="B154" s="82" t="s">
        <v>42</v>
      </c>
      <c r="C154" s="101">
        <f t="shared" si="31"/>
        <v>0.90591637010676151</v>
      </c>
      <c r="D154" s="101">
        <f t="shared" si="32"/>
        <v>0.91858367162832655</v>
      </c>
      <c r="E154" s="101">
        <f t="shared" si="33"/>
        <v>0.98620996441281139</v>
      </c>
      <c r="F154" s="20">
        <v>4496</v>
      </c>
      <c r="G154" s="20">
        <v>62</v>
      </c>
      <c r="H154" s="20">
        <v>4434</v>
      </c>
      <c r="I154" s="20">
        <v>4073</v>
      </c>
      <c r="J154" s="20">
        <v>423</v>
      </c>
    </row>
    <row r="155" spans="1:10" s="29" customFormat="1" ht="12.75">
      <c r="A155" s="81">
        <v>2005</v>
      </c>
      <c r="B155" s="82" t="s">
        <v>43</v>
      </c>
      <c r="C155" s="101">
        <f t="shared" si="31"/>
        <v>0.89138832083617359</v>
      </c>
      <c r="D155" s="101">
        <f t="shared" si="32"/>
        <v>0.94895984518626031</v>
      </c>
      <c r="E155" s="101">
        <f t="shared" si="33"/>
        <v>0.93933197000681667</v>
      </c>
      <c r="F155" s="20">
        <v>4401</v>
      </c>
      <c r="G155" s="20">
        <v>267</v>
      </c>
      <c r="H155" s="20">
        <v>4134</v>
      </c>
      <c r="I155" s="20">
        <v>3923</v>
      </c>
      <c r="J155" s="20">
        <v>478</v>
      </c>
    </row>
    <row r="156" spans="1:10" s="29" customFormat="1" ht="12.75">
      <c r="A156" s="81">
        <v>2005</v>
      </c>
      <c r="B156" s="82" t="s">
        <v>44</v>
      </c>
      <c r="C156" s="101">
        <f t="shared" si="31"/>
        <v>0.92949288256227758</v>
      </c>
      <c r="D156" s="101">
        <f t="shared" si="32"/>
        <v>0.94291516245487361</v>
      </c>
      <c r="E156" s="101">
        <f t="shared" si="33"/>
        <v>0.98576512455516019</v>
      </c>
      <c r="F156" s="20">
        <v>4496</v>
      </c>
      <c r="G156" s="20">
        <f t="shared" ref="G156:G161" si="36">F156-H156</f>
        <v>64</v>
      </c>
      <c r="H156" s="20">
        <v>4432</v>
      </c>
      <c r="I156" s="20">
        <v>4179</v>
      </c>
      <c r="J156" s="20">
        <f t="shared" ref="J156:J161" si="37">H156-I156</f>
        <v>253</v>
      </c>
    </row>
    <row r="157" spans="1:10" s="29" customFormat="1" ht="12.75">
      <c r="A157" s="81">
        <v>2005</v>
      </c>
      <c r="B157" s="82" t="s">
        <v>45</v>
      </c>
      <c r="C157" s="101">
        <f t="shared" si="31"/>
        <v>0.90802348336594907</v>
      </c>
      <c r="D157" s="101">
        <f t="shared" si="32"/>
        <v>0.94202571621926456</v>
      </c>
      <c r="E157" s="101">
        <f t="shared" si="33"/>
        <v>0.96390519678190911</v>
      </c>
      <c r="F157" s="20">
        <v>4599</v>
      </c>
      <c r="G157" s="20">
        <f t="shared" si="36"/>
        <v>166</v>
      </c>
      <c r="H157" s="20">
        <v>4433</v>
      </c>
      <c r="I157" s="20">
        <v>4176</v>
      </c>
      <c r="J157" s="20">
        <f t="shared" si="37"/>
        <v>257</v>
      </c>
    </row>
    <row r="158" spans="1:10" s="29" customFormat="1" ht="12.75">
      <c r="A158" s="81">
        <v>2005</v>
      </c>
      <c r="B158" s="82" t="s">
        <v>46</v>
      </c>
      <c r="C158" s="101">
        <f t="shared" si="31"/>
        <v>0.93597063621533438</v>
      </c>
      <c r="D158" s="101">
        <f t="shared" si="32"/>
        <v>0.94541709577754895</v>
      </c>
      <c r="E158" s="101">
        <f t="shared" si="33"/>
        <v>0.9900081566068516</v>
      </c>
      <c r="F158" s="20">
        <v>4904</v>
      </c>
      <c r="G158" s="20">
        <f t="shared" si="36"/>
        <v>49</v>
      </c>
      <c r="H158" s="20">
        <v>4855</v>
      </c>
      <c r="I158" s="20">
        <v>4590</v>
      </c>
      <c r="J158" s="20">
        <f t="shared" si="37"/>
        <v>265</v>
      </c>
    </row>
    <row r="159" spans="1:10" s="29" customFormat="1" ht="12.75">
      <c r="A159" s="81">
        <v>2005</v>
      </c>
      <c r="B159" s="82" t="s">
        <v>47</v>
      </c>
      <c r="C159" s="101">
        <f t="shared" si="31"/>
        <v>0.93846153846153846</v>
      </c>
      <c r="D159" s="101">
        <f t="shared" si="32"/>
        <v>0.94427244582043346</v>
      </c>
      <c r="E159" s="101">
        <f t="shared" si="33"/>
        <v>0.99384615384615382</v>
      </c>
      <c r="F159" s="20">
        <v>4875</v>
      </c>
      <c r="G159" s="20">
        <f t="shared" si="36"/>
        <v>30</v>
      </c>
      <c r="H159" s="20">
        <v>4845</v>
      </c>
      <c r="I159" s="20">
        <v>4575</v>
      </c>
      <c r="J159" s="20">
        <f t="shared" si="37"/>
        <v>270</v>
      </c>
    </row>
    <row r="160" spans="1:10" s="29" customFormat="1" ht="12.75">
      <c r="A160" s="81">
        <v>2005</v>
      </c>
      <c r="B160" s="82" t="s">
        <v>48</v>
      </c>
      <c r="C160" s="101">
        <f t="shared" si="31"/>
        <v>0.93372756933115819</v>
      </c>
      <c r="D160" s="101">
        <f t="shared" si="32"/>
        <v>0.94140625</v>
      </c>
      <c r="E160" s="101">
        <f t="shared" si="33"/>
        <v>0.99184339314845027</v>
      </c>
      <c r="F160" s="20">
        <v>4904</v>
      </c>
      <c r="G160" s="20">
        <f t="shared" si="36"/>
        <v>40</v>
      </c>
      <c r="H160" s="20">
        <v>4864</v>
      </c>
      <c r="I160" s="20">
        <v>4579</v>
      </c>
      <c r="J160" s="20">
        <f t="shared" si="37"/>
        <v>285</v>
      </c>
    </row>
    <row r="161" spans="1:10" s="29" customFormat="1" ht="12.75">
      <c r="A161" s="81">
        <v>2005</v>
      </c>
      <c r="B161" s="82" t="s">
        <v>49</v>
      </c>
      <c r="C161" s="101">
        <f t="shared" si="31"/>
        <v>0.92177419354838708</v>
      </c>
      <c r="D161" s="101">
        <f t="shared" si="32"/>
        <v>0.94462809917355373</v>
      </c>
      <c r="E161" s="101">
        <f t="shared" si="33"/>
        <v>0.97580645161290325</v>
      </c>
      <c r="F161" s="20">
        <v>4960</v>
      </c>
      <c r="G161" s="20">
        <f t="shared" si="36"/>
        <v>120</v>
      </c>
      <c r="H161" s="20">
        <v>4840</v>
      </c>
      <c r="I161" s="20">
        <v>4572</v>
      </c>
      <c r="J161" s="20">
        <f t="shared" si="37"/>
        <v>268</v>
      </c>
    </row>
    <row r="162" spans="1:10" s="29" customFormat="1" ht="12.75">
      <c r="A162" s="81">
        <v>2006</v>
      </c>
      <c r="B162" s="82" t="s">
        <v>38</v>
      </c>
      <c r="C162" s="101">
        <f t="shared" si="31"/>
        <v>0.95239047809561916</v>
      </c>
      <c r="D162" s="101">
        <f t="shared" si="32"/>
        <v>0.96181818181818179</v>
      </c>
      <c r="E162" s="101">
        <f t="shared" si="33"/>
        <v>0.99019803960792163</v>
      </c>
      <c r="F162" s="20">
        <v>4999</v>
      </c>
      <c r="G162" s="20">
        <f t="shared" ref="G162:G173" si="38">F162-H162</f>
        <v>49</v>
      </c>
      <c r="H162" s="20">
        <v>4950</v>
      </c>
      <c r="I162" s="20">
        <v>4761</v>
      </c>
      <c r="J162" s="20">
        <f t="shared" ref="J162:J173" si="39">H162-I162</f>
        <v>189</v>
      </c>
    </row>
    <row r="163" spans="1:10" s="29" customFormat="1" ht="12.75">
      <c r="A163" s="81">
        <v>2006</v>
      </c>
      <c r="B163" s="82" t="s">
        <v>39</v>
      </c>
      <c r="C163" s="101">
        <f t="shared" si="31"/>
        <v>0.95202464788732399</v>
      </c>
      <c r="D163" s="101">
        <f t="shared" si="32"/>
        <v>0.96154701044676594</v>
      </c>
      <c r="E163" s="101">
        <f t="shared" si="33"/>
        <v>0.9900968309859155</v>
      </c>
      <c r="F163" s="20">
        <v>4544</v>
      </c>
      <c r="G163" s="20">
        <f t="shared" si="38"/>
        <v>45</v>
      </c>
      <c r="H163" s="20">
        <v>4499</v>
      </c>
      <c r="I163" s="20">
        <v>4326</v>
      </c>
      <c r="J163" s="20">
        <f t="shared" si="39"/>
        <v>173</v>
      </c>
    </row>
    <row r="164" spans="1:10" s="29" customFormat="1" ht="12.75">
      <c r="A164" s="81">
        <v>2006</v>
      </c>
      <c r="B164" s="82" t="s">
        <v>40</v>
      </c>
      <c r="C164" s="101">
        <f t="shared" si="31"/>
        <v>0.92958591718343664</v>
      </c>
      <c r="D164" s="101">
        <f t="shared" si="32"/>
        <v>0.94106925880923453</v>
      </c>
      <c r="E164" s="101">
        <f t="shared" si="33"/>
        <v>0.9877975595119024</v>
      </c>
      <c r="F164" s="20">
        <v>4999</v>
      </c>
      <c r="G164" s="20">
        <f t="shared" si="38"/>
        <v>61</v>
      </c>
      <c r="H164" s="20">
        <v>4938</v>
      </c>
      <c r="I164" s="20">
        <v>4647</v>
      </c>
      <c r="J164" s="20">
        <f t="shared" si="39"/>
        <v>291</v>
      </c>
    </row>
    <row r="165" spans="1:10" s="29" customFormat="1" ht="12.75">
      <c r="A165" s="81">
        <v>2006</v>
      </c>
      <c r="B165" s="82" t="s">
        <v>41</v>
      </c>
      <c r="C165" s="101">
        <f t="shared" si="31"/>
        <v>0.9056443024494143</v>
      </c>
      <c r="D165" s="101">
        <f t="shared" si="32"/>
        <v>0.91657684845871956</v>
      </c>
      <c r="E165" s="101">
        <f t="shared" si="33"/>
        <v>0.98807241746538876</v>
      </c>
      <c r="F165" s="20">
        <v>4695</v>
      </c>
      <c r="G165" s="20">
        <f t="shared" si="38"/>
        <v>56</v>
      </c>
      <c r="H165" s="20">
        <v>4639</v>
      </c>
      <c r="I165" s="20">
        <v>4252</v>
      </c>
      <c r="J165" s="20">
        <f t="shared" si="39"/>
        <v>387</v>
      </c>
    </row>
    <row r="166" spans="1:10" s="29" customFormat="1" ht="12.75">
      <c r="A166" s="81">
        <v>2006</v>
      </c>
      <c r="B166" s="82" t="s">
        <v>42</v>
      </c>
      <c r="C166" s="101">
        <f t="shared" si="31"/>
        <v>0.91107041107041109</v>
      </c>
      <c r="D166" s="101">
        <f t="shared" si="32"/>
        <v>0.92366412213740456</v>
      </c>
      <c r="E166" s="101">
        <f t="shared" si="33"/>
        <v>0.98636548636548638</v>
      </c>
      <c r="F166" s="20">
        <v>4914</v>
      </c>
      <c r="G166" s="20">
        <f t="shared" si="38"/>
        <v>67</v>
      </c>
      <c r="H166" s="20">
        <v>4847</v>
      </c>
      <c r="I166" s="20">
        <v>4477</v>
      </c>
      <c r="J166" s="20">
        <f t="shared" si="39"/>
        <v>370</v>
      </c>
    </row>
    <row r="167" spans="1:10" s="29" customFormat="1" ht="12.75">
      <c r="A167" s="81">
        <v>2006</v>
      </c>
      <c r="B167" s="82" t="s">
        <v>43</v>
      </c>
      <c r="C167" s="101">
        <f t="shared" si="31"/>
        <v>0.93753890848723798</v>
      </c>
      <c r="D167" s="101">
        <f t="shared" si="32"/>
        <v>0.94657448145820244</v>
      </c>
      <c r="E167" s="101">
        <f t="shared" si="33"/>
        <v>0.99045445113093999</v>
      </c>
      <c r="F167" s="20">
        <v>4819</v>
      </c>
      <c r="G167" s="20">
        <f t="shared" si="38"/>
        <v>46</v>
      </c>
      <c r="H167" s="20">
        <v>4773</v>
      </c>
      <c r="I167" s="20">
        <v>4518</v>
      </c>
      <c r="J167" s="20">
        <f t="shared" si="39"/>
        <v>255</v>
      </c>
    </row>
    <row r="168" spans="1:10" s="29" customFormat="1" ht="12.75">
      <c r="A168" s="81">
        <v>2006</v>
      </c>
      <c r="B168" s="82" t="s">
        <v>44</v>
      </c>
      <c r="C168" s="101">
        <f t="shared" si="31"/>
        <v>0.94254032258064513</v>
      </c>
      <c r="D168" s="101">
        <f t="shared" si="32"/>
        <v>0.9494313566206336</v>
      </c>
      <c r="E168" s="101">
        <f t="shared" si="33"/>
        <v>0.99274193548387102</v>
      </c>
      <c r="F168" s="20">
        <v>4960</v>
      </c>
      <c r="G168" s="20">
        <f t="shared" si="38"/>
        <v>36</v>
      </c>
      <c r="H168" s="20">
        <v>4924</v>
      </c>
      <c r="I168" s="20">
        <v>4675</v>
      </c>
      <c r="J168" s="20">
        <f t="shared" si="39"/>
        <v>249</v>
      </c>
    </row>
    <row r="169" spans="1:10" s="29" customFormat="1" ht="12.75">
      <c r="A169" s="81">
        <v>2006</v>
      </c>
      <c r="B169" s="82" t="s">
        <v>45</v>
      </c>
      <c r="C169" s="101">
        <f t="shared" si="31"/>
        <v>0.93858771754350867</v>
      </c>
      <c r="D169" s="101">
        <f t="shared" si="32"/>
        <v>0.95307739183424744</v>
      </c>
      <c r="E169" s="101">
        <f t="shared" si="33"/>
        <v>0.98479695939187839</v>
      </c>
      <c r="F169" s="20">
        <v>4999</v>
      </c>
      <c r="G169" s="20">
        <f t="shared" si="38"/>
        <v>76</v>
      </c>
      <c r="H169" s="20">
        <v>4923</v>
      </c>
      <c r="I169" s="20">
        <v>4692</v>
      </c>
      <c r="J169" s="20">
        <f t="shared" si="39"/>
        <v>231</v>
      </c>
    </row>
    <row r="170" spans="1:10" s="29" customFormat="1" ht="12.75">
      <c r="A170" s="81">
        <v>2006</v>
      </c>
      <c r="B170" s="82" t="s">
        <v>46</v>
      </c>
      <c r="C170" s="101">
        <f t="shared" si="31"/>
        <v>0.91880781089414187</v>
      </c>
      <c r="D170" s="101">
        <f t="shared" si="32"/>
        <v>0.94105263157894736</v>
      </c>
      <c r="E170" s="101">
        <f t="shared" si="33"/>
        <v>0.97636176772867422</v>
      </c>
      <c r="F170" s="20">
        <v>4865</v>
      </c>
      <c r="G170" s="20">
        <f t="shared" si="38"/>
        <v>115</v>
      </c>
      <c r="H170" s="20">
        <v>4750</v>
      </c>
      <c r="I170" s="20">
        <v>4470</v>
      </c>
      <c r="J170" s="20">
        <f t="shared" si="39"/>
        <v>280</v>
      </c>
    </row>
    <row r="171" spans="1:10" s="29" customFormat="1" ht="12.75">
      <c r="A171" s="81">
        <v>2006</v>
      </c>
      <c r="B171" s="82" t="s">
        <v>47</v>
      </c>
      <c r="C171" s="101">
        <f t="shared" si="31"/>
        <v>0.88949938949938945</v>
      </c>
      <c r="D171" s="101">
        <f t="shared" si="32"/>
        <v>0.91520100502512558</v>
      </c>
      <c r="E171" s="101">
        <f t="shared" si="33"/>
        <v>0.97191697191697191</v>
      </c>
      <c r="F171" s="20">
        <v>4914</v>
      </c>
      <c r="G171" s="20">
        <f t="shared" si="38"/>
        <v>138</v>
      </c>
      <c r="H171" s="20">
        <v>4776</v>
      </c>
      <c r="I171" s="20">
        <v>4371</v>
      </c>
      <c r="J171" s="20">
        <f t="shared" si="39"/>
        <v>405</v>
      </c>
    </row>
    <row r="172" spans="1:10" s="29" customFormat="1" ht="12.75">
      <c r="A172" s="81">
        <v>2006</v>
      </c>
      <c r="B172" s="82" t="s">
        <v>48</v>
      </c>
      <c r="C172" s="101">
        <f t="shared" si="31"/>
        <v>0.90334420880913535</v>
      </c>
      <c r="D172" s="101">
        <f t="shared" si="32"/>
        <v>0.92061512884455532</v>
      </c>
      <c r="E172" s="101">
        <f t="shared" si="33"/>
        <v>0.98123980424143553</v>
      </c>
      <c r="F172" s="20">
        <v>4904</v>
      </c>
      <c r="G172" s="20">
        <f t="shared" si="38"/>
        <v>92</v>
      </c>
      <c r="H172" s="20">
        <v>4812</v>
      </c>
      <c r="I172" s="20">
        <v>4430</v>
      </c>
      <c r="J172" s="20">
        <f t="shared" si="39"/>
        <v>382</v>
      </c>
    </row>
    <row r="173" spans="1:10" s="29" customFormat="1" ht="12.75">
      <c r="A173" s="81">
        <v>2006</v>
      </c>
      <c r="B173" s="82" t="s">
        <v>49</v>
      </c>
      <c r="C173" s="101">
        <f t="shared" si="31"/>
        <v>0.88267223382045934</v>
      </c>
      <c r="D173" s="101">
        <f t="shared" si="32"/>
        <v>0.92113289760348582</v>
      </c>
      <c r="E173" s="101">
        <f t="shared" si="33"/>
        <v>0.95824634655532359</v>
      </c>
      <c r="F173" s="20">
        <v>4790</v>
      </c>
      <c r="G173" s="20">
        <f t="shared" si="38"/>
        <v>200</v>
      </c>
      <c r="H173" s="20">
        <v>4590</v>
      </c>
      <c r="I173" s="20">
        <v>4228</v>
      </c>
      <c r="J173" s="20">
        <f t="shared" si="39"/>
        <v>362</v>
      </c>
    </row>
    <row r="174" spans="1:10" s="29" customFormat="1" ht="12.75">
      <c r="A174" s="81">
        <v>2007</v>
      </c>
      <c r="B174" s="82" t="s">
        <v>38</v>
      </c>
      <c r="C174" s="101">
        <f t="shared" si="31"/>
        <v>0.9079815963192639</v>
      </c>
      <c r="D174" s="101">
        <f t="shared" si="32"/>
        <v>0.9308859721082855</v>
      </c>
      <c r="E174" s="101">
        <f t="shared" si="33"/>
        <v>0.97539507901580313</v>
      </c>
      <c r="F174" s="20">
        <v>4999</v>
      </c>
      <c r="G174" s="20">
        <f t="shared" ref="G174:G184" si="40">F174-H174</f>
        <v>123</v>
      </c>
      <c r="H174" s="20">
        <v>4876</v>
      </c>
      <c r="I174" s="20">
        <v>4539</v>
      </c>
      <c r="J174" s="20">
        <f t="shared" ref="J174:J185" si="41">H174-I174</f>
        <v>337</v>
      </c>
    </row>
    <row r="175" spans="1:10" s="29" customFormat="1" ht="12.75">
      <c r="A175" s="81">
        <v>2007</v>
      </c>
      <c r="B175" s="82" t="s">
        <v>39</v>
      </c>
      <c r="C175" s="101">
        <f t="shared" si="31"/>
        <v>0.91153169014084512</v>
      </c>
      <c r="D175" s="101">
        <f t="shared" si="32"/>
        <v>0.9212633451957295</v>
      </c>
      <c r="E175" s="101">
        <f t="shared" si="33"/>
        <v>0.98943661971830987</v>
      </c>
      <c r="F175" s="20">
        <v>4544</v>
      </c>
      <c r="G175" s="20">
        <f t="shared" si="40"/>
        <v>48</v>
      </c>
      <c r="H175" s="20">
        <v>4496</v>
      </c>
      <c r="I175" s="20">
        <v>4142</v>
      </c>
      <c r="J175" s="20">
        <f t="shared" si="41"/>
        <v>354</v>
      </c>
    </row>
    <row r="176" spans="1:10" s="29" customFormat="1" ht="12.75">
      <c r="A176" s="81">
        <v>2007</v>
      </c>
      <c r="B176" s="82" t="s">
        <v>40</v>
      </c>
      <c r="C176" s="101">
        <f t="shared" si="31"/>
        <v>0.87817563512702546</v>
      </c>
      <c r="D176" s="101">
        <f t="shared" si="32"/>
        <v>0.89848546868604173</v>
      </c>
      <c r="E176" s="101">
        <f t="shared" si="33"/>
        <v>0.97739547909581914</v>
      </c>
      <c r="F176" s="20">
        <v>4999</v>
      </c>
      <c r="G176" s="20">
        <f t="shared" si="40"/>
        <v>113</v>
      </c>
      <c r="H176" s="20">
        <v>4886</v>
      </c>
      <c r="I176" s="20">
        <v>4390</v>
      </c>
      <c r="J176" s="20">
        <f t="shared" si="41"/>
        <v>496</v>
      </c>
    </row>
    <row r="177" spans="1:10" s="29" customFormat="1" ht="12.75">
      <c r="A177" s="81">
        <v>2007</v>
      </c>
      <c r="B177" s="82" t="s">
        <v>41</v>
      </c>
      <c r="C177" s="101">
        <f t="shared" si="31"/>
        <v>0.87782318778231883</v>
      </c>
      <c r="D177" s="101">
        <f t="shared" si="32"/>
        <v>0.90890868596881957</v>
      </c>
      <c r="E177" s="101">
        <f t="shared" si="33"/>
        <v>0.9657990965799097</v>
      </c>
      <c r="F177" s="20">
        <v>4649</v>
      </c>
      <c r="G177" s="20">
        <f t="shared" si="40"/>
        <v>159</v>
      </c>
      <c r="H177" s="20">
        <v>4490</v>
      </c>
      <c r="I177" s="20">
        <v>4081</v>
      </c>
      <c r="J177" s="20">
        <f t="shared" si="41"/>
        <v>409</v>
      </c>
    </row>
    <row r="178" spans="1:10" s="29" customFormat="1" ht="12.75">
      <c r="A178" s="81">
        <v>2007</v>
      </c>
      <c r="B178" s="82" t="s">
        <v>42</v>
      </c>
      <c r="C178" s="101">
        <f t="shared" si="31"/>
        <v>0.87321937321937326</v>
      </c>
      <c r="D178" s="101">
        <f t="shared" si="32"/>
        <v>0.91473033468343634</v>
      </c>
      <c r="E178" s="101">
        <f t="shared" si="33"/>
        <v>0.95461945461945463</v>
      </c>
      <c r="F178" s="20">
        <v>4914</v>
      </c>
      <c r="G178" s="20">
        <f t="shared" si="40"/>
        <v>223</v>
      </c>
      <c r="H178" s="20">
        <v>4691</v>
      </c>
      <c r="I178" s="20">
        <v>4291</v>
      </c>
      <c r="J178" s="20">
        <f t="shared" si="41"/>
        <v>400</v>
      </c>
    </row>
    <row r="179" spans="1:10" s="29" customFormat="1" ht="12.75">
      <c r="A179" s="81">
        <v>2007</v>
      </c>
      <c r="B179" s="82" t="s">
        <v>43</v>
      </c>
      <c r="C179" s="101">
        <f t="shared" si="31"/>
        <v>0.90271966527196656</v>
      </c>
      <c r="D179" s="101">
        <f t="shared" si="32"/>
        <v>0.93015736150032335</v>
      </c>
      <c r="E179" s="101">
        <f t="shared" si="33"/>
        <v>0.97050209205020921</v>
      </c>
      <c r="F179" s="20">
        <v>4780</v>
      </c>
      <c r="G179" s="20">
        <f t="shared" si="40"/>
        <v>141</v>
      </c>
      <c r="H179" s="20">
        <v>4639</v>
      </c>
      <c r="I179" s="20">
        <v>4315</v>
      </c>
      <c r="J179" s="20">
        <f t="shared" si="41"/>
        <v>324</v>
      </c>
    </row>
    <row r="180" spans="1:10" s="29" customFormat="1" ht="12.75">
      <c r="A180" s="81">
        <v>2007</v>
      </c>
      <c r="B180" s="82" t="s">
        <v>44</v>
      </c>
      <c r="C180" s="101">
        <f t="shared" si="31"/>
        <v>0.92592592592592593</v>
      </c>
      <c r="D180" s="101">
        <f t="shared" si="32"/>
        <v>0.94261446032732543</v>
      </c>
      <c r="E180" s="101">
        <f t="shared" si="33"/>
        <v>0.98229548229548225</v>
      </c>
      <c r="F180" s="20">
        <v>4914</v>
      </c>
      <c r="G180" s="20">
        <f t="shared" si="40"/>
        <v>87</v>
      </c>
      <c r="H180" s="20">
        <v>4827</v>
      </c>
      <c r="I180" s="20">
        <v>4550</v>
      </c>
      <c r="J180" s="20">
        <f t="shared" si="41"/>
        <v>277</v>
      </c>
    </row>
    <row r="181" spans="1:10" s="29" customFormat="1" ht="12.75">
      <c r="A181" s="81">
        <v>2007</v>
      </c>
      <c r="B181" s="82" t="s">
        <v>45</v>
      </c>
      <c r="C181" s="101">
        <f t="shared" si="31"/>
        <v>0.93978795759151834</v>
      </c>
      <c r="D181" s="101">
        <f t="shared" si="32"/>
        <v>0.95507216914006909</v>
      </c>
      <c r="E181" s="101">
        <f t="shared" si="33"/>
        <v>0.98399679935987194</v>
      </c>
      <c r="F181" s="20">
        <v>4999</v>
      </c>
      <c r="G181" s="20">
        <f t="shared" si="40"/>
        <v>80</v>
      </c>
      <c r="H181" s="20">
        <v>4919</v>
      </c>
      <c r="I181" s="20">
        <v>4698</v>
      </c>
      <c r="J181" s="20">
        <f t="shared" si="41"/>
        <v>221</v>
      </c>
    </row>
    <row r="182" spans="1:10" s="29" customFormat="1" ht="12.75">
      <c r="A182" s="81">
        <v>2007</v>
      </c>
      <c r="B182" s="82" t="s">
        <v>46</v>
      </c>
      <c r="C182" s="101">
        <f t="shared" si="31"/>
        <v>0.92573221757322177</v>
      </c>
      <c r="D182" s="101">
        <f t="shared" si="32"/>
        <v>0.93789741415854178</v>
      </c>
      <c r="E182" s="101">
        <f t="shared" si="33"/>
        <v>0.98702928870292883</v>
      </c>
      <c r="F182" s="20">
        <v>4780</v>
      </c>
      <c r="G182" s="20">
        <f t="shared" si="40"/>
        <v>62</v>
      </c>
      <c r="H182" s="20">
        <v>4718</v>
      </c>
      <c r="I182" s="20">
        <v>4425</v>
      </c>
      <c r="J182" s="20">
        <f t="shared" si="41"/>
        <v>293</v>
      </c>
    </row>
    <row r="183" spans="1:10" s="29" customFormat="1" ht="12.75">
      <c r="A183" s="81">
        <v>2007</v>
      </c>
      <c r="B183" s="82" t="s">
        <v>47</v>
      </c>
      <c r="C183" s="101">
        <f t="shared" si="31"/>
        <v>0.90278055611122221</v>
      </c>
      <c r="D183" s="101">
        <f t="shared" si="32"/>
        <v>0.93186041709684075</v>
      </c>
      <c r="E183" s="101">
        <f t="shared" si="33"/>
        <v>0.96879375875175033</v>
      </c>
      <c r="F183" s="20">
        <v>4999</v>
      </c>
      <c r="G183" s="20">
        <f t="shared" si="40"/>
        <v>156</v>
      </c>
      <c r="H183" s="20">
        <v>4843</v>
      </c>
      <c r="I183" s="20">
        <v>4513</v>
      </c>
      <c r="J183" s="20">
        <f t="shared" si="41"/>
        <v>330</v>
      </c>
    </row>
    <row r="184" spans="1:10" s="29" customFormat="1" ht="12.75">
      <c r="A184" s="81">
        <v>2007</v>
      </c>
      <c r="B184" s="82" t="s">
        <v>48</v>
      </c>
      <c r="C184" s="101">
        <f t="shared" si="31"/>
        <v>0.90130505709624797</v>
      </c>
      <c r="D184" s="101">
        <f t="shared" si="32"/>
        <v>0.92217817650740663</v>
      </c>
      <c r="E184" s="101">
        <f t="shared" si="33"/>
        <v>0.97736541598694948</v>
      </c>
      <c r="F184" s="20">
        <v>4904</v>
      </c>
      <c r="G184" s="20">
        <f t="shared" si="40"/>
        <v>111</v>
      </c>
      <c r="H184" s="20">
        <v>4793</v>
      </c>
      <c r="I184" s="20">
        <v>4420</v>
      </c>
      <c r="J184" s="20">
        <f t="shared" si="41"/>
        <v>373</v>
      </c>
    </row>
    <row r="185" spans="1:10" s="29" customFormat="1" ht="12.75">
      <c r="A185" s="81">
        <v>2007</v>
      </c>
      <c r="B185" s="82" t="s">
        <v>49</v>
      </c>
      <c r="C185" s="101">
        <f t="shared" si="31"/>
        <v>0.92255125284738038</v>
      </c>
      <c r="D185" s="101">
        <f t="shared" si="32"/>
        <v>0.94666383340416493</v>
      </c>
      <c r="E185" s="101">
        <f t="shared" si="33"/>
        <v>0.97452888796852355</v>
      </c>
      <c r="F185" s="20">
        <v>4829</v>
      </c>
      <c r="G185" s="20">
        <v>123</v>
      </c>
      <c r="H185" s="20">
        <v>4706</v>
      </c>
      <c r="I185" s="20">
        <v>4455</v>
      </c>
      <c r="J185" s="20">
        <f t="shared" si="41"/>
        <v>251</v>
      </c>
    </row>
    <row r="186" spans="1:10" s="29" customFormat="1" ht="12.75">
      <c r="A186" s="81">
        <v>2008</v>
      </c>
      <c r="B186" s="82" t="s">
        <v>38</v>
      </c>
      <c r="C186" s="101">
        <f t="shared" si="31"/>
        <v>0.95759151830366074</v>
      </c>
      <c r="D186" s="101">
        <f t="shared" si="32"/>
        <v>0.96902834008097161</v>
      </c>
      <c r="E186" s="101">
        <f t="shared" si="33"/>
        <v>0.98819763952790562</v>
      </c>
      <c r="F186" s="20">
        <v>4999</v>
      </c>
      <c r="G186" s="20">
        <f>F186-H186</f>
        <v>59</v>
      </c>
      <c r="H186" s="20">
        <v>4940</v>
      </c>
      <c r="I186" s="20">
        <v>4787</v>
      </c>
      <c r="J186" s="20">
        <f t="shared" ref="J186:J197" si="42">H186-I186</f>
        <v>153</v>
      </c>
    </row>
    <row r="187" spans="1:10" s="29" customFormat="1" ht="12.75">
      <c r="A187" s="81">
        <v>2008</v>
      </c>
      <c r="B187" s="82" t="s">
        <v>39</v>
      </c>
      <c r="C187" s="101">
        <f t="shared" si="31"/>
        <v>0.93839966130397967</v>
      </c>
      <c r="D187" s="101">
        <f t="shared" si="32"/>
        <v>0.96160520607375266</v>
      </c>
      <c r="E187" s="101">
        <f t="shared" si="33"/>
        <v>0.9758679085520745</v>
      </c>
      <c r="F187" s="20">
        <v>4724</v>
      </c>
      <c r="G187" s="20">
        <f t="shared" ref="G187:G197" si="43">F187-H187</f>
        <v>114</v>
      </c>
      <c r="H187" s="20">
        <v>4610</v>
      </c>
      <c r="I187" s="20">
        <v>4433</v>
      </c>
      <c r="J187" s="20">
        <f t="shared" si="42"/>
        <v>177</v>
      </c>
    </row>
    <row r="188" spans="1:10" s="29" customFormat="1" ht="12.75">
      <c r="A188" s="81">
        <v>2008</v>
      </c>
      <c r="B188" s="82" t="s">
        <v>40</v>
      </c>
      <c r="C188" s="101">
        <f t="shared" si="31"/>
        <v>0.87578288100208768</v>
      </c>
      <c r="D188" s="101">
        <f t="shared" si="32"/>
        <v>0.91533929740344755</v>
      </c>
      <c r="E188" s="101">
        <f t="shared" si="33"/>
        <v>0.95678496868475993</v>
      </c>
      <c r="F188" s="20">
        <v>4790</v>
      </c>
      <c r="G188" s="20">
        <f t="shared" si="43"/>
        <v>207</v>
      </c>
      <c r="H188" s="20">
        <v>4583</v>
      </c>
      <c r="I188" s="20">
        <v>4195</v>
      </c>
      <c r="J188" s="20">
        <f t="shared" si="42"/>
        <v>388</v>
      </c>
    </row>
    <row r="189" spans="1:10" s="29" customFormat="1" ht="12.75">
      <c r="A189" s="81">
        <v>2008</v>
      </c>
      <c r="B189" s="82" t="s">
        <v>41</v>
      </c>
      <c r="C189" s="101">
        <f t="shared" si="31"/>
        <v>0.90724216642456945</v>
      </c>
      <c r="D189" s="101">
        <f t="shared" si="32"/>
        <v>0.92372702302979082</v>
      </c>
      <c r="E189" s="101">
        <f t="shared" si="33"/>
        <v>0.98215397385349656</v>
      </c>
      <c r="F189" s="20">
        <v>4819</v>
      </c>
      <c r="G189" s="20">
        <f t="shared" si="43"/>
        <v>86</v>
      </c>
      <c r="H189" s="20">
        <v>4733</v>
      </c>
      <c r="I189" s="20">
        <v>4372</v>
      </c>
      <c r="J189" s="20">
        <f t="shared" si="42"/>
        <v>361</v>
      </c>
    </row>
    <row r="190" spans="1:10" s="29" customFormat="1" ht="12.75">
      <c r="A190" s="81">
        <v>2008</v>
      </c>
      <c r="B190" s="82" t="s">
        <v>42</v>
      </c>
      <c r="C190" s="101">
        <f t="shared" si="31"/>
        <v>0.90544354838709673</v>
      </c>
      <c r="D190" s="101">
        <f t="shared" si="32"/>
        <v>0.92369395310571778</v>
      </c>
      <c r="E190" s="101">
        <f t="shared" si="33"/>
        <v>0.98024193548387095</v>
      </c>
      <c r="F190" s="20">
        <v>4960</v>
      </c>
      <c r="G190" s="20">
        <f t="shared" si="43"/>
        <v>98</v>
      </c>
      <c r="H190" s="20">
        <v>4862</v>
      </c>
      <c r="I190" s="20">
        <v>4491</v>
      </c>
      <c r="J190" s="20">
        <f t="shared" si="42"/>
        <v>371</v>
      </c>
    </row>
    <row r="191" spans="1:10" s="29" customFormat="1" ht="12.75">
      <c r="A191" s="81">
        <v>2008</v>
      </c>
      <c r="B191" s="82" t="s">
        <v>43</v>
      </c>
      <c r="C191" s="101">
        <f t="shared" si="31"/>
        <v>0.8983945923109421</v>
      </c>
      <c r="D191" s="101">
        <f t="shared" si="32"/>
        <v>0.91917008861033067</v>
      </c>
      <c r="E191" s="101">
        <f t="shared" si="33"/>
        <v>0.97739754964089565</v>
      </c>
      <c r="F191" s="20">
        <v>4734</v>
      </c>
      <c r="G191" s="20">
        <f t="shared" si="43"/>
        <v>107</v>
      </c>
      <c r="H191" s="20">
        <v>4627</v>
      </c>
      <c r="I191" s="20">
        <v>4253</v>
      </c>
      <c r="J191" s="20">
        <f t="shared" si="42"/>
        <v>374</v>
      </c>
    </row>
    <row r="192" spans="1:10" s="29" customFormat="1" ht="12.75">
      <c r="A192" s="81">
        <v>2008</v>
      </c>
      <c r="B192" s="82" t="s">
        <v>44</v>
      </c>
      <c r="C192" s="101">
        <f t="shared" si="31"/>
        <v>0.90058011602320465</v>
      </c>
      <c r="D192" s="101">
        <f t="shared" si="32"/>
        <v>0.92519523222359223</v>
      </c>
      <c r="E192" s="101">
        <f t="shared" si="33"/>
        <v>0.97339467893578713</v>
      </c>
      <c r="F192" s="20">
        <v>4999</v>
      </c>
      <c r="G192" s="20">
        <f t="shared" si="43"/>
        <v>133</v>
      </c>
      <c r="H192" s="20">
        <v>4866</v>
      </c>
      <c r="I192" s="20">
        <v>4502</v>
      </c>
      <c r="J192" s="20">
        <f t="shared" si="42"/>
        <v>364</v>
      </c>
    </row>
    <row r="193" spans="1:10" s="29" customFormat="1" ht="12.75">
      <c r="A193" s="81">
        <v>2008</v>
      </c>
      <c r="B193" s="82" t="s">
        <v>45</v>
      </c>
      <c r="C193" s="101">
        <f t="shared" si="31"/>
        <v>0.904126213592233</v>
      </c>
      <c r="D193" s="101">
        <f t="shared" si="32"/>
        <v>0.93047460449625308</v>
      </c>
      <c r="E193" s="101">
        <f t="shared" si="33"/>
        <v>0.97168284789644011</v>
      </c>
      <c r="F193" s="20">
        <v>4944</v>
      </c>
      <c r="G193" s="20">
        <f t="shared" si="43"/>
        <v>140</v>
      </c>
      <c r="H193" s="20">
        <v>4804</v>
      </c>
      <c r="I193" s="20">
        <v>4470</v>
      </c>
      <c r="J193" s="20">
        <f t="shared" si="42"/>
        <v>334</v>
      </c>
    </row>
    <row r="194" spans="1:10" s="29" customFormat="1" ht="12.75">
      <c r="A194" s="81">
        <v>2008</v>
      </c>
      <c r="B194" s="82" t="s">
        <v>46</v>
      </c>
      <c r="C194" s="101">
        <f t="shared" si="31"/>
        <v>0.8731668648434403</v>
      </c>
      <c r="D194" s="101">
        <f t="shared" si="32"/>
        <v>0.90472279260780286</v>
      </c>
      <c r="E194" s="101">
        <f t="shared" si="33"/>
        <v>0.96512088783194605</v>
      </c>
      <c r="F194" s="20">
        <v>5046</v>
      </c>
      <c r="G194" s="20">
        <f t="shared" si="43"/>
        <v>176</v>
      </c>
      <c r="H194" s="20">
        <v>4870</v>
      </c>
      <c r="I194" s="20">
        <v>4406</v>
      </c>
      <c r="J194" s="20">
        <f t="shared" si="42"/>
        <v>464</v>
      </c>
    </row>
    <row r="195" spans="1:10" s="29" customFormat="1" ht="12.75">
      <c r="A195" s="81">
        <v>2008</v>
      </c>
      <c r="B195" s="82" t="s">
        <v>47</v>
      </c>
      <c r="C195" s="101">
        <f t="shared" si="31"/>
        <v>0.8</v>
      </c>
      <c r="D195" s="101">
        <f t="shared" si="32"/>
        <v>0.83434588902389628</v>
      </c>
      <c r="E195" s="101">
        <f t="shared" si="33"/>
        <v>0.9588349514563107</v>
      </c>
      <c r="F195" s="20">
        <v>5150</v>
      </c>
      <c r="G195" s="20">
        <f t="shared" si="43"/>
        <v>212</v>
      </c>
      <c r="H195" s="20">
        <v>4938</v>
      </c>
      <c r="I195" s="20">
        <v>4120</v>
      </c>
      <c r="J195" s="20">
        <f t="shared" si="42"/>
        <v>818</v>
      </c>
    </row>
    <row r="196" spans="1:10" s="29" customFormat="1" ht="12.75">
      <c r="A196" s="81">
        <v>2008</v>
      </c>
      <c r="B196" s="82" t="s">
        <v>48</v>
      </c>
      <c r="C196" s="101">
        <f t="shared" si="31"/>
        <v>0.92222222222222228</v>
      </c>
      <c r="D196" s="101">
        <f t="shared" si="32"/>
        <v>0.93545081967213117</v>
      </c>
      <c r="E196" s="101">
        <f t="shared" si="33"/>
        <v>0.98585858585858588</v>
      </c>
      <c r="F196" s="20">
        <v>4950</v>
      </c>
      <c r="G196" s="20">
        <f t="shared" si="43"/>
        <v>70</v>
      </c>
      <c r="H196" s="20">
        <v>4880</v>
      </c>
      <c r="I196" s="20">
        <v>4565</v>
      </c>
      <c r="J196" s="20">
        <f t="shared" si="42"/>
        <v>315</v>
      </c>
    </row>
    <row r="197" spans="1:10" s="29" customFormat="1" ht="12.75">
      <c r="A197" s="81">
        <v>2008</v>
      </c>
      <c r="B197" s="82" t="s">
        <v>49</v>
      </c>
      <c r="C197" s="101">
        <f t="shared" si="31"/>
        <v>0.9317957815888035</v>
      </c>
      <c r="D197" s="101">
        <f t="shared" si="32"/>
        <v>0.94862532610876982</v>
      </c>
      <c r="E197" s="101">
        <f t="shared" si="33"/>
        <v>0.98225901833234774</v>
      </c>
      <c r="F197" s="20">
        <v>5073</v>
      </c>
      <c r="G197" s="20">
        <f t="shared" si="43"/>
        <v>90</v>
      </c>
      <c r="H197" s="20">
        <v>4983</v>
      </c>
      <c r="I197" s="20">
        <v>4727</v>
      </c>
      <c r="J197" s="20">
        <f t="shared" si="42"/>
        <v>256</v>
      </c>
    </row>
    <row r="198" spans="1:10" s="29" customFormat="1" ht="12.75">
      <c r="A198" s="81">
        <v>2009</v>
      </c>
      <c r="B198" s="82" t="s">
        <v>38</v>
      </c>
      <c r="C198" s="101">
        <f t="shared" si="31"/>
        <v>0.94406548431105053</v>
      </c>
      <c r="D198" s="101">
        <f t="shared" si="32"/>
        <v>0.96398009950248753</v>
      </c>
      <c r="E198" s="101">
        <f t="shared" si="33"/>
        <v>0.97934125901383751</v>
      </c>
      <c r="F198" s="20">
        <v>5131</v>
      </c>
      <c r="G198" s="20">
        <f>F198-H198</f>
        <v>106</v>
      </c>
      <c r="H198" s="20">
        <v>5025</v>
      </c>
      <c r="I198" s="20">
        <v>4844</v>
      </c>
      <c r="J198" s="20">
        <f t="shared" ref="J198:J209" si="44">H198-I198</f>
        <v>181</v>
      </c>
    </row>
    <row r="199" spans="1:10" s="29" customFormat="1" ht="12.75">
      <c r="A199" s="81">
        <v>2009</v>
      </c>
      <c r="B199" s="82" t="s">
        <v>39</v>
      </c>
      <c r="C199" s="101">
        <f t="shared" ref="C199:C262" si="45">I199/F199</f>
        <v>0.9122544833475662</v>
      </c>
      <c r="D199" s="101">
        <f t="shared" ref="D199:D262" si="46">I199/H199</f>
        <v>0.93113968184789719</v>
      </c>
      <c r="E199" s="101">
        <f t="shared" ref="E199:E262" si="47">H199/F199</f>
        <v>0.97971818958155421</v>
      </c>
      <c r="F199" s="20">
        <v>4684</v>
      </c>
      <c r="G199" s="20">
        <f t="shared" ref="G199:G209" si="48">F199-H199</f>
        <v>95</v>
      </c>
      <c r="H199" s="20">
        <v>4589</v>
      </c>
      <c r="I199" s="20">
        <v>4273</v>
      </c>
      <c r="J199" s="20">
        <f t="shared" si="44"/>
        <v>316</v>
      </c>
    </row>
    <row r="200" spans="1:10" s="29" customFormat="1" ht="12.75">
      <c r="A200" s="81">
        <v>2009</v>
      </c>
      <c r="B200" s="82" t="s">
        <v>40</v>
      </c>
      <c r="C200" s="101">
        <f t="shared" si="45"/>
        <v>0.90104474669820622</v>
      </c>
      <c r="D200" s="101">
        <f t="shared" si="46"/>
        <v>0.93266680269332791</v>
      </c>
      <c r="E200" s="101">
        <f t="shared" si="47"/>
        <v>0.9660950128129312</v>
      </c>
      <c r="F200" s="20">
        <v>5073</v>
      </c>
      <c r="G200" s="20">
        <f t="shared" si="48"/>
        <v>172</v>
      </c>
      <c r="H200" s="20">
        <v>4901</v>
      </c>
      <c r="I200" s="20">
        <v>4571</v>
      </c>
      <c r="J200" s="20">
        <f t="shared" si="44"/>
        <v>330</v>
      </c>
    </row>
    <row r="201" spans="1:10" s="29" customFormat="1" ht="12.75">
      <c r="A201" s="81">
        <v>2009</v>
      </c>
      <c r="B201" s="82" t="s">
        <v>41</v>
      </c>
      <c r="C201" s="101">
        <f t="shared" si="45"/>
        <v>0.9174161896974653</v>
      </c>
      <c r="D201" s="101">
        <f t="shared" si="46"/>
        <v>0.94167016365925305</v>
      </c>
      <c r="E201" s="101">
        <f t="shared" si="47"/>
        <v>0.97424366312346689</v>
      </c>
      <c r="F201" s="20">
        <v>4892</v>
      </c>
      <c r="G201" s="20">
        <f t="shared" si="48"/>
        <v>126</v>
      </c>
      <c r="H201" s="20">
        <v>4766</v>
      </c>
      <c r="I201" s="20">
        <v>4488</v>
      </c>
      <c r="J201" s="20">
        <f t="shared" si="44"/>
        <v>278</v>
      </c>
    </row>
    <row r="202" spans="1:10" s="29" customFormat="1" ht="12.75">
      <c r="A202" s="81">
        <v>2009</v>
      </c>
      <c r="B202" s="82" t="s">
        <v>42</v>
      </c>
      <c r="C202" s="101">
        <f t="shared" si="45"/>
        <v>0.93289129997990761</v>
      </c>
      <c r="D202" s="101">
        <f t="shared" si="46"/>
        <v>0.94793793385055125</v>
      </c>
      <c r="E202" s="101">
        <f t="shared" si="47"/>
        <v>0.98412698412698407</v>
      </c>
      <c r="F202" s="20">
        <v>4977</v>
      </c>
      <c r="G202" s="20">
        <f t="shared" si="48"/>
        <v>79</v>
      </c>
      <c r="H202" s="20">
        <v>4898</v>
      </c>
      <c r="I202" s="20">
        <v>4643</v>
      </c>
      <c r="J202" s="20">
        <f t="shared" si="44"/>
        <v>255</v>
      </c>
    </row>
    <row r="203" spans="1:10" s="29" customFormat="1" ht="12.75">
      <c r="A203" s="81">
        <v>2009</v>
      </c>
      <c r="B203" s="82" t="s">
        <v>43</v>
      </c>
      <c r="C203" s="101">
        <f t="shared" si="45"/>
        <v>0.83839806802173478</v>
      </c>
      <c r="D203" s="101">
        <f t="shared" si="46"/>
        <v>0.88751597784405623</v>
      </c>
      <c r="E203" s="101">
        <f t="shared" si="47"/>
        <v>0.94465687261018316</v>
      </c>
      <c r="F203" s="20">
        <v>4969</v>
      </c>
      <c r="G203" s="20">
        <f t="shared" si="48"/>
        <v>275</v>
      </c>
      <c r="H203" s="20">
        <v>4694</v>
      </c>
      <c r="I203" s="20">
        <v>4166</v>
      </c>
      <c r="J203" s="20">
        <f t="shared" si="44"/>
        <v>528</v>
      </c>
    </row>
    <row r="204" spans="1:10" s="29" customFormat="1" ht="12.75">
      <c r="A204" s="81">
        <v>2009</v>
      </c>
      <c r="B204" s="82" t="s">
        <v>44</v>
      </c>
      <c r="C204" s="101">
        <f t="shared" si="45"/>
        <v>0.88</v>
      </c>
      <c r="D204" s="101">
        <f t="shared" si="46"/>
        <v>0.90876278323641468</v>
      </c>
      <c r="E204" s="101">
        <f t="shared" si="47"/>
        <v>0.96834951456310681</v>
      </c>
      <c r="F204" s="20">
        <v>5150</v>
      </c>
      <c r="G204" s="20">
        <f t="shared" si="48"/>
        <v>163</v>
      </c>
      <c r="H204" s="20">
        <v>4987</v>
      </c>
      <c r="I204" s="20">
        <v>4532</v>
      </c>
      <c r="J204" s="20">
        <f t="shared" si="44"/>
        <v>455</v>
      </c>
    </row>
    <row r="205" spans="1:10" s="29" customFormat="1" ht="12.75">
      <c r="A205" s="81">
        <v>2009</v>
      </c>
      <c r="B205" s="82" t="s">
        <v>45</v>
      </c>
      <c r="C205" s="101">
        <f t="shared" si="45"/>
        <v>0.87870993272655318</v>
      </c>
      <c r="D205" s="101">
        <f t="shared" si="46"/>
        <v>0.90521810028536487</v>
      </c>
      <c r="E205" s="101">
        <f t="shared" si="47"/>
        <v>0.97071626434507319</v>
      </c>
      <c r="F205" s="20">
        <v>5054</v>
      </c>
      <c r="G205" s="20">
        <f t="shared" si="48"/>
        <v>148</v>
      </c>
      <c r="H205" s="20">
        <v>4906</v>
      </c>
      <c r="I205" s="20">
        <v>4441</v>
      </c>
      <c r="J205" s="20">
        <f t="shared" si="44"/>
        <v>465</v>
      </c>
    </row>
    <row r="206" spans="1:10" s="29" customFormat="1" ht="12.75">
      <c r="A206" s="81">
        <v>2009</v>
      </c>
      <c r="B206" s="82" t="s">
        <v>46</v>
      </c>
      <c r="C206" s="101">
        <f t="shared" si="45"/>
        <v>0.89331241419886254</v>
      </c>
      <c r="D206" s="101">
        <f t="shared" si="46"/>
        <v>0.92845495311863024</v>
      </c>
      <c r="E206" s="101">
        <f t="shared" si="47"/>
        <v>0.96214944106687583</v>
      </c>
      <c r="F206" s="20">
        <v>5099</v>
      </c>
      <c r="G206" s="20">
        <f t="shared" si="48"/>
        <v>193</v>
      </c>
      <c r="H206" s="20">
        <v>4906</v>
      </c>
      <c r="I206" s="20">
        <v>4555</v>
      </c>
      <c r="J206" s="20">
        <f t="shared" si="44"/>
        <v>351</v>
      </c>
    </row>
    <row r="207" spans="1:10" s="29" customFormat="1" ht="12.75">
      <c r="A207" s="81">
        <v>2009</v>
      </c>
      <c r="B207" s="82" t="s">
        <v>47</v>
      </c>
      <c r="C207" s="101">
        <f t="shared" si="45"/>
        <v>0.88423309296433439</v>
      </c>
      <c r="D207" s="101">
        <f t="shared" si="46"/>
        <v>0.91122715404699739</v>
      </c>
      <c r="E207" s="101">
        <f t="shared" si="47"/>
        <v>0.97037614500097447</v>
      </c>
      <c r="F207" s="20">
        <v>5131</v>
      </c>
      <c r="G207" s="20">
        <f t="shared" si="48"/>
        <v>152</v>
      </c>
      <c r="H207" s="20">
        <v>4979</v>
      </c>
      <c r="I207" s="20">
        <v>4537</v>
      </c>
      <c r="J207" s="20">
        <f t="shared" si="44"/>
        <v>442</v>
      </c>
    </row>
    <row r="208" spans="1:10" s="29" customFormat="1" ht="12.75">
      <c r="A208" s="81">
        <v>2009</v>
      </c>
      <c r="B208" s="82" t="s">
        <v>48</v>
      </c>
      <c r="C208" s="101">
        <f t="shared" si="45"/>
        <v>0.91648218957536731</v>
      </c>
      <c r="D208" s="101">
        <f t="shared" si="46"/>
        <v>0.93357933579335795</v>
      </c>
      <c r="E208" s="101">
        <f t="shared" si="47"/>
        <v>0.9816864560273697</v>
      </c>
      <c r="F208" s="20">
        <v>4969</v>
      </c>
      <c r="G208" s="20">
        <f t="shared" si="48"/>
        <v>91</v>
      </c>
      <c r="H208" s="20">
        <v>4878</v>
      </c>
      <c r="I208" s="20">
        <v>4554</v>
      </c>
      <c r="J208" s="20">
        <f t="shared" si="44"/>
        <v>324</v>
      </c>
    </row>
    <row r="209" spans="1:10" s="29" customFormat="1" ht="12.75">
      <c r="A209" s="81">
        <v>2009</v>
      </c>
      <c r="B209" s="82" t="s">
        <v>49</v>
      </c>
      <c r="C209" s="101">
        <f t="shared" si="45"/>
        <v>0.93416124581115711</v>
      </c>
      <c r="D209" s="101">
        <f t="shared" si="46"/>
        <v>0.95718036760250458</v>
      </c>
      <c r="E209" s="101">
        <f t="shared" si="47"/>
        <v>0.97595111373940469</v>
      </c>
      <c r="F209" s="20">
        <v>5073</v>
      </c>
      <c r="G209" s="20">
        <f t="shared" si="48"/>
        <v>122</v>
      </c>
      <c r="H209" s="20">
        <v>4951</v>
      </c>
      <c r="I209" s="20">
        <v>4739</v>
      </c>
      <c r="J209" s="20">
        <f t="shared" si="44"/>
        <v>212</v>
      </c>
    </row>
    <row r="210" spans="1:10" s="29" customFormat="1" ht="12.75">
      <c r="A210" s="81">
        <v>2010</v>
      </c>
      <c r="B210" s="82" t="s">
        <v>38</v>
      </c>
      <c r="C210" s="101">
        <f t="shared" si="45"/>
        <v>0.86901464186782751</v>
      </c>
      <c r="D210" s="101">
        <f t="shared" si="46"/>
        <v>0.92677780122388687</v>
      </c>
      <c r="E210" s="101">
        <f t="shared" si="47"/>
        <v>0.93767313019390586</v>
      </c>
      <c r="F210" s="20">
        <v>5054</v>
      </c>
      <c r="G210" s="20">
        <f t="shared" ref="G210:G220" si="49">F210-H210</f>
        <v>315</v>
      </c>
      <c r="H210" s="20">
        <v>4739</v>
      </c>
      <c r="I210" s="20">
        <v>4392</v>
      </c>
      <c r="J210" s="20">
        <f t="shared" ref="J210:J221" si="50">H210-I210</f>
        <v>347</v>
      </c>
    </row>
    <row r="211" spans="1:10" s="29" customFormat="1" ht="12.75">
      <c r="A211" s="81">
        <v>2010</v>
      </c>
      <c r="B211" s="82" t="s">
        <v>39</v>
      </c>
      <c r="C211" s="101">
        <f t="shared" si="45"/>
        <v>0.84372331340734419</v>
      </c>
      <c r="D211" s="101">
        <f t="shared" si="46"/>
        <v>0.87939474855362709</v>
      </c>
      <c r="E211" s="101">
        <f t="shared" si="47"/>
        <v>0.95943637916310842</v>
      </c>
      <c r="F211" s="20">
        <v>4684</v>
      </c>
      <c r="G211" s="20">
        <f t="shared" si="49"/>
        <v>190</v>
      </c>
      <c r="H211" s="20">
        <v>4494</v>
      </c>
      <c r="I211" s="20">
        <v>3952</v>
      </c>
      <c r="J211" s="20">
        <f t="shared" si="50"/>
        <v>542</v>
      </c>
    </row>
    <row r="212" spans="1:10" s="29" customFormat="1" ht="12.75">
      <c r="A212" s="81">
        <v>2010</v>
      </c>
      <c r="B212" s="82" t="s">
        <v>40</v>
      </c>
      <c r="C212" s="101">
        <f t="shared" si="45"/>
        <v>0.75747572815533981</v>
      </c>
      <c r="D212" s="101">
        <f t="shared" si="46"/>
        <v>0.81423502400333958</v>
      </c>
      <c r="E212" s="101">
        <f t="shared" si="47"/>
        <v>0.93029126213592228</v>
      </c>
      <c r="F212" s="20">
        <v>5150</v>
      </c>
      <c r="G212" s="20">
        <f t="shared" si="49"/>
        <v>359</v>
      </c>
      <c r="H212" s="20">
        <v>4791</v>
      </c>
      <c r="I212" s="20">
        <v>3901</v>
      </c>
      <c r="J212" s="20">
        <f t="shared" si="50"/>
        <v>890</v>
      </c>
    </row>
    <row r="213" spans="1:10" s="29" customFormat="1" ht="12.75">
      <c r="A213" s="81">
        <v>2010</v>
      </c>
      <c r="B213" s="82" t="s">
        <v>41</v>
      </c>
      <c r="C213" s="101">
        <f t="shared" si="45"/>
        <v>0.76776011269873212</v>
      </c>
      <c r="D213" s="101">
        <f t="shared" si="46"/>
        <v>0.81972496776966053</v>
      </c>
      <c r="E213" s="101">
        <f t="shared" si="47"/>
        <v>0.93660696317166436</v>
      </c>
      <c r="F213" s="20">
        <v>4969</v>
      </c>
      <c r="G213" s="20">
        <f t="shared" si="49"/>
        <v>315</v>
      </c>
      <c r="H213" s="20">
        <v>4654</v>
      </c>
      <c r="I213" s="20">
        <v>3815</v>
      </c>
      <c r="J213" s="20">
        <f t="shared" si="50"/>
        <v>839</v>
      </c>
    </row>
    <row r="214" spans="1:10" s="29" customFormat="1" ht="12.75">
      <c r="A214" s="81">
        <v>2010</v>
      </c>
      <c r="B214" s="82" t="s">
        <v>42</v>
      </c>
      <c r="C214" s="101">
        <f t="shared" si="45"/>
        <v>0.80504167513722302</v>
      </c>
      <c r="D214" s="101">
        <f t="shared" si="46"/>
        <v>0.8405858628741244</v>
      </c>
      <c r="E214" s="101">
        <f t="shared" si="47"/>
        <v>0.95771498272006506</v>
      </c>
      <c r="F214" s="20">
        <v>4919</v>
      </c>
      <c r="G214" s="20">
        <f t="shared" si="49"/>
        <v>208</v>
      </c>
      <c r="H214" s="20">
        <v>4711</v>
      </c>
      <c r="I214" s="20">
        <v>3960</v>
      </c>
      <c r="J214" s="20">
        <f t="shared" si="50"/>
        <v>751</v>
      </c>
    </row>
    <row r="215" spans="1:10" s="29" customFormat="1" ht="12.75">
      <c r="A215" s="81">
        <v>2010</v>
      </c>
      <c r="B215" s="82" t="s">
        <v>43</v>
      </c>
      <c r="C215" s="101">
        <f t="shared" si="45"/>
        <v>0.83940430670154964</v>
      </c>
      <c r="D215" s="101">
        <f t="shared" si="46"/>
        <v>0.87570858702498422</v>
      </c>
      <c r="E215" s="101">
        <f t="shared" si="47"/>
        <v>0.95854296639162806</v>
      </c>
      <c r="F215" s="20">
        <v>4969</v>
      </c>
      <c r="G215" s="20">
        <f t="shared" si="49"/>
        <v>206</v>
      </c>
      <c r="H215" s="20">
        <v>4763</v>
      </c>
      <c r="I215" s="20">
        <v>4171</v>
      </c>
      <c r="J215" s="20">
        <f t="shared" si="50"/>
        <v>592</v>
      </c>
    </row>
    <row r="216" spans="1:10" s="29" customFormat="1" ht="12.75">
      <c r="A216" s="81">
        <v>2010</v>
      </c>
      <c r="B216" s="82" t="s">
        <v>44</v>
      </c>
      <c r="C216" s="101">
        <f t="shared" si="45"/>
        <v>0.83728943338437978</v>
      </c>
      <c r="D216" s="101">
        <f t="shared" si="46"/>
        <v>0.86613861386138613</v>
      </c>
      <c r="E216" s="101">
        <f t="shared" si="47"/>
        <v>0.96669218989280248</v>
      </c>
      <c r="F216" s="20">
        <v>5224</v>
      </c>
      <c r="G216" s="20">
        <f t="shared" si="49"/>
        <v>174</v>
      </c>
      <c r="H216" s="20">
        <v>5050</v>
      </c>
      <c r="I216" s="20">
        <v>4374</v>
      </c>
      <c r="J216" s="20">
        <f t="shared" si="50"/>
        <v>676</v>
      </c>
    </row>
    <row r="217" spans="1:10" s="29" customFormat="1" ht="12.75">
      <c r="A217" s="81">
        <v>2010</v>
      </c>
      <c r="B217" s="82" t="s">
        <v>45</v>
      </c>
      <c r="C217" s="101">
        <f t="shared" si="45"/>
        <v>0.86102897693672387</v>
      </c>
      <c r="D217" s="101">
        <f t="shared" si="46"/>
        <v>0.88546523413744171</v>
      </c>
      <c r="E217" s="101">
        <f t="shared" si="47"/>
        <v>0.97240291740587426</v>
      </c>
      <c r="F217" s="20">
        <v>5073</v>
      </c>
      <c r="G217" s="20">
        <f t="shared" si="49"/>
        <v>140</v>
      </c>
      <c r="H217" s="20">
        <v>4933</v>
      </c>
      <c r="I217" s="20">
        <v>4368</v>
      </c>
      <c r="J217" s="20">
        <f t="shared" si="50"/>
        <v>565</v>
      </c>
    </row>
    <row r="218" spans="1:10" s="29" customFormat="1" ht="12.75">
      <c r="A218" s="81">
        <v>2010</v>
      </c>
      <c r="B218" s="82" t="s">
        <v>46</v>
      </c>
      <c r="C218" s="101">
        <f t="shared" si="45"/>
        <v>0.89694807768529528</v>
      </c>
      <c r="D218" s="101">
        <f t="shared" si="46"/>
        <v>0.91842532467532467</v>
      </c>
      <c r="E218" s="101">
        <f t="shared" si="47"/>
        <v>0.97661514070550937</v>
      </c>
      <c r="F218" s="20">
        <v>5046</v>
      </c>
      <c r="G218" s="20">
        <f t="shared" si="49"/>
        <v>118</v>
      </c>
      <c r="H218" s="20">
        <v>4928</v>
      </c>
      <c r="I218" s="20">
        <v>4526</v>
      </c>
      <c r="J218" s="20">
        <f t="shared" si="50"/>
        <v>402</v>
      </c>
    </row>
    <row r="219" spans="1:10" s="29" customFormat="1" ht="12.75">
      <c r="A219" s="81">
        <v>2010</v>
      </c>
      <c r="B219" s="82" t="s">
        <v>47</v>
      </c>
      <c r="C219" s="101">
        <f t="shared" si="45"/>
        <v>0.8503114325899136</v>
      </c>
      <c r="D219" s="101">
        <f t="shared" si="46"/>
        <v>0.89263868382197853</v>
      </c>
      <c r="E219" s="101">
        <f t="shared" si="47"/>
        <v>0.95258187663250959</v>
      </c>
      <c r="F219" s="20">
        <v>4977</v>
      </c>
      <c r="G219" s="20">
        <f t="shared" si="49"/>
        <v>236</v>
      </c>
      <c r="H219" s="20">
        <v>4741</v>
      </c>
      <c r="I219" s="20">
        <v>4232</v>
      </c>
      <c r="J219" s="20">
        <f t="shared" si="50"/>
        <v>509</v>
      </c>
    </row>
    <row r="220" spans="1:10" s="29" customFormat="1" ht="12.75">
      <c r="A220" s="81">
        <v>2010</v>
      </c>
      <c r="B220" s="82" t="s">
        <v>48</v>
      </c>
      <c r="C220" s="101">
        <f t="shared" si="45"/>
        <v>0.87361642181525456</v>
      </c>
      <c r="D220" s="101">
        <f t="shared" si="46"/>
        <v>0.90324594257178525</v>
      </c>
      <c r="E220" s="101">
        <f t="shared" si="47"/>
        <v>0.96719661903803578</v>
      </c>
      <c r="F220" s="20">
        <v>4969</v>
      </c>
      <c r="G220" s="20">
        <f t="shared" si="49"/>
        <v>163</v>
      </c>
      <c r="H220" s="20">
        <v>4806</v>
      </c>
      <c r="I220" s="20">
        <v>4341</v>
      </c>
      <c r="J220" s="20">
        <f t="shared" si="50"/>
        <v>465</v>
      </c>
    </row>
    <row r="221" spans="1:10" s="29" customFormat="1" ht="12.75">
      <c r="A221" s="81">
        <v>2010</v>
      </c>
      <c r="B221" s="82" t="s">
        <v>49</v>
      </c>
      <c r="C221" s="101">
        <f t="shared" si="45"/>
        <v>0.90416339355852315</v>
      </c>
      <c r="D221" s="101">
        <f t="shared" si="46"/>
        <v>0.93387423935091274</v>
      </c>
      <c r="E221" s="101">
        <f t="shared" si="47"/>
        <v>0.96818538884524741</v>
      </c>
      <c r="F221" s="20">
        <v>5092</v>
      </c>
      <c r="G221" s="20">
        <f>F221-H221</f>
        <v>162</v>
      </c>
      <c r="H221" s="20">
        <v>4930</v>
      </c>
      <c r="I221" s="20">
        <v>4604</v>
      </c>
      <c r="J221" s="20">
        <f t="shared" si="50"/>
        <v>326</v>
      </c>
    </row>
    <row r="222" spans="1:10" s="34" customFormat="1" ht="12.95" customHeight="1">
      <c r="A222" s="81">
        <v>2011</v>
      </c>
      <c r="B222" s="82" t="s">
        <v>38</v>
      </c>
      <c r="C222" s="101">
        <f t="shared" si="45"/>
        <v>0.87975556869702343</v>
      </c>
      <c r="D222" s="101">
        <f t="shared" si="46"/>
        <v>0.91774624717252729</v>
      </c>
      <c r="E222" s="101">
        <f t="shared" si="47"/>
        <v>0.95860437610881133</v>
      </c>
      <c r="F222" s="27">
        <v>5073</v>
      </c>
      <c r="G222" s="27">
        <f>F222-H222</f>
        <v>210</v>
      </c>
      <c r="H222" s="27">
        <v>4863</v>
      </c>
      <c r="I222" s="27">
        <v>4463</v>
      </c>
      <c r="J222" s="27">
        <f t="shared" ref="J222:J233" si="51">H222-I222</f>
        <v>400</v>
      </c>
    </row>
    <row r="223" spans="1:10" s="34" customFormat="1" ht="12.95" customHeight="1">
      <c r="A223" s="81">
        <v>2011</v>
      </c>
      <c r="B223" s="82" t="s">
        <v>39</v>
      </c>
      <c r="C223" s="101">
        <f t="shared" si="45"/>
        <v>0.89325362937660124</v>
      </c>
      <c r="D223" s="101">
        <f t="shared" si="46"/>
        <v>0.93895870736086173</v>
      </c>
      <c r="E223" s="101">
        <f t="shared" si="47"/>
        <v>0.95132365499573013</v>
      </c>
      <c r="F223" s="27">
        <v>4684</v>
      </c>
      <c r="G223" s="27">
        <f t="shared" ref="G223:G233" si="52">F223-H223</f>
        <v>228</v>
      </c>
      <c r="H223" s="27">
        <v>4456</v>
      </c>
      <c r="I223" s="27">
        <v>4184</v>
      </c>
      <c r="J223" s="27">
        <f t="shared" si="51"/>
        <v>272</v>
      </c>
    </row>
    <row r="224" spans="1:10" s="34" customFormat="1" ht="12.95" customHeight="1">
      <c r="A224" s="81">
        <v>2011</v>
      </c>
      <c r="B224" s="82" t="s">
        <v>40</v>
      </c>
      <c r="C224" s="101">
        <f t="shared" si="45"/>
        <v>0.86663956088635896</v>
      </c>
      <c r="D224" s="101">
        <f t="shared" si="46"/>
        <v>0.90088757396449703</v>
      </c>
      <c r="E224" s="101">
        <f t="shared" si="47"/>
        <v>0.96198414311851999</v>
      </c>
      <c r="F224" s="27">
        <v>4919</v>
      </c>
      <c r="G224" s="27">
        <f t="shared" si="52"/>
        <v>187</v>
      </c>
      <c r="H224" s="27">
        <v>4732</v>
      </c>
      <c r="I224" s="27">
        <v>4263</v>
      </c>
      <c r="J224" s="27">
        <f t="shared" si="51"/>
        <v>469</v>
      </c>
    </row>
    <row r="225" spans="1:10" s="34" customFormat="1" ht="12.95" customHeight="1">
      <c r="A225" s="81">
        <v>2011</v>
      </c>
      <c r="B225" s="82" t="s">
        <v>41</v>
      </c>
      <c r="C225" s="101">
        <f t="shared" si="45"/>
        <v>0.7471381847914963</v>
      </c>
      <c r="D225" s="101">
        <f t="shared" si="46"/>
        <v>0.85297549591598598</v>
      </c>
      <c r="E225" s="101">
        <f t="shared" si="47"/>
        <v>0.87591986917416187</v>
      </c>
      <c r="F225" s="27">
        <v>4892</v>
      </c>
      <c r="G225" s="27">
        <f t="shared" si="52"/>
        <v>607</v>
      </c>
      <c r="H225" s="27">
        <v>4285</v>
      </c>
      <c r="I225" s="27">
        <v>3655</v>
      </c>
      <c r="J225" s="27">
        <f t="shared" si="51"/>
        <v>630</v>
      </c>
    </row>
    <row r="226" spans="1:10" s="34" customFormat="1" ht="12.95" customHeight="1">
      <c r="A226" s="81">
        <v>2011</v>
      </c>
      <c r="B226" s="82" t="s">
        <v>42</v>
      </c>
      <c r="C226" s="101">
        <f t="shared" si="45"/>
        <v>0.84565345949142523</v>
      </c>
      <c r="D226" s="101">
        <f t="shared" si="46"/>
        <v>0.90012589173310953</v>
      </c>
      <c r="E226" s="101">
        <f t="shared" si="47"/>
        <v>0.93948354031145276</v>
      </c>
      <c r="F226" s="27">
        <v>5073</v>
      </c>
      <c r="G226" s="27">
        <f t="shared" si="52"/>
        <v>307</v>
      </c>
      <c r="H226" s="27">
        <v>4766</v>
      </c>
      <c r="I226" s="27">
        <v>4290</v>
      </c>
      <c r="J226" s="27">
        <f t="shared" si="51"/>
        <v>476</v>
      </c>
    </row>
    <row r="227" spans="1:10" s="34" customFormat="1" ht="12.95" customHeight="1">
      <c r="A227" s="81">
        <v>2011</v>
      </c>
      <c r="B227" s="82" t="s">
        <v>43</v>
      </c>
      <c r="C227" s="101">
        <f t="shared" si="45"/>
        <v>0.88589253370899579</v>
      </c>
      <c r="D227" s="101">
        <f t="shared" si="46"/>
        <v>0.92576235541535223</v>
      </c>
      <c r="E227" s="101">
        <f t="shared" si="47"/>
        <v>0.95693298450392428</v>
      </c>
      <c r="F227" s="27">
        <v>4969</v>
      </c>
      <c r="G227" s="27">
        <f t="shared" si="52"/>
        <v>214</v>
      </c>
      <c r="H227" s="27">
        <v>4755</v>
      </c>
      <c r="I227" s="27">
        <v>4402</v>
      </c>
      <c r="J227" s="27">
        <f t="shared" si="51"/>
        <v>353</v>
      </c>
    </row>
    <row r="228" spans="1:10" s="34" customFormat="1" ht="12.95" customHeight="1">
      <c r="A228" s="81">
        <v>2011</v>
      </c>
      <c r="B228" s="82" t="s">
        <v>44</v>
      </c>
      <c r="C228" s="101">
        <f t="shared" si="45"/>
        <v>0.87443327419672778</v>
      </c>
      <c r="D228" s="101">
        <f t="shared" si="46"/>
        <v>0.91861669082625808</v>
      </c>
      <c r="E228" s="101">
        <f t="shared" si="47"/>
        <v>0.95190222747880937</v>
      </c>
      <c r="F228" s="27">
        <v>5073</v>
      </c>
      <c r="G228" s="27">
        <f t="shared" si="52"/>
        <v>244</v>
      </c>
      <c r="H228" s="27">
        <v>4829</v>
      </c>
      <c r="I228" s="27">
        <v>4436</v>
      </c>
      <c r="J228" s="27">
        <f t="shared" si="51"/>
        <v>393</v>
      </c>
    </row>
    <row r="229" spans="1:10" s="34" customFormat="1" ht="12.95" customHeight="1">
      <c r="A229" s="81">
        <v>2011</v>
      </c>
      <c r="B229" s="82" t="s">
        <v>45</v>
      </c>
      <c r="C229" s="101">
        <f t="shared" si="45"/>
        <v>0.85766990291262135</v>
      </c>
      <c r="D229" s="101">
        <f t="shared" si="46"/>
        <v>0.89831197884889158</v>
      </c>
      <c r="E229" s="101">
        <f t="shared" si="47"/>
        <v>0.95475728155339801</v>
      </c>
      <c r="F229" s="27">
        <v>5150</v>
      </c>
      <c r="G229" s="27">
        <f t="shared" si="52"/>
        <v>233</v>
      </c>
      <c r="H229" s="27">
        <v>4917</v>
      </c>
      <c r="I229" s="27">
        <v>4417</v>
      </c>
      <c r="J229" s="27">
        <f t="shared" si="51"/>
        <v>500</v>
      </c>
    </row>
    <row r="230" spans="1:10" s="34" customFormat="1" ht="12.95" customHeight="1">
      <c r="A230" s="81">
        <v>2011</v>
      </c>
      <c r="B230" s="82" t="s">
        <v>46</v>
      </c>
      <c r="C230" s="101">
        <f t="shared" si="45"/>
        <v>0.86127625842251287</v>
      </c>
      <c r="D230" s="101">
        <f t="shared" si="46"/>
        <v>0.91514002947989048</v>
      </c>
      <c r="E230" s="101">
        <f t="shared" si="47"/>
        <v>0.94114149821640902</v>
      </c>
      <c r="F230" s="27">
        <v>5046</v>
      </c>
      <c r="G230" s="27">
        <f t="shared" si="52"/>
        <v>297</v>
      </c>
      <c r="H230" s="27">
        <v>4749</v>
      </c>
      <c r="I230" s="27">
        <v>4346</v>
      </c>
      <c r="J230" s="27">
        <f t="shared" si="51"/>
        <v>403</v>
      </c>
    </row>
    <row r="231" spans="1:10" s="34" customFormat="1" ht="12.95" customHeight="1">
      <c r="A231" s="81">
        <v>2011</v>
      </c>
      <c r="B231" s="82" t="s">
        <v>47</v>
      </c>
      <c r="C231" s="101">
        <f t="shared" si="45"/>
        <v>0.88603086664028496</v>
      </c>
      <c r="D231" s="101">
        <f t="shared" si="46"/>
        <v>0.92007396753647008</v>
      </c>
      <c r="E231" s="101">
        <f t="shared" si="47"/>
        <v>0.96299960427384246</v>
      </c>
      <c r="F231" s="27">
        <v>5054</v>
      </c>
      <c r="G231" s="27">
        <f t="shared" si="52"/>
        <v>187</v>
      </c>
      <c r="H231" s="27">
        <v>4867</v>
      </c>
      <c r="I231" s="27">
        <v>4478</v>
      </c>
      <c r="J231" s="27">
        <f t="shared" si="51"/>
        <v>389</v>
      </c>
    </row>
    <row r="232" spans="1:10" s="34" customFormat="1" ht="12.95" customHeight="1">
      <c r="A232" s="81">
        <v>2011</v>
      </c>
      <c r="B232" s="82" t="s">
        <v>48</v>
      </c>
      <c r="C232" s="101">
        <f t="shared" si="45"/>
        <v>0.85711410746629102</v>
      </c>
      <c r="D232" s="101">
        <f t="shared" si="46"/>
        <v>0.89985210226072254</v>
      </c>
      <c r="E232" s="101">
        <f t="shared" si="47"/>
        <v>0.95250553431273899</v>
      </c>
      <c r="F232" s="27">
        <v>4969</v>
      </c>
      <c r="G232" s="27">
        <f t="shared" si="52"/>
        <v>236</v>
      </c>
      <c r="H232" s="27">
        <v>4733</v>
      </c>
      <c r="I232" s="27">
        <v>4259</v>
      </c>
      <c r="J232" s="27">
        <f t="shared" si="51"/>
        <v>474</v>
      </c>
    </row>
    <row r="233" spans="1:10" s="34" customFormat="1" ht="12.95" customHeight="1">
      <c r="A233" s="81">
        <v>2011</v>
      </c>
      <c r="B233" s="82" t="s">
        <v>49</v>
      </c>
      <c r="C233" s="101">
        <f t="shared" si="45"/>
        <v>0.86644242184408393</v>
      </c>
      <c r="D233" s="101">
        <f t="shared" si="46"/>
        <v>0.90926079734219267</v>
      </c>
      <c r="E233" s="101">
        <f t="shared" si="47"/>
        <v>0.95290858725761773</v>
      </c>
      <c r="F233" s="27">
        <v>5054</v>
      </c>
      <c r="G233" s="27">
        <f t="shared" si="52"/>
        <v>238</v>
      </c>
      <c r="H233" s="27">
        <v>4816</v>
      </c>
      <c r="I233" s="27">
        <v>4379</v>
      </c>
      <c r="J233" s="27">
        <f t="shared" si="51"/>
        <v>437</v>
      </c>
    </row>
    <row r="234" spans="1:10" s="34" customFormat="1" ht="12.95" customHeight="1">
      <c r="A234" s="81">
        <v>2012</v>
      </c>
      <c r="B234" s="82" t="s">
        <v>38</v>
      </c>
      <c r="C234" s="101">
        <f t="shared" si="45"/>
        <v>0.90543689320388354</v>
      </c>
      <c r="D234" s="101">
        <f t="shared" si="46"/>
        <v>0.94087974172719935</v>
      </c>
      <c r="E234" s="101">
        <f t="shared" si="47"/>
        <v>0.9623300970873786</v>
      </c>
      <c r="F234" s="27">
        <v>5150</v>
      </c>
      <c r="G234" s="27">
        <f t="shared" ref="G234:G245" si="53">F234-H234</f>
        <v>194</v>
      </c>
      <c r="H234" s="27">
        <v>4956</v>
      </c>
      <c r="I234" s="27">
        <v>4663</v>
      </c>
      <c r="J234" s="27">
        <f t="shared" ref="J234:J245" si="54">H234-I234</f>
        <v>293</v>
      </c>
    </row>
    <row r="235" spans="1:10" s="34" customFormat="1" ht="12.95" customHeight="1">
      <c r="A235" s="81">
        <v>2012</v>
      </c>
      <c r="B235" s="82" t="s">
        <v>39</v>
      </c>
      <c r="C235" s="101">
        <f t="shared" si="45"/>
        <v>0.91152352179542517</v>
      </c>
      <c r="D235" s="101">
        <f t="shared" si="46"/>
        <v>0.93368700265251992</v>
      </c>
      <c r="E235" s="101">
        <f t="shared" si="47"/>
        <v>0.97626240828657751</v>
      </c>
      <c r="F235" s="27">
        <v>4634</v>
      </c>
      <c r="G235" s="27">
        <f t="shared" si="53"/>
        <v>110</v>
      </c>
      <c r="H235" s="27">
        <v>4524</v>
      </c>
      <c r="I235" s="27">
        <v>4224</v>
      </c>
      <c r="J235" s="27">
        <f t="shared" si="54"/>
        <v>300</v>
      </c>
    </row>
    <row r="236" spans="1:10" s="34" customFormat="1" ht="12.95" customHeight="1">
      <c r="A236" s="81">
        <v>2012</v>
      </c>
      <c r="B236" s="82" t="s">
        <v>40</v>
      </c>
      <c r="C236" s="101">
        <f t="shared" si="45"/>
        <v>0.92349514563106794</v>
      </c>
      <c r="D236" s="101">
        <f t="shared" si="46"/>
        <v>0.94402540690750303</v>
      </c>
      <c r="E236" s="101">
        <f t="shared" si="47"/>
        <v>0.97825242718446603</v>
      </c>
      <c r="F236" s="27">
        <v>5150</v>
      </c>
      <c r="G236" s="27">
        <f t="shared" si="53"/>
        <v>112</v>
      </c>
      <c r="H236" s="27">
        <v>5038</v>
      </c>
      <c r="I236" s="27">
        <v>4756</v>
      </c>
      <c r="J236" s="27">
        <f t="shared" si="54"/>
        <v>282</v>
      </c>
    </row>
    <row r="237" spans="1:10" s="34" customFormat="1" ht="12.95" customHeight="1">
      <c r="A237" s="81">
        <v>2012</v>
      </c>
      <c r="B237" s="82" t="s">
        <v>41</v>
      </c>
      <c r="C237" s="101">
        <f t="shared" si="45"/>
        <v>0.85183621781342334</v>
      </c>
      <c r="D237" s="101">
        <f t="shared" si="46"/>
        <v>0.89988851727982166</v>
      </c>
      <c r="E237" s="101">
        <f t="shared" si="47"/>
        <v>0.94660194174757284</v>
      </c>
      <c r="F237" s="27">
        <v>4738</v>
      </c>
      <c r="G237" s="27">
        <f t="shared" si="53"/>
        <v>253</v>
      </c>
      <c r="H237" s="27">
        <v>4485</v>
      </c>
      <c r="I237" s="27">
        <v>4036</v>
      </c>
      <c r="J237" s="27">
        <f t="shared" si="54"/>
        <v>449</v>
      </c>
    </row>
    <row r="238" spans="1:10" s="34" customFormat="1" ht="12.95" customHeight="1">
      <c r="A238" s="81">
        <v>2012</v>
      </c>
      <c r="B238" s="82" t="s">
        <v>42</v>
      </c>
      <c r="C238" s="101">
        <f t="shared" si="45"/>
        <v>0.85669229252907553</v>
      </c>
      <c r="D238" s="101">
        <f t="shared" si="46"/>
        <v>0.89167008617152232</v>
      </c>
      <c r="E238" s="101">
        <f t="shared" si="47"/>
        <v>0.96077271831263555</v>
      </c>
      <c r="F238" s="27">
        <v>5073</v>
      </c>
      <c r="G238" s="27">
        <f t="shared" si="53"/>
        <v>199</v>
      </c>
      <c r="H238" s="27">
        <v>4874</v>
      </c>
      <c r="I238" s="27">
        <v>4346</v>
      </c>
      <c r="J238" s="27">
        <f t="shared" si="54"/>
        <v>528</v>
      </c>
    </row>
    <row r="239" spans="1:10" s="34" customFormat="1" ht="12.95" customHeight="1">
      <c r="A239" s="81">
        <v>2012</v>
      </c>
      <c r="B239" s="82" t="s">
        <v>43</v>
      </c>
      <c r="C239" s="101">
        <f t="shared" si="45"/>
        <v>0.87515151515151512</v>
      </c>
      <c r="D239" s="101">
        <f t="shared" si="46"/>
        <v>0.91238416175231674</v>
      </c>
      <c r="E239" s="101">
        <f t="shared" si="47"/>
        <v>0.95919191919191915</v>
      </c>
      <c r="F239" s="27">
        <v>4950</v>
      </c>
      <c r="G239" s="27">
        <f t="shared" si="53"/>
        <v>202</v>
      </c>
      <c r="H239" s="27">
        <v>4748</v>
      </c>
      <c r="I239" s="27">
        <v>4332</v>
      </c>
      <c r="J239" s="27">
        <f t="shared" si="54"/>
        <v>416</v>
      </c>
    </row>
    <row r="240" spans="1:10" s="34" customFormat="1" ht="12.95" customHeight="1">
      <c r="A240" s="81">
        <v>2012</v>
      </c>
      <c r="B240" s="82" t="s">
        <v>44</v>
      </c>
      <c r="C240" s="101">
        <f t="shared" si="45"/>
        <v>0.85905775675142915</v>
      </c>
      <c r="D240" s="101">
        <f t="shared" si="46"/>
        <v>0.91535391724427639</v>
      </c>
      <c r="E240" s="101">
        <f t="shared" si="47"/>
        <v>0.93849793021880545</v>
      </c>
      <c r="F240" s="27">
        <v>5073</v>
      </c>
      <c r="G240" s="27">
        <f t="shared" si="53"/>
        <v>312</v>
      </c>
      <c r="H240" s="27">
        <v>4761</v>
      </c>
      <c r="I240" s="27">
        <v>4358</v>
      </c>
      <c r="J240" s="27">
        <f t="shared" si="54"/>
        <v>403</v>
      </c>
    </row>
    <row r="241" spans="1:11" s="34" customFormat="1" ht="12.95" customHeight="1">
      <c r="A241" s="81">
        <v>2012</v>
      </c>
      <c r="B241" s="82" t="s">
        <v>45</v>
      </c>
      <c r="C241" s="101">
        <f t="shared" si="45"/>
        <v>0.84815533980582525</v>
      </c>
      <c r="D241" s="101">
        <f t="shared" si="46"/>
        <v>0.89526542324246772</v>
      </c>
      <c r="E241" s="101">
        <f t="shared" si="47"/>
        <v>0.94737864077669898</v>
      </c>
      <c r="F241" s="27">
        <v>5150</v>
      </c>
      <c r="G241" s="27">
        <f t="shared" si="53"/>
        <v>271</v>
      </c>
      <c r="H241" s="27">
        <v>4879</v>
      </c>
      <c r="I241" s="27">
        <v>4368</v>
      </c>
      <c r="J241" s="27">
        <f t="shared" si="54"/>
        <v>511</v>
      </c>
    </row>
    <row r="242" spans="1:11" s="34" customFormat="1" ht="12.95" customHeight="1">
      <c r="A242" s="81">
        <v>2012</v>
      </c>
      <c r="B242" s="82" t="s">
        <v>46</v>
      </c>
      <c r="C242" s="101">
        <f t="shared" si="45"/>
        <v>0.87502565154935363</v>
      </c>
      <c r="D242" s="101">
        <f t="shared" si="46"/>
        <v>0.91777873439517865</v>
      </c>
      <c r="E242" s="101">
        <f t="shared" si="47"/>
        <v>0.95341678637389693</v>
      </c>
      <c r="F242" s="27">
        <v>4873</v>
      </c>
      <c r="G242" s="27">
        <f t="shared" si="53"/>
        <v>227</v>
      </c>
      <c r="H242" s="27">
        <v>4646</v>
      </c>
      <c r="I242" s="27">
        <v>4264</v>
      </c>
      <c r="J242" s="27">
        <f t="shared" si="54"/>
        <v>382</v>
      </c>
    </row>
    <row r="243" spans="1:11" s="34" customFormat="1" ht="12.95" customHeight="1">
      <c r="A243" s="81">
        <v>2012</v>
      </c>
      <c r="B243" s="82" t="s">
        <v>47</v>
      </c>
      <c r="C243" s="101">
        <f t="shared" si="45"/>
        <v>0.8584466019417476</v>
      </c>
      <c r="D243" s="101">
        <f t="shared" si="46"/>
        <v>0.90557148709545265</v>
      </c>
      <c r="E243" s="101">
        <f t="shared" si="47"/>
        <v>0.94796116504854366</v>
      </c>
      <c r="F243" s="27">
        <v>5150</v>
      </c>
      <c r="G243" s="27">
        <f t="shared" si="53"/>
        <v>268</v>
      </c>
      <c r="H243" s="27">
        <v>4882</v>
      </c>
      <c r="I243" s="27">
        <v>4421</v>
      </c>
      <c r="J243" s="27">
        <f t="shared" si="54"/>
        <v>461</v>
      </c>
    </row>
    <row r="244" spans="1:11" s="34" customFormat="1" ht="12.95" customHeight="1">
      <c r="A244" s="81">
        <v>2012</v>
      </c>
      <c r="B244" s="82" t="s">
        <v>48</v>
      </c>
      <c r="C244" s="101">
        <f t="shared" si="45"/>
        <v>0.8645602736969209</v>
      </c>
      <c r="D244" s="101">
        <f t="shared" si="46"/>
        <v>0.89912097111762246</v>
      </c>
      <c r="E244" s="101">
        <f t="shared" si="47"/>
        <v>0.96156168243107265</v>
      </c>
      <c r="F244" s="27">
        <v>4969</v>
      </c>
      <c r="G244" s="27">
        <f t="shared" si="53"/>
        <v>191</v>
      </c>
      <c r="H244" s="27">
        <v>4778</v>
      </c>
      <c r="I244" s="27">
        <v>4296</v>
      </c>
      <c r="J244" s="27">
        <f t="shared" si="54"/>
        <v>482</v>
      </c>
    </row>
    <row r="245" spans="1:11" s="34" customFormat="1" ht="12.95" customHeight="1">
      <c r="A245" s="81">
        <v>2012</v>
      </c>
      <c r="B245" s="82" t="s">
        <v>49</v>
      </c>
      <c r="C245" s="101">
        <f t="shared" si="45"/>
        <v>0.79508030087416137</v>
      </c>
      <c r="D245" s="101">
        <f t="shared" si="46"/>
        <v>0.86622369878183836</v>
      </c>
      <c r="E245" s="101">
        <f t="shared" si="47"/>
        <v>0.91786948566781867</v>
      </c>
      <c r="F245" s="27">
        <v>4919</v>
      </c>
      <c r="G245" s="27">
        <f t="shared" si="53"/>
        <v>404</v>
      </c>
      <c r="H245" s="27">
        <v>4515</v>
      </c>
      <c r="I245" s="27">
        <v>3911</v>
      </c>
      <c r="J245" s="27">
        <f t="shared" si="54"/>
        <v>604</v>
      </c>
    </row>
    <row r="246" spans="1:11" s="34" customFormat="1" ht="12.95" customHeight="1">
      <c r="A246" s="81">
        <v>2013</v>
      </c>
      <c r="B246" s="82" t="s">
        <v>38</v>
      </c>
      <c r="C246" s="101">
        <f t="shared" si="45"/>
        <v>0.90183323477232402</v>
      </c>
      <c r="D246" s="101">
        <f t="shared" si="46"/>
        <v>0.92761557177615572</v>
      </c>
      <c r="E246" s="101">
        <f t="shared" si="47"/>
        <v>0.97220579538734475</v>
      </c>
      <c r="F246" s="27">
        <v>5073</v>
      </c>
      <c r="G246" s="27">
        <f t="shared" ref="G246:G257" si="55">F246-H246</f>
        <v>141</v>
      </c>
      <c r="H246" s="27">
        <v>4932</v>
      </c>
      <c r="I246" s="27">
        <v>4575</v>
      </c>
      <c r="J246" s="27">
        <f t="shared" ref="J246:J257" si="56">H246-I246</f>
        <v>357</v>
      </c>
    </row>
    <row r="247" spans="1:11" s="34" customFormat="1" ht="12.95" customHeight="1">
      <c r="A247" s="81">
        <v>2013</v>
      </c>
      <c r="B247" s="82" t="s">
        <v>39</v>
      </c>
      <c r="C247" s="101">
        <f t="shared" si="45"/>
        <v>0.90074107343364029</v>
      </c>
      <c r="D247" s="101">
        <f t="shared" si="46"/>
        <v>0.92547300415320721</v>
      </c>
      <c r="E247" s="101">
        <f t="shared" si="47"/>
        <v>0.97327644284751857</v>
      </c>
      <c r="F247" s="27">
        <v>4453</v>
      </c>
      <c r="G247" s="27">
        <f t="shared" si="55"/>
        <v>119</v>
      </c>
      <c r="H247" s="27">
        <v>4334</v>
      </c>
      <c r="I247" s="27">
        <v>4011</v>
      </c>
      <c r="J247" s="27">
        <f t="shared" si="56"/>
        <v>323</v>
      </c>
    </row>
    <row r="248" spans="1:11" s="34" customFormat="1" ht="12.95" customHeight="1">
      <c r="A248" s="81">
        <v>2013</v>
      </c>
      <c r="B248" s="82" t="s">
        <v>40</v>
      </c>
      <c r="C248" s="101">
        <f t="shared" si="45"/>
        <v>0.92125049465769693</v>
      </c>
      <c r="D248" s="101">
        <f t="shared" si="46"/>
        <v>0.93269230769230771</v>
      </c>
      <c r="E248" s="101">
        <f t="shared" si="47"/>
        <v>0.98773248911753064</v>
      </c>
      <c r="F248" s="27">
        <v>5054</v>
      </c>
      <c r="G248" s="27">
        <f t="shared" si="55"/>
        <v>62</v>
      </c>
      <c r="H248" s="27">
        <v>4992</v>
      </c>
      <c r="I248" s="27">
        <v>4656</v>
      </c>
      <c r="J248" s="27">
        <f t="shared" si="56"/>
        <v>336</v>
      </c>
    </row>
    <row r="249" spans="1:11" s="34" customFormat="1" ht="12.95" customHeight="1">
      <c r="A249" s="81">
        <v>2013</v>
      </c>
      <c r="B249" s="82" t="s">
        <v>41</v>
      </c>
      <c r="C249" s="101">
        <f t="shared" si="45"/>
        <v>0.88225674570727719</v>
      </c>
      <c r="D249" s="101">
        <f t="shared" si="46"/>
        <v>0.92618025751072963</v>
      </c>
      <c r="E249" s="101">
        <f t="shared" si="47"/>
        <v>0.9525756336876533</v>
      </c>
      <c r="F249" s="27">
        <v>4892</v>
      </c>
      <c r="G249" s="27">
        <f t="shared" si="55"/>
        <v>232</v>
      </c>
      <c r="H249" s="27">
        <v>4660</v>
      </c>
      <c r="I249" s="27">
        <v>4316</v>
      </c>
      <c r="J249" s="27">
        <f t="shared" si="56"/>
        <v>344</v>
      </c>
    </row>
    <row r="250" spans="1:11" s="34" customFormat="1" ht="12.95" customHeight="1">
      <c r="A250" s="81">
        <v>2013</v>
      </c>
      <c r="B250" s="82" t="s">
        <v>42</v>
      </c>
      <c r="C250" s="101">
        <f t="shared" si="45"/>
        <v>0.87117046347211313</v>
      </c>
      <c r="D250" s="101">
        <f t="shared" si="46"/>
        <v>0.90623084780388152</v>
      </c>
      <c r="E250" s="101">
        <f t="shared" si="47"/>
        <v>0.96131186174391203</v>
      </c>
      <c r="F250" s="27">
        <v>5092</v>
      </c>
      <c r="G250" s="27">
        <f t="shared" si="55"/>
        <v>197</v>
      </c>
      <c r="H250" s="27">
        <v>4895</v>
      </c>
      <c r="I250" s="27">
        <v>4436</v>
      </c>
      <c r="J250" s="27">
        <f t="shared" si="56"/>
        <v>459</v>
      </c>
    </row>
    <row r="251" spans="1:11" s="34" customFormat="1" ht="12.95" customHeight="1">
      <c r="A251" s="81">
        <v>2013</v>
      </c>
      <c r="B251" s="82" t="s">
        <v>43</v>
      </c>
      <c r="C251" s="101">
        <f t="shared" si="45"/>
        <v>0.86780650542118432</v>
      </c>
      <c r="D251" s="101">
        <f t="shared" si="46"/>
        <v>0.89179344332547672</v>
      </c>
      <c r="E251" s="101">
        <f t="shared" si="47"/>
        <v>0.97310258548790662</v>
      </c>
      <c r="F251" s="27">
        <v>4796</v>
      </c>
      <c r="G251" s="27">
        <f t="shared" si="55"/>
        <v>129</v>
      </c>
      <c r="H251" s="27">
        <v>4667</v>
      </c>
      <c r="I251" s="27">
        <v>4162</v>
      </c>
      <c r="J251" s="27">
        <f t="shared" si="56"/>
        <v>505</v>
      </c>
    </row>
    <row r="252" spans="1:11" s="34" customFormat="1" ht="12.95" customHeight="1">
      <c r="A252" s="81">
        <v>2013</v>
      </c>
      <c r="B252" s="82" t="s">
        <v>44</v>
      </c>
      <c r="C252" s="101">
        <f t="shared" si="45"/>
        <v>0.85262135922330096</v>
      </c>
      <c r="D252" s="101">
        <f t="shared" si="46"/>
        <v>0.88154988958040559</v>
      </c>
      <c r="E252" s="101">
        <f t="shared" si="47"/>
        <v>0.96718446601941743</v>
      </c>
      <c r="F252" s="27">
        <v>5150</v>
      </c>
      <c r="G252" s="27">
        <f t="shared" si="55"/>
        <v>169</v>
      </c>
      <c r="H252" s="27">
        <v>4981</v>
      </c>
      <c r="I252" s="27">
        <v>4391</v>
      </c>
      <c r="J252" s="27">
        <f t="shared" si="56"/>
        <v>590</v>
      </c>
    </row>
    <row r="253" spans="1:11" s="34" customFormat="1" ht="12.95" customHeight="1">
      <c r="A253" s="81">
        <v>2013</v>
      </c>
      <c r="B253" s="82" t="s">
        <v>45</v>
      </c>
      <c r="C253" s="101">
        <f t="shared" si="45"/>
        <v>0.81290196842720719</v>
      </c>
      <c r="D253" s="101">
        <f t="shared" si="46"/>
        <v>0.86571191365711919</v>
      </c>
      <c r="E253" s="101">
        <f t="shared" si="47"/>
        <v>0.93899824595595405</v>
      </c>
      <c r="F253" s="27">
        <v>5131</v>
      </c>
      <c r="G253" s="27">
        <f t="shared" si="55"/>
        <v>313</v>
      </c>
      <c r="H253" s="27">
        <v>4818</v>
      </c>
      <c r="I253" s="27">
        <v>4171</v>
      </c>
      <c r="J253" s="27">
        <f t="shared" si="56"/>
        <v>647</v>
      </c>
    </row>
    <row r="254" spans="1:11" s="34" customFormat="1" ht="12.95" customHeight="1">
      <c r="A254" s="81">
        <v>2013</v>
      </c>
      <c r="B254" s="82" t="s">
        <v>46</v>
      </c>
      <c r="C254" s="101">
        <f t="shared" si="45"/>
        <v>0.82249949688066004</v>
      </c>
      <c r="D254" s="101">
        <f t="shared" si="46"/>
        <v>0.8642419116092197</v>
      </c>
      <c r="E254" s="101">
        <f t="shared" si="47"/>
        <v>0.9517005433688871</v>
      </c>
      <c r="F254" s="27">
        <v>4969</v>
      </c>
      <c r="G254" s="27">
        <f t="shared" si="55"/>
        <v>240</v>
      </c>
      <c r="H254" s="27">
        <v>4729</v>
      </c>
      <c r="I254" s="27">
        <v>4087</v>
      </c>
      <c r="J254" s="27">
        <f t="shared" si="56"/>
        <v>642</v>
      </c>
    </row>
    <row r="255" spans="1:11" s="34" customFormat="1" ht="12.95" customHeight="1">
      <c r="A255" s="81">
        <v>2013</v>
      </c>
      <c r="B255" s="82" t="s">
        <v>47</v>
      </c>
      <c r="C255" s="101">
        <f t="shared" si="45"/>
        <v>0.6285436893203884</v>
      </c>
      <c r="D255" s="101">
        <f t="shared" si="46"/>
        <v>0.70354270810693331</v>
      </c>
      <c r="E255" s="101">
        <f t="shared" si="47"/>
        <v>0.89339805825242713</v>
      </c>
      <c r="F255" s="27">
        <v>5150</v>
      </c>
      <c r="G255" s="27">
        <f t="shared" si="55"/>
        <v>549</v>
      </c>
      <c r="H255" s="27">
        <v>4601</v>
      </c>
      <c r="I255" s="27">
        <v>3237</v>
      </c>
      <c r="J255" s="27">
        <f t="shared" si="56"/>
        <v>1364</v>
      </c>
      <c r="K255" s="34" t="s">
        <v>78</v>
      </c>
    </row>
    <row r="256" spans="1:11" s="34" customFormat="1" ht="12.95" customHeight="1">
      <c r="A256" s="81">
        <v>2013</v>
      </c>
      <c r="B256" s="82" t="s">
        <v>48</v>
      </c>
      <c r="C256" s="101">
        <f t="shared" si="45"/>
        <v>0.57131313131313133</v>
      </c>
      <c r="D256" s="101">
        <f t="shared" si="46"/>
        <v>0.65691056910569101</v>
      </c>
      <c r="E256" s="101">
        <f t="shared" si="47"/>
        <v>0.86969696969696975</v>
      </c>
      <c r="F256" s="27">
        <v>4950</v>
      </c>
      <c r="G256" s="27">
        <f t="shared" si="55"/>
        <v>645</v>
      </c>
      <c r="H256" s="27">
        <v>4305</v>
      </c>
      <c r="I256" s="27">
        <v>2828</v>
      </c>
      <c r="J256" s="27">
        <f t="shared" si="56"/>
        <v>1477</v>
      </c>
      <c r="K256" s="34" t="s">
        <v>78</v>
      </c>
    </row>
    <row r="257" spans="1:11" s="34" customFormat="1" ht="12.95" customHeight="1">
      <c r="A257" s="81">
        <v>2013</v>
      </c>
      <c r="B257" s="82" t="s">
        <v>49</v>
      </c>
      <c r="C257" s="101">
        <f t="shared" si="45"/>
        <v>0.6288192391090085</v>
      </c>
      <c r="D257" s="101">
        <f t="shared" si="46"/>
        <v>0.71078431372549022</v>
      </c>
      <c r="E257" s="101">
        <f t="shared" si="47"/>
        <v>0.88468361916026017</v>
      </c>
      <c r="F257" s="27">
        <v>5073</v>
      </c>
      <c r="G257" s="27">
        <f t="shared" si="55"/>
        <v>585</v>
      </c>
      <c r="H257" s="27">
        <v>4488</v>
      </c>
      <c r="I257" s="27">
        <v>3190</v>
      </c>
      <c r="J257" s="27">
        <f t="shared" si="56"/>
        <v>1298</v>
      </c>
      <c r="K257" s="34" t="s">
        <v>78</v>
      </c>
    </row>
    <row r="258" spans="1:11" s="29" customFormat="1" ht="12.75">
      <c r="A258" s="81">
        <v>2014</v>
      </c>
      <c r="B258" s="82" t="s">
        <v>38</v>
      </c>
      <c r="C258" s="101">
        <f t="shared" si="45"/>
        <v>0.80252427184466024</v>
      </c>
      <c r="D258" s="101">
        <f t="shared" si="46"/>
        <v>0.8605038517593171</v>
      </c>
      <c r="E258" s="101">
        <f t="shared" si="47"/>
        <v>0.93262135922330092</v>
      </c>
      <c r="F258" s="27">
        <v>5150</v>
      </c>
      <c r="G258" s="27">
        <f t="shared" ref="G258:G266" si="57">F258-H258</f>
        <v>347</v>
      </c>
      <c r="H258" s="27">
        <v>4803</v>
      </c>
      <c r="I258" s="27">
        <v>4133</v>
      </c>
      <c r="J258" s="27">
        <f t="shared" ref="J258:J269" si="58">H258-I258</f>
        <v>670</v>
      </c>
    </row>
    <row r="259" spans="1:11" s="29" customFormat="1" ht="12.75">
      <c r="A259" s="81">
        <v>2014</v>
      </c>
      <c r="B259" s="82" t="s">
        <v>39</v>
      </c>
      <c r="C259" s="101">
        <f t="shared" si="45"/>
        <v>0.74338172502134925</v>
      </c>
      <c r="D259" s="101">
        <f t="shared" si="46"/>
        <v>0.80378578024007385</v>
      </c>
      <c r="E259" s="101">
        <f t="shared" si="47"/>
        <v>0.92485055508112723</v>
      </c>
      <c r="F259" s="27">
        <v>4684</v>
      </c>
      <c r="G259" s="27">
        <f t="shared" si="57"/>
        <v>352</v>
      </c>
      <c r="H259" s="27">
        <v>4332</v>
      </c>
      <c r="I259" s="27">
        <v>3482</v>
      </c>
      <c r="J259" s="27">
        <f t="shared" si="58"/>
        <v>850</v>
      </c>
    </row>
    <row r="260" spans="1:11" s="29" customFormat="1" ht="12.75">
      <c r="A260" s="81">
        <v>2014</v>
      </c>
      <c r="B260" s="82" t="s">
        <v>40</v>
      </c>
      <c r="C260" s="101">
        <f t="shared" si="45"/>
        <v>0.78081632653061228</v>
      </c>
      <c r="D260" s="101">
        <f t="shared" si="46"/>
        <v>0.81892123287671237</v>
      </c>
      <c r="E260" s="101">
        <f t="shared" si="47"/>
        <v>0.95346938775510204</v>
      </c>
      <c r="F260" s="27">
        <v>4900</v>
      </c>
      <c r="G260" s="27">
        <f t="shared" si="57"/>
        <v>228</v>
      </c>
      <c r="H260" s="27">
        <v>4672</v>
      </c>
      <c r="I260" s="27">
        <v>3826</v>
      </c>
      <c r="J260" s="27">
        <f t="shared" si="58"/>
        <v>846</v>
      </c>
    </row>
    <row r="261" spans="1:11" s="29" customFormat="1" ht="12.75">
      <c r="A261" s="81">
        <v>2014</v>
      </c>
      <c r="B261" s="82" t="s">
        <v>41</v>
      </c>
      <c r="C261" s="101">
        <f t="shared" si="45"/>
        <v>0.53642520008208494</v>
      </c>
      <c r="D261" s="101">
        <f t="shared" si="46"/>
        <v>0.70801733477789819</v>
      </c>
      <c r="E261" s="101">
        <f t="shared" si="47"/>
        <v>0.75764416170736715</v>
      </c>
      <c r="F261" s="27">
        <v>4873</v>
      </c>
      <c r="G261" s="27">
        <f t="shared" si="57"/>
        <v>1181</v>
      </c>
      <c r="H261" s="27">
        <v>3692</v>
      </c>
      <c r="I261" s="27">
        <v>2614</v>
      </c>
      <c r="J261" s="27">
        <f t="shared" si="58"/>
        <v>1078</v>
      </c>
    </row>
    <row r="262" spans="1:11" s="29" customFormat="1" ht="12.75">
      <c r="A262" s="81">
        <v>2014</v>
      </c>
      <c r="B262" s="82" t="s">
        <v>42</v>
      </c>
      <c r="C262" s="101">
        <f t="shared" si="45"/>
        <v>0.68698060941828254</v>
      </c>
      <c r="D262" s="101">
        <f t="shared" si="46"/>
        <v>0.75396308360477737</v>
      </c>
      <c r="E262" s="101">
        <f t="shared" si="47"/>
        <v>0.91115947764147209</v>
      </c>
      <c r="F262" s="27">
        <v>5054</v>
      </c>
      <c r="G262" s="27">
        <f t="shared" si="57"/>
        <v>449</v>
      </c>
      <c r="H262" s="27">
        <v>4605</v>
      </c>
      <c r="I262" s="27">
        <v>3472</v>
      </c>
      <c r="J262" s="27">
        <f t="shared" si="58"/>
        <v>1133</v>
      </c>
    </row>
    <row r="263" spans="1:11" s="29" customFormat="1" ht="12.75">
      <c r="A263" s="81">
        <v>2014</v>
      </c>
      <c r="B263" s="82" t="s">
        <v>43</v>
      </c>
      <c r="C263" s="101">
        <f t="shared" ref="C263:C326" si="59">I263/F263</f>
        <v>0.68560915780866716</v>
      </c>
      <c r="D263" s="101">
        <f t="shared" ref="D263:D326" si="60">I263/H263</f>
        <v>0.78676988036593953</v>
      </c>
      <c r="E263" s="101">
        <f t="shared" ref="E263:E326" si="61">H263/F263</f>
        <v>0.8714227309893704</v>
      </c>
      <c r="F263" s="27">
        <v>4892</v>
      </c>
      <c r="G263" s="27">
        <f t="shared" si="57"/>
        <v>629</v>
      </c>
      <c r="H263" s="27">
        <v>4263</v>
      </c>
      <c r="I263" s="27">
        <v>3354</v>
      </c>
      <c r="J263" s="27">
        <f t="shared" si="58"/>
        <v>909</v>
      </c>
    </row>
    <row r="264" spans="1:11" s="29" customFormat="1" ht="12.75">
      <c r="A264" s="81">
        <v>2014</v>
      </c>
      <c r="B264" s="82" t="s">
        <v>44</v>
      </c>
      <c r="C264" s="101">
        <f t="shared" si="59"/>
        <v>0.6827184466019417</v>
      </c>
      <c r="D264" s="101">
        <f t="shared" si="60"/>
        <v>0.7901123595505618</v>
      </c>
      <c r="E264" s="101">
        <f t="shared" si="61"/>
        <v>0.86407766990291257</v>
      </c>
      <c r="F264" s="27">
        <v>5150</v>
      </c>
      <c r="G264" s="27">
        <f t="shared" si="57"/>
        <v>700</v>
      </c>
      <c r="H264" s="27">
        <v>4450</v>
      </c>
      <c r="I264" s="27">
        <v>3516</v>
      </c>
      <c r="J264" s="27">
        <f t="shared" si="58"/>
        <v>934</v>
      </c>
    </row>
    <row r="265" spans="1:11" s="29" customFormat="1" ht="12.75">
      <c r="A265" s="81">
        <v>2014</v>
      </c>
      <c r="B265" s="82" t="s">
        <v>45</v>
      </c>
      <c r="C265" s="101">
        <f t="shared" si="59"/>
        <v>0.75069252077562332</v>
      </c>
      <c r="D265" s="101">
        <f t="shared" si="60"/>
        <v>0.84367356015121187</v>
      </c>
      <c r="E265" s="101">
        <f t="shared" si="61"/>
        <v>0.88979026513652548</v>
      </c>
      <c r="F265" s="27">
        <v>5054</v>
      </c>
      <c r="G265" s="27">
        <f t="shared" si="57"/>
        <v>557</v>
      </c>
      <c r="H265" s="27">
        <v>4497</v>
      </c>
      <c r="I265" s="27">
        <v>3794</v>
      </c>
      <c r="J265" s="27">
        <f t="shared" si="58"/>
        <v>703</v>
      </c>
    </row>
    <row r="266" spans="1:11" s="29" customFormat="1" ht="12.75">
      <c r="A266" s="81">
        <v>2014</v>
      </c>
      <c r="B266" s="82" t="s">
        <v>46</v>
      </c>
      <c r="C266" s="101">
        <f t="shared" si="59"/>
        <v>0.7782401902497027</v>
      </c>
      <c r="D266" s="101">
        <f t="shared" si="60"/>
        <v>0.8262150220913107</v>
      </c>
      <c r="E266" s="101">
        <f t="shared" si="61"/>
        <v>0.94193420531113758</v>
      </c>
      <c r="F266" s="27">
        <v>5046</v>
      </c>
      <c r="G266" s="27">
        <f t="shared" si="57"/>
        <v>293</v>
      </c>
      <c r="H266" s="27">
        <v>4753</v>
      </c>
      <c r="I266" s="27">
        <v>3927</v>
      </c>
      <c r="J266" s="27">
        <f t="shared" si="58"/>
        <v>826</v>
      </c>
    </row>
    <row r="267" spans="1:11" s="29" customFormat="1" ht="12.75">
      <c r="A267" s="81">
        <v>2014</v>
      </c>
      <c r="B267" s="82" t="s">
        <v>47</v>
      </c>
      <c r="C267" s="101">
        <f t="shared" si="59"/>
        <v>0.74718446601941746</v>
      </c>
      <c r="D267" s="101">
        <f t="shared" si="60"/>
        <v>0.83074265975820383</v>
      </c>
      <c r="E267" s="101">
        <f t="shared" si="61"/>
        <v>0.89941747572815534</v>
      </c>
      <c r="F267" s="27">
        <v>5150</v>
      </c>
      <c r="G267" s="27">
        <f>F267-H267</f>
        <v>518</v>
      </c>
      <c r="H267" s="27">
        <v>4632</v>
      </c>
      <c r="I267" s="27">
        <v>3848</v>
      </c>
      <c r="J267" s="27">
        <f t="shared" si="58"/>
        <v>784</v>
      </c>
    </row>
    <row r="268" spans="1:11" s="29" customFormat="1" ht="12.75">
      <c r="A268" s="81">
        <v>2014</v>
      </c>
      <c r="B268" s="82" t="s">
        <v>48</v>
      </c>
      <c r="C268" s="101">
        <f t="shared" si="59"/>
        <v>0.76626308229017037</v>
      </c>
      <c r="D268" s="101">
        <f t="shared" si="60"/>
        <v>0.83273862622658346</v>
      </c>
      <c r="E268" s="101">
        <f t="shared" si="61"/>
        <v>0.92017237841165611</v>
      </c>
      <c r="F268" s="27">
        <v>4873</v>
      </c>
      <c r="G268" s="27">
        <f>F268-H268</f>
        <v>389</v>
      </c>
      <c r="H268" s="27">
        <v>4484</v>
      </c>
      <c r="I268" s="27">
        <v>3734</v>
      </c>
      <c r="J268" s="27">
        <f t="shared" si="58"/>
        <v>750</v>
      </c>
    </row>
    <row r="269" spans="1:11" s="29" customFormat="1" ht="12.75">
      <c r="A269" s="81">
        <v>2014</v>
      </c>
      <c r="B269" s="82" t="s">
        <v>49</v>
      </c>
      <c r="C269" s="101">
        <f t="shared" si="59"/>
        <v>0.75980784627702158</v>
      </c>
      <c r="D269" s="101">
        <f t="shared" si="60"/>
        <v>0.83593922043602731</v>
      </c>
      <c r="E269" s="101">
        <f t="shared" si="61"/>
        <v>0.90892714171337075</v>
      </c>
      <c r="F269" s="27">
        <v>4996</v>
      </c>
      <c r="G269" s="27">
        <f>F269-H269</f>
        <v>455</v>
      </c>
      <c r="H269" s="27">
        <v>4541</v>
      </c>
      <c r="I269" s="27">
        <v>3796</v>
      </c>
      <c r="J269" s="27">
        <f t="shared" si="58"/>
        <v>745</v>
      </c>
    </row>
    <row r="270" spans="1:11" s="29" customFormat="1" ht="12.75">
      <c r="A270" s="81">
        <v>2015</v>
      </c>
      <c r="B270" s="82" t="s">
        <v>38</v>
      </c>
      <c r="C270" s="101">
        <f t="shared" si="59"/>
        <v>0.74702786981095304</v>
      </c>
      <c r="D270" s="101">
        <f t="shared" si="60"/>
        <v>0.83836395450568679</v>
      </c>
      <c r="E270" s="101">
        <f t="shared" si="61"/>
        <v>0.89105437536542587</v>
      </c>
      <c r="F270" s="27">
        <v>5131</v>
      </c>
      <c r="G270" s="27">
        <f>+F270-H270</f>
        <v>559</v>
      </c>
      <c r="H270" s="27">
        <v>4572</v>
      </c>
      <c r="I270" s="27">
        <v>3833</v>
      </c>
      <c r="J270" s="27">
        <f t="shared" ref="J270:J281" si="62">H270-I270</f>
        <v>739</v>
      </c>
    </row>
    <row r="271" spans="1:11" s="29" customFormat="1" ht="12.75">
      <c r="A271" s="81">
        <v>2015</v>
      </c>
      <c r="B271" s="82" t="s">
        <v>39</v>
      </c>
      <c r="C271" s="101">
        <f t="shared" si="59"/>
        <v>0.79271523178807946</v>
      </c>
      <c r="D271" s="101">
        <f t="shared" si="60"/>
        <v>0.86239193083573484</v>
      </c>
      <c r="E271" s="101">
        <f t="shared" si="61"/>
        <v>0.91920529801324502</v>
      </c>
      <c r="F271" s="27">
        <v>4530</v>
      </c>
      <c r="G271" s="27">
        <f t="shared" ref="G271:G281" si="63">F271-H271</f>
        <v>366</v>
      </c>
      <c r="H271" s="27">
        <v>4164</v>
      </c>
      <c r="I271" s="27">
        <v>3591</v>
      </c>
      <c r="J271" s="27">
        <f t="shared" si="62"/>
        <v>573</v>
      </c>
    </row>
    <row r="272" spans="1:11" s="29" customFormat="1" ht="12.75">
      <c r="A272" s="81">
        <v>2015</v>
      </c>
      <c r="B272" s="82" t="s">
        <v>40</v>
      </c>
      <c r="C272" s="101">
        <f t="shared" si="59"/>
        <v>0.64571657325860687</v>
      </c>
      <c r="D272" s="101">
        <f t="shared" si="60"/>
        <v>0.77529440038452291</v>
      </c>
      <c r="E272" s="101">
        <f t="shared" si="61"/>
        <v>0.8328662930344275</v>
      </c>
      <c r="F272" s="27">
        <v>4996</v>
      </c>
      <c r="G272" s="27">
        <f t="shared" si="63"/>
        <v>835</v>
      </c>
      <c r="H272" s="27">
        <v>4161</v>
      </c>
      <c r="I272" s="27">
        <v>3226</v>
      </c>
      <c r="J272" s="27">
        <f t="shared" si="62"/>
        <v>935</v>
      </c>
    </row>
    <row r="273" spans="1:10" s="29" customFormat="1" ht="12.75">
      <c r="A273" s="81">
        <v>2015</v>
      </c>
      <c r="B273" s="82" t="s">
        <v>41</v>
      </c>
      <c r="C273" s="101">
        <f t="shared" si="59"/>
        <v>0.74223221586263288</v>
      </c>
      <c r="D273" s="101">
        <f t="shared" si="60"/>
        <v>0.80260831122900089</v>
      </c>
      <c r="E273" s="101">
        <f t="shared" si="61"/>
        <v>0.92477514309076048</v>
      </c>
      <c r="F273" s="27">
        <v>4892</v>
      </c>
      <c r="G273" s="27">
        <f t="shared" si="63"/>
        <v>368</v>
      </c>
      <c r="H273" s="27">
        <v>4524</v>
      </c>
      <c r="I273" s="27">
        <v>3631</v>
      </c>
      <c r="J273" s="27">
        <f t="shared" si="62"/>
        <v>893</v>
      </c>
    </row>
    <row r="274" spans="1:10" s="29" customFormat="1" ht="12.75">
      <c r="A274" s="81">
        <v>2015</v>
      </c>
      <c r="B274" s="82" t="s">
        <v>42</v>
      </c>
      <c r="C274" s="101">
        <f t="shared" si="59"/>
        <v>0.69097850110508341</v>
      </c>
      <c r="D274" s="101">
        <f t="shared" si="60"/>
        <v>0.78141331515564649</v>
      </c>
      <c r="E274" s="101">
        <f t="shared" si="61"/>
        <v>0.88426763110307416</v>
      </c>
      <c r="F274" s="27">
        <v>4977</v>
      </c>
      <c r="G274" s="27">
        <f t="shared" si="63"/>
        <v>576</v>
      </c>
      <c r="H274" s="27">
        <v>4401</v>
      </c>
      <c r="I274" s="27">
        <v>3439</v>
      </c>
      <c r="J274" s="27">
        <f t="shared" si="62"/>
        <v>962</v>
      </c>
    </row>
    <row r="275" spans="1:10" s="29" customFormat="1" ht="12.75">
      <c r="A275" s="81">
        <v>2015</v>
      </c>
      <c r="B275" s="82" t="s">
        <v>43</v>
      </c>
      <c r="C275" s="101">
        <f t="shared" si="59"/>
        <v>0.72193263833199683</v>
      </c>
      <c r="D275" s="101">
        <f t="shared" si="60"/>
        <v>0.81915377616014562</v>
      </c>
      <c r="E275" s="101">
        <f t="shared" si="61"/>
        <v>0.88131515637530067</v>
      </c>
      <c r="F275" s="27">
        <v>4988</v>
      </c>
      <c r="G275" s="27">
        <f t="shared" si="63"/>
        <v>592</v>
      </c>
      <c r="H275" s="27">
        <v>4396</v>
      </c>
      <c r="I275" s="27">
        <v>3601</v>
      </c>
      <c r="J275" s="27">
        <f t="shared" si="62"/>
        <v>795</v>
      </c>
    </row>
    <row r="276" spans="1:10" s="29" customFormat="1" ht="12.75">
      <c r="A276" s="81">
        <v>2015</v>
      </c>
      <c r="B276" s="82" t="s">
        <v>44</v>
      </c>
      <c r="C276" s="101">
        <f t="shared" si="59"/>
        <v>0.61922330097087375</v>
      </c>
      <c r="D276" s="101">
        <f t="shared" si="60"/>
        <v>0.73142201834862386</v>
      </c>
      <c r="E276" s="101">
        <f t="shared" si="61"/>
        <v>0.84660194174757286</v>
      </c>
      <c r="F276" s="27">
        <v>5150</v>
      </c>
      <c r="G276" s="27">
        <f t="shared" si="63"/>
        <v>790</v>
      </c>
      <c r="H276" s="27">
        <v>4360</v>
      </c>
      <c r="I276" s="27">
        <v>3189</v>
      </c>
      <c r="J276" s="27">
        <f t="shared" si="62"/>
        <v>1171</v>
      </c>
    </row>
    <row r="277" spans="1:10" s="29" customFormat="1" ht="12.75">
      <c r="A277" s="81">
        <v>2015</v>
      </c>
      <c r="B277" s="82" t="s">
        <v>45</v>
      </c>
      <c r="C277" s="101">
        <f t="shared" si="59"/>
        <v>0.68440838939453896</v>
      </c>
      <c r="D277" s="101">
        <f t="shared" si="60"/>
        <v>0.79884526558891455</v>
      </c>
      <c r="E277" s="101">
        <f t="shared" si="61"/>
        <v>0.85674713098535815</v>
      </c>
      <c r="F277" s="27">
        <v>5054</v>
      </c>
      <c r="G277" s="27">
        <f t="shared" si="63"/>
        <v>724</v>
      </c>
      <c r="H277" s="27">
        <v>4330</v>
      </c>
      <c r="I277" s="27">
        <v>3459</v>
      </c>
      <c r="J277" s="27">
        <f t="shared" si="62"/>
        <v>871</v>
      </c>
    </row>
    <row r="278" spans="1:10" s="29" customFormat="1" ht="12.75">
      <c r="A278" s="81">
        <v>2015</v>
      </c>
      <c r="B278" s="82" t="s">
        <v>46</v>
      </c>
      <c r="C278" s="101">
        <f t="shared" si="59"/>
        <v>0.79825604439159725</v>
      </c>
      <c r="D278" s="101">
        <f t="shared" si="60"/>
        <v>0.86979054199956818</v>
      </c>
      <c r="E278" s="101">
        <f t="shared" si="61"/>
        <v>0.91775663892191839</v>
      </c>
      <c r="F278" s="27">
        <v>5046</v>
      </c>
      <c r="G278" s="27">
        <f t="shared" si="63"/>
        <v>415</v>
      </c>
      <c r="H278" s="27">
        <v>4631</v>
      </c>
      <c r="I278" s="27">
        <v>4028</v>
      </c>
      <c r="J278" s="27">
        <f t="shared" si="62"/>
        <v>603</v>
      </c>
    </row>
    <row r="279" spans="1:10" s="29" customFormat="1" ht="12.75">
      <c r="A279" s="81">
        <v>2015</v>
      </c>
      <c r="B279" s="82" t="s">
        <v>47</v>
      </c>
      <c r="C279" s="101">
        <f t="shared" si="59"/>
        <v>0.84681348664977585</v>
      </c>
      <c r="D279" s="101">
        <f t="shared" si="60"/>
        <v>0.88402848423194302</v>
      </c>
      <c r="E279" s="101">
        <f t="shared" si="61"/>
        <v>0.95790294289612166</v>
      </c>
      <c r="F279" s="27">
        <v>5131</v>
      </c>
      <c r="G279" s="27">
        <f t="shared" si="63"/>
        <v>216</v>
      </c>
      <c r="H279" s="27">
        <v>4915</v>
      </c>
      <c r="I279" s="27">
        <v>4345</v>
      </c>
      <c r="J279" s="27">
        <f t="shared" si="62"/>
        <v>570</v>
      </c>
    </row>
    <row r="280" spans="1:10" s="29" customFormat="1" ht="12.75">
      <c r="A280" s="81">
        <v>2015</v>
      </c>
      <c r="B280" s="82" t="s">
        <v>48</v>
      </c>
      <c r="C280" s="101">
        <f t="shared" si="59"/>
        <v>0.81071136549468525</v>
      </c>
      <c r="D280" s="101">
        <f t="shared" si="60"/>
        <v>0.85327022375215145</v>
      </c>
      <c r="E280" s="101">
        <f t="shared" si="61"/>
        <v>0.95012264922322154</v>
      </c>
      <c r="F280" s="27">
        <v>4892</v>
      </c>
      <c r="G280" s="27">
        <f t="shared" si="63"/>
        <v>244</v>
      </c>
      <c r="H280" s="27">
        <v>4648</v>
      </c>
      <c r="I280" s="27">
        <v>3966</v>
      </c>
      <c r="J280" s="27">
        <f t="shared" si="62"/>
        <v>682</v>
      </c>
    </row>
    <row r="281" spans="1:10" s="29" customFormat="1" ht="12.75">
      <c r="A281" s="81">
        <v>2015</v>
      </c>
      <c r="B281" s="82" t="s">
        <v>49</v>
      </c>
      <c r="C281" s="101">
        <f t="shared" si="59"/>
        <v>0.78943154523618897</v>
      </c>
      <c r="D281" s="101">
        <f t="shared" si="60"/>
        <v>0.83754512635379064</v>
      </c>
      <c r="E281" s="101">
        <f t="shared" si="61"/>
        <v>0.94255404323458769</v>
      </c>
      <c r="F281" s="27">
        <v>4996</v>
      </c>
      <c r="G281" s="27">
        <f t="shared" si="63"/>
        <v>287</v>
      </c>
      <c r="H281" s="27">
        <v>4709</v>
      </c>
      <c r="I281" s="27">
        <v>3944</v>
      </c>
      <c r="J281" s="27">
        <f t="shared" si="62"/>
        <v>765</v>
      </c>
    </row>
    <row r="282" spans="1:10" s="29" customFormat="1" ht="12.75">
      <c r="A282" s="81">
        <v>2016</v>
      </c>
      <c r="B282" s="82" t="s">
        <v>38</v>
      </c>
      <c r="C282" s="101">
        <f t="shared" si="59"/>
        <v>0.67510882469331224</v>
      </c>
      <c r="D282" s="101">
        <f t="shared" si="60"/>
        <v>0.74808156106117074</v>
      </c>
      <c r="E282" s="101">
        <f t="shared" si="61"/>
        <v>0.90245350217649389</v>
      </c>
      <c r="F282" s="27">
        <v>5054</v>
      </c>
      <c r="G282" s="27">
        <f>+F282-H282</f>
        <v>493</v>
      </c>
      <c r="H282" s="27">
        <v>4561</v>
      </c>
      <c r="I282" s="27">
        <v>3412</v>
      </c>
      <c r="J282" s="27">
        <f t="shared" ref="J282:J293" si="64">H282-I282</f>
        <v>1149</v>
      </c>
    </row>
    <row r="283" spans="1:10" s="29" customFormat="1" ht="12.75">
      <c r="A283" s="81">
        <v>2016</v>
      </c>
      <c r="B283" s="82" t="s">
        <v>39</v>
      </c>
      <c r="C283" s="101">
        <f t="shared" si="59"/>
        <v>0.55890469114837615</v>
      </c>
      <c r="D283" s="101">
        <f t="shared" si="60"/>
        <v>0.6490017254128666</v>
      </c>
      <c r="E283" s="101">
        <f t="shared" si="61"/>
        <v>0.86117597113139466</v>
      </c>
      <c r="F283" s="27">
        <v>4711</v>
      </c>
      <c r="G283" s="27">
        <f t="shared" ref="G283:G293" si="65">F283-H283</f>
        <v>654</v>
      </c>
      <c r="H283" s="27">
        <v>4057</v>
      </c>
      <c r="I283" s="27">
        <v>2633</v>
      </c>
      <c r="J283" s="27">
        <f t="shared" si="64"/>
        <v>1424</v>
      </c>
    </row>
    <row r="284" spans="1:10" s="29" customFormat="1" ht="12.75">
      <c r="A284" s="81">
        <v>2016</v>
      </c>
      <c r="B284" s="82" t="s">
        <v>40</v>
      </c>
      <c r="C284" s="101">
        <f t="shared" si="59"/>
        <v>0.5162625665286813</v>
      </c>
      <c r="D284" s="101">
        <f t="shared" si="60"/>
        <v>0.5909296028880866</v>
      </c>
      <c r="E284" s="101">
        <f t="shared" si="61"/>
        <v>0.87364478612260987</v>
      </c>
      <c r="F284" s="27">
        <v>5073</v>
      </c>
      <c r="G284" s="27">
        <f t="shared" si="65"/>
        <v>641</v>
      </c>
      <c r="H284" s="27">
        <v>4432</v>
      </c>
      <c r="I284" s="27">
        <v>2619</v>
      </c>
      <c r="J284" s="27">
        <f t="shared" si="64"/>
        <v>1813</v>
      </c>
    </row>
    <row r="285" spans="1:10" s="29" customFormat="1" ht="12.75">
      <c r="A285" s="81">
        <v>2016</v>
      </c>
      <c r="B285" s="82" t="s">
        <v>41</v>
      </c>
      <c r="C285" s="101">
        <f t="shared" si="59"/>
        <v>0.36667337492453211</v>
      </c>
      <c r="D285" s="101">
        <f t="shared" si="60"/>
        <v>0.49754232659748771</v>
      </c>
      <c r="E285" s="101">
        <f t="shared" si="61"/>
        <v>0.73696920909639763</v>
      </c>
      <c r="F285" s="27">
        <v>4969</v>
      </c>
      <c r="G285" s="27">
        <f t="shared" si="65"/>
        <v>1307</v>
      </c>
      <c r="H285" s="27">
        <v>3662</v>
      </c>
      <c r="I285" s="27">
        <v>1822</v>
      </c>
      <c r="J285" s="27">
        <f t="shared" si="64"/>
        <v>1840</v>
      </c>
    </row>
    <row r="286" spans="1:10" s="29" customFormat="1" ht="12.75">
      <c r="A286" s="81">
        <v>2016</v>
      </c>
      <c r="B286" s="82" t="s">
        <v>42</v>
      </c>
      <c r="C286" s="101">
        <f t="shared" si="59"/>
        <v>0.41237926276365072</v>
      </c>
      <c r="D286" s="101">
        <f t="shared" si="60"/>
        <v>0.53572343149807944</v>
      </c>
      <c r="E286" s="101">
        <f t="shared" si="61"/>
        <v>0.76976148235757935</v>
      </c>
      <c r="F286" s="27">
        <v>5073</v>
      </c>
      <c r="G286" s="27">
        <f t="shared" si="65"/>
        <v>1168</v>
      </c>
      <c r="H286" s="27">
        <v>3905</v>
      </c>
      <c r="I286" s="27">
        <v>2092</v>
      </c>
      <c r="J286" s="27">
        <f t="shared" si="64"/>
        <v>1813</v>
      </c>
    </row>
    <row r="287" spans="1:10" s="29" customFormat="1" ht="12.75">
      <c r="A287" s="81">
        <v>2016</v>
      </c>
      <c r="B287" s="82" t="s">
        <v>43</v>
      </c>
      <c r="C287" s="101">
        <f t="shared" si="59"/>
        <v>0.56520850367947673</v>
      </c>
      <c r="D287" s="101">
        <f t="shared" si="60"/>
        <v>0.65723793677204656</v>
      </c>
      <c r="E287" s="101">
        <f t="shared" si="61"/>
        <v>0.85997547015535569</v>
      </c>
      <c r="F287" s="27">
        <v>4892</v>
      </c>
      <c r="G287" s="27">
        <f t="shared" si="65"/>
        <v>685</v>
      </c>
      <c r="H287" s="27">
        <v>4207</v>
      </c>
      <c r="I287" s="27">
        <v>2765</v>
      </c>
      <c r="J287" s="27">
        <f t="shared" si="64"/>
        <v>1442</v>
      </c>
    </row>
    <row r="288" spans="1:10" s="29" customFormat="1" ht="12.75">
      <c r="A288" s="81">
        <v>2016</v>
      </c>
      <c r="B288" s="82" t="s">
        <v>44</v>
      </c>
      <c r="C288" s="101">
        <f t="shared" si="59"/>
        <v>0.56545236188951165</v>
      </c>
      <c r="D288" s="101">
        <f t="shared" si="60"/>
        <v>0.6586616927022616</v>
      </c>
      <c r="E288" s="101">
        <f t="shared" si="61"/>
        <v>0.85848678943154522</v>
      </c>
      <c r="F288" s="27">
        <v>4996</v>
      </c>
      <c r="G288" s="27">
        <f t="shared" si="65"/>
        <v>707</v>
      </c>
      <c r="H288" s="27">
        <v>4289</v>
      </c>
      <c r="I288" s="27">
        <v>2825</v>
      </c>
      <c r="J288" s="27">
        <f t="shared" si="64"/>
        <v>1464</v>
      </c>
    </row>
    <row r="289" spans="1:10" s="29" customFormat="1" ht="12.75">
      <c r="A289" s="81">
        <v>2016</v>
      </c>
      <c r="B289" s="82" t="s">
        <v>45</v>
      </c>
      <c r="C289" s="101">
        <f t="shared" si="59"/>
        <v>0.65956125827814571</v>
      </c>
      <c r="D289" s="101">
        <f t="shared" si="60"/>
        <v>0.71473424534649022</v>
      </c>
      <c r="E289" s="101">
        <f t="shared" si="61"/>
        <v>0.92280629139072845</v>
      </c>
      <c r="F289" s="27">
        <v>4832</v>
      </c>
      <c r="G289" s="27">
        <f t="shared" si="65"/>
        <v>373</v>
      </c>
      <c r="H289" s="27">
        <v>4459</v>
      </c>
      <c r="I289" s="27">
        <v>3187</v>
      </c>
      <c r="J289" s="27">
        <f t="shared" si="64"/>
        <v>1272</v>
      </c>
    </row>
    <row r="290" spans="1:10" s="106" customFormat="1" ht="12.75">
      <c r="A290" s="81">
        <v>2016</v>
      </c>
      <c r="B290" s="82" t="s">
        <v>46</v>
      </c>
      <c r="C290" s="101">
        <f t="shared" si="59"/>
        <v>0.76547085201793719</v>
      </c>
      <c r="D290" s="101">
        <f t="shared" si="60"/>
        <v>0.78573072497123131</v>
      </c>
      <c r="E290" s="101">
        <f t="shared" si="61"/>
        <v>0.97421524663677128</v>
      </c>
      <c r="F290" s="27">
        <v>4460</v>
      </c>
      <c r="G290" s="27">
        <f t="shared" si="65"/>
        <v>115</v>
      </c>
      <c r="H290" s="27">
        <v>4345</v>
      </c>
      <c r="I290" s="27">
        <v>3414</v>
      </c>
      <c r="J290" s="27">
        <f t="shared" si="64"/>
        <v>931</v>
      </c>
    </row>
    <row r="291" spans="1:10" s="106" customFormat="1" ht="12.75">
      <c r="A291" s="81">
        <v>2016</v>
      </c>
      <c r="B291" s="82" t="s">
        <v>47</v>
      </c>
      <c r="C291" s="101">
        <f t="shared" si="59"/>
        <v>0.77585441633377716</v>
      </c>
      <c r="D291" s="101">
        <f t="shared" si="60"/>
        <v>0.80627306273062727</v>
      </c>
      <c r="E291" s="101">
        <f t="shared" si="61"/>
        <v>0.96227252552152687</v>
      </c>
      <c r="F291" s="27">
        <v>4506</v>
      </c>
      <c r="G291" s="27">
        <f t="shared" si="65"/>
        <v>170</v>
      </c>
      <c r="H291" s="27">
        <v>4336</v>
      </c>
      <c r="I291" s="27">
        <v>3496</v>
      </c>
      <c r="J291" s="27">
        <f t="shared" si="64"/>
        <v>840</v>
      </c>
    </row>
    <row r="292" spans="1:10" s="106" customFormat="1" ht="12.75">
      <c r="A292" s="81">
        <v>2016</v>
      </c>
      <c r="B292" s="82" t="s">
        <v>48</v>
      </c>
      <c r="C292" s="101">
        <f t="shared" si="59"/>
        <v>0.73961407491486941</v>
      </c>
      <c r="D292" s="101">
        <f t="shared" si="60"/>
        <v>0.77350427350427353</v>
      </c>
      <c r="E292" s="101">
        <f t="shared" si="61"/>
        <v>0.95618615209988644</v>
      </c>
      <c r="F292" s="27">
        <v>4405</v>
      </c>
      <c r="G292" s="27">
        <f t="shared" si="65"/>
        <v>193</v>
      </c>
      <c r="H292" s="27">
        <v>4212</v>
      </c>
      <c r="I292" s="27">
        <v>3258</v>
      </c>
      <c r="J292" s="27">
        <f t="shared" si="64"/>
        <v>954</v>
      </c>
    </row>
    <row r="293" spans="1:10" s="106" customFormat="1" ht="12.75">
      <c r="A293" s="81">
        <v>2016</v>
      </c>
      <c r="B293" s="82" t="s">
        <v>49</v>
      </c>
      <c r="C293" s="101">
        <f t="shared" si="59"/>
        <v>0.59476253883710606</v>
      </c>
      <c r="D293" s="101">
        <f t="shared" si="60"/>
        <v>0.6917914300464636</v>
      </c>
      <c r="E293" s="101">
        <f t="shared" si="61"/>
        <v>0.85974256546826455</v>
      </c>
      <c r="F293" s="27">
        <v>4506</v>
      </c>
      <c r="G293" s="27">
        <f t="shared" si="65"/>
        <v>632</v>
      </c>
      <c r="H293" s="27">
        <v>3874</v>
      </c>
      <c r="I293" s="27">
        <v>2680</v>
      </c>
      <c r="J293" s="27">
        <f t="shared" si="64"/>
        <v>1194</v>
      </c>
    </row>
    <row r="294" spans="1:10" s="106" customFormat="1" ht="12.75">
      <c r="A294" s="81">
        <v>2017</v>
      </c>
      <c r="B294" s="82" t="s">
        <v>38</v>
      </c>
      <c r="C294" s="101">
        <f t="shared" si="59"/>
        <v>0.5851786888840167</v>
      </c>
      <c r="D294" s="101">
        <f t="shared" si="60"/>
        <v>0.63775388291517321</v>
      </c>
      <c r="E294" s="101">
        <f t="shared" si="61"/>
        <v>0.91756193817145359</v>
      </c>
      <c r="F294" s="27">
        <v>4561</v>
      </c>
      <c r="G294" s="27">
        <f>+F294-H294</f>
        <v>376</v>
      </c>
      <c r="H294" s="27">
        <v>4185</v>
      </c>
      <c r="I294" s="27">
        <v>2669</v>
      </c>
      <c r="J294" s="27">
        <f t="shared" ref="J294:J305" si="66">H294-I294</f>
        <v>1516</v>
      </c>
    </row>
    <row r="295" spans="1:10" s="106" customFormat="1" ht="12.75">
      <c r="A295" s="81">
        <v>2017</v>
      </c>
      <c r="B295" s="82" t="s">
        <v>39</v>
      </c>
      <c r="C295" s="101">
        <f t="shared" si="59"/>
        <v>0.57602773650321937</v>
      </c>
      <c r="D295" s="101">
        <f t="shared" si="60"/>
        <v>0.63103635377102552</v>
      </c>
      <c r="E295" s="101">
        <f t="shared" si="61"/>
        <v>0.91282813273897967</v>
      </c>
      <c r="F295" s="27">
        <v>4038</v>
      </c>
      <c r="G295" s="27">
        <f t="shared" ref="G295:G305" si="67">F295-H295</f>
        <v>352</v>
      </c>
      <c r="H295" s="27">
        <v>3686</v>
      </c>
      <c r="I295" s="27">
        <v>2326</v>
      </c>
      <c r="J295" s="27">
        <f t="shared" si="66"/>
        <v>1360</v>
      </c>
    </row>
    <row r="296" spans="1:10" s="106" customFormat="1" ht="12.75">
      <c r="A296" s="81">
        <v>2017</v>
      </c>
      <c r="B296" s="82" t="s">
        <v>40</v>
      </c>
      <c r="C296" s="101">
        <f t="shared" si="59"/>
        <v>0.44924358693269018</v>
      </c>
      <c r="D296" s="101">
        <f t="shared" si="60"/>
        <v>0.5020828228375398</v>
      </c>
      <c r="E296" s="101">
        <f t="shared" si="61"/>
        <v>0.89475992106994084</v>
      </c>
      <c r="F296" s="27">
        <v>4561</v>
      </c>
      <c r="G296" s="27">
        <f t="shared" si="67"/>
        <v>480</v>
      </c>
      <c r="H296" s="27">
        <v>4081</v>
      </c>
      <c r="I296" s="27">
        <v>2049</v>
      </c>
      <c r="J296" s="27">
        <f t="shared" si="66"/>
        <v>2032</v>
      </c>
    </row>
    <row r="297" spans="1:10" s="106" customFormat="1" ht="12.75">
      <c r="A297" s="81">
        <v>2017</v>
      </c>
      <c r="B297" s="82" t="s">
        <v>41</v>
      </c>
      <c r="C297" s="101">
        <f t="shared" si="59"/>
        <v>0.3690557451649602</v>
      </c>
      <c r="D297" s="101">
        <f t="shared" si="60"/>
        <v>0.44462719298245612</v>
      </c>
      <c r="E297" s="101">
        <f t="shared" si="61"/>
        <v>0.83003412969283275</v>
      </c>
      <c r="F297" s="27">
        <v>4395</v>
      </c>
      <c r="G297" s="27">
        <f t="shared" si="67"/>
        <v>747</v>
      </c>
      <c r="H297" s="27">
        <v>3648</v>
      </c>
      <c r="I297" s="27">
        <v>1622</v>
      </c>
      <c r="J297" s="27">
        <f t="shared" si="66"/>
        <v>2026</v>
      </c>
    </row>
    <row r="298" spans="1:10" s="106" customFormat="1" ht="12.75">
      <c r="A298" s="81">
        <v>2017</v>
      </c>
      <c r="B298" s="82" t="s">
        <v>42</v>
      </c>
      <c r="C298" s="101">
        <f t="shared" si="59"/>
        <v>0.44944057420308214</v>
      </c>
      <c r="D298" s="101">
        <f t="shared" si="60"/>
        <v>0.51901511457825455</v>
      </c>
      <c r="E298" s="101">
        <f t="shared" si="61"/>
        <v>0.86594891281401731</v>
      </c>
      <c r="F298" s="27">
        <v>4737</v>
      </c>
      <c r="G298" s="27">
        <f t="shared" si="67"/>
        <v>635</v>
      </c>
      <c r="H298" s="27">
        <v>4102</v>
      </c>
      <c r="I298" s="27">
        <v>2129</v>
      </c>
      <c r="J298" s="27">
        <f t="shared" si="66"/>
        <v>1973</v>
      </c>
    </row>
    <row r="299" spans="1:10" s="106" customFormat="1" ht="12.75">
      <c r="A299" s="81">
        <v>2017</v>
      </c>
      <c r="B299" s="82" t="s">
        <v>43</v>
      </c>
      <c r="C299" s="101">
        <f t="shared" si="59"/>
        <v>0.40699453551912568</v>
      </c>
      <c r="D299" s="101">
        <f t="shared" si="60"/>
        <v>0.49892818863879956</v>
      </c>
      <c r="E299" s="101">
        <f t="shared" si="61"/>
        <v>0.81573770491803277</v>
      </c>
      <c r="F299" s="27">
        <v>4575</v>
      </c>
      <c r="G299" s="27">
        <f t="shared" si="67"/>
        <v>843</v>
      </c>
      <c r="H299" s="27">
        <v>3732</v>
      </c>
      <c r="I299" s="27">
        <v>1862</v>
      </c>
      <c r="J299" s="27">
        <f t="shared" si="66"/>
        <v>1870</v>
      </c>
    </row>
    <row r="300" spans="1:10" s="106" customFormat="1" ht="12.75">
      <c r="A300" s="81">
        <v>2017</v>
      </c>
      <c r="B300" s="82" t="s">
        <v>44</v>
      </c>
      <c r="C300" s="101">
        <f t="shared" si="59"/>
        <v>0.56850886339937434</v>
      </c>
      <c r="D300" s="101">
        <f t="shared" si="60"/>
        <v>0.63043478260869568</v>
      </c>
      <c r="E300" s="101">
        <f t="shared" si="61"/>
        <v>0.90177267987486964</v>
      </c>
      <c r="F300" s="27">
        <v>4795</v>
      </c>
      <c r="G300" s="27">
        <f t="shared" si="67"/>
        <v>471</v>
      </c>
      <c r="H300" s="27">
        <v>4324</v>
      </c>
      <c r="I300" s="27">
        <v>2726</v>
      </c>
      <c r="J300" s="27">
        <f t="shared" si="66"/>
        <v>1598</v>
      </c>
    </row>
    <row r="301" spans="1:10" s="106" customFormat="1" ht="12.75">
      <c r="A301" s="81">
        <v>2017</v>
      </c>
      <c r="B301" s="82" t="s">
        <v>45</v>
      </c>
      <c r="C301" s="101">
        <f t="shared" si="59"/>
        <v>0.49645685702375991</v>
      </c>
      <c r="D301" s="101">
        <f t="shared" si="60"/>
        <v>0.53721244925575107</v>
      </c>
      <c r="E301" s="101">
        <f t="shared" si="61"/>
        <v>0.92413505627344728</v>
      </c>
      <c r="F301" s="27">
        <v>4798</v>
      </c>
      <c r="G301" s="27">
        <f t="shared" si="67"/>
        <v>364</v>
      </c>
      <c r="H301" s="27">
        <v>4434</v>
      </c>
      <c r="I301" s="27">
        <v>2382</v>
      </c>
      <c r="J301" s="27">
        <f t="shared" si="66"/>
        <v>2052</v>
      </c>
    </row>
    <row r="302" spans="1:10" s="106" customFormat="1" ht="12.75">
      <c r="A302" s="81">
        <v>2017</v>
      </c>
      <c r="B302" s="82" t="s">
        <v>46</v>
      </c>
      <c r="C302" s="101">
        <f t="shared" si="59"/>
        <v>0.46173523768919206</v>
      </c>
      <c r="D302" s="101">
        <f t="shared" si="60"/>
        <v>0.5084507042253521</v>
      </c>
      <c r="E302" s="101">
        <f t="shared" si="61"/>
        <v>0.90812193562140264</v>
      </c>
      <c r="F302" s="27">
        <v>4691</v>
      </c>
      <c r="G302" s="27">
        <f t="shared" si="67"/>
        <v>431</v>
      </c>
      <c r="H302" s="27">
        <v>4260</v>
      </c>
      <c r="I302" s="27">
        <v>2166</v>
      </c>
      <c r="J302" s="27">
        <f t="shared" si="66"/>
        <v>2094</v>
      </c>
    </row>
    <row r="303" spans="1:10" s="106" customFormat="1" ht="12.75">
      <c r="A303" s="81">
        <v>2017</v>
      </c>
      <c r="B303" s="82" t="s">
        <v>47</v>
      </c>
      <c r="C303" s="101">
        <f t="shared" si="59"/>
        <v>0.43234114418408276</v>
      </c>
      <c r="D303" s="101">
        <f t="shared" si="60"/>
        <v>0.4717806956922368</v>
      </c>
      <c r="E303" s="101">
        <f t="shared" si="61"/>
        <v>0.91640278657378083</v>
      </c>
      <c r="F303" s="27">
        <v>4737</v>
      </c>
      <c r="G303" s="27">
        <f t="shared" si="67"/>
        <v>396</v>
      </c>
      <c r="H303" s="27">
        <v>4341</v>
      </c>
      <c r="I303" s="27">
        <v>2048</v>
      </c>
      <c r="J303" s="27">
        <f t="shared" si="66"/>
        <v>2293</v>
      </c>
    </row>
    <row r="304" spans="1:10" s="106" customFormat="1" ht="12.75">
      <c r="A304" s="81">
        <v>2017</v>
      </c>
      <c r="B304" s="82" t="s">
        <v>48</v>
      </c>
      <c r="C304" s="101">
        <f t="shared" si="59"/>
        <v>0.50399309302827544</v>
      </c>
      <c r="D304" s="101">
        <f t="shared" si="60"/>
        <v>0.55279356060606055</v>
      </c>
      <c r="E304" s="101">
        <f t="shared" si="61"/>
        <v>0.91172026764515435</v>
      </c>
      <c r="F304" s="27">
        <v>4633</v>
      </c>
      <c r="G304" s="27">
        <f t="shared" si="67"/>
        <v>409</v>
      </c>
      <c r="H304" s="27">
        <v>4224</v>
      </c>
      <c r="I304" s="27">
        <v>2335</v>
      </c>
      <c r="J304" s="27">
        <f t="shared" si="66"/>
        <v>1889</v>
      </c>
    </row>
    <row r="305" spans="1:11" s="106" customFormat="1" ht="12.75">
      <c r="A305" s="81">
        <v>2017</v>
      </c>
      <c r="B305" s="82" t="s">
        <v>49</v>
      </c>
      <c r="C305" s="101">
        <f t="shared" si="59"/>
        <v>0.57992724160068476</v>
      </c>
      <c r="D305" s="101">
        <f t="shared" si="60"/>
        <v>0.64894636015325668</v>
      </c>
      <c r="E305" s="101">
        <f t="shared" si="61"/>
        <v>0.89364433982452385</v>
      </c>
      <c r="F305" s="27">
        <v>4673</v>
      </c>
      <c r="G305" s="27">
        <f t="shared" si="67"/>
        <v>497</v>
      </c>
      <c r="H305" s="27">
        <v>4176</v>
      </c>
      <c r="I305" s="27">
        <v>2710</v>
      </c>
      <c r="J305" s="27">
        <f t="shared" si="66"/>
        <v>1466</v>
      </c>
    </row>
    <row r="306" spans="1:11" s="106" customFormat="1" ht="12.75">
      <c r="A306" s="81">
        <v>2018</v>
      </c>
      <c r="B306" s="82" t="s">
        <v>38</v>
      </c>
      <c r="C306" s="101">
        <f t="shared" si="59"/>
        <v>0.63130471029595669</v>
      </c>
      <c r="D306" s="101">
        <f t="shared" si="60"/>
        <v>0.66425438596491226</v>
      </c>
      <c r="E306" s="101">
        <f t="shared" si="61"/>
        <v>0.95039599833263855</v>
      </c>
      <c r="F306" s="27">
        <v>4798</v>
      </c>
      <c r="G306" s="27">
        <f t="shared" ref="G306:G314" si="68">+F306-H306</f>
        <v>238</v>
      </c>
      <c r="H306" s="27">
        <v>4560</v>
      </c>
      <c r="I306" s="27">
        <v>3029</v>
      </c>
      <c r="J306" s="27">
        <f t="shared" ref="J306:J317" si="69">H306-I306</f>
        <v>1531</v>
      </c>
    </row>
    <row r="307" spans="1:11" s="106" customFormat="1" ht="12.75">
      <c r="A307" s="81">
        <v>2018</v>
      </c>
      <c r="B307" s="82" t="s">
        <v>39</v>
      </c>
      <c r="C307" s="101">
        <f t="shared" si="59"/>
        <v>0.67161716171617158</v>
      </c>
      <c r="D307" s="101">
        <f t="shared" si="60"/>
        <v>0.69538686844032216</v>
      </c>
      <c r="E307" s="101">
        <f t="shared" si="61"/>
        <v>0.96581801037246584</v>
      </c>
      <c r="F307" s="27">
        <v>4242</v>
      </c>
      <c r="G307" s="27">
        <f t="shared" si="68"/>
        <v>145</v>
      </c>
      <c r="H307" s="27">
        <v>4097</v>
      </c>
      <c r="I307" s="27">
        <v>2849</v>
      </c>
      <c r="J307" s="27">
        <f t="shared" si="69"/>
        <v>1248</v>
      </c>
    </row>
    <row r="308" spans="1:11" s="106" customFormat="1" ht="12.75">
      <c r="A308" s="81">
        <v>2018</v>
      </c>
      <c r="B308" s="82" t="s">
        <v>40</v>
      </c>
      <c r="C308" s="101">
        <f t="shared" si="59"/>
        <v>0.63985644922947016</v>
      </c>
      <c r="D308" s="101">
        <f t="shared" si="60"/>
        <v>0.66644678979771332</v>
      </c>
      <c r="E308" s="101">
        <f t="shared" si="61"/>
        <v>0.9601013299556681</v>
      </c>
      <c r="F308" s="27">
        <v>4737</v>
      </c>
      <c r="G308" s="27">
        <f t="shared" si="68"/>
        <v>189</v>
      </c>
      <c r="H308" s="27">
        <v>4548</v>
      </c>
      <c r="I308" s="27">
        <v>3031</v>
      </c>
      <c r="J308" s="27">
        <f t="shared" si="69"/>
        <v>1517</v>
      </c>
    </row>
    <row r="309" spans="1:11" s="106" customFormat="1" ht="12.75">
      <c r="A309" s="81">
        <v>2018</v>
      </c>
      <c r="B309" s="82" t="s">
        <v>41</v>
      </c>
      <c r="C309" s="101">
        <f t="shared" si="59"/>
        <v>0.55468066491688539</v>
      </c>
      <c r="D309" s="101">
        <f t="shared" si="60"/>
        <v>0.60976196201009858</v>
      </c>
      <c r="E309" s="101">
        <f t="shared" si="61"/>
        <v>0.90966754155730534</v>
      </c>
      <c r="F309" s="27">
        <v>4572</v>
      </c>
      <c r="G309" s="27">
        <f t="shared" si="68"/>
        <v>413</v>
      </c>
      <c r="H309" s="27">
        <v>4159</v>
      </c>
      <c r="I309" s="27">
        <v>2536</v>
      </c>
      <c r="J309" s="27">
        <f t="shared" si="69"/>
        <v>1623</v>
      </c>
    </row>
    <row r="310" spans="1:11" s="106" customFormat="1" ht="12.75">
      <c r="A310" s="81">
        <v>2018</v>
      </c>
      <c r="B310" s="82" t="s">
        <v>42</v>
      </c>
      <c r="C310" s="101">
        <f t="shared" si="59"/>
        <v>0.39413130673421998</v>
      </c>
      <c r="D310" s="101">
        <f t="shared" si="60"/>
        <v>0.57007633587786255</v>
      </c>
      <c r="E310" s="101">
        <f t="shared" si="61"/>
        <v>0.69136584336077689</v>
      </c>
      <c r="F310" s="27">
        <v>4737</v>
      </c>
      <c r="G310" s="27">
        <f t="shared" si="68"/>
        <v>1462</v>
      </c>
      <c r="H310" s="27">
        <v>3275</v>
      </c>
      <c r="I310" s="27">
        <v>1867</v>
      </c>
      <c r="J310" s="27">
        <f t="shared" si="69"/>
        <v>1408</v>
      </c>
    </row>
    <row r="311" spans="1:11" s="106" customFormat="1" ht="12.75">
      <c r="A311" s="81">
        <v>2018</v>
      </c>
      <c r="B311" s="82" t="s">
        <v>43</v>
      </c>
      <c r="C311" s="101"/>
      <c r="D311" s="101"/>
      <c r="E311" s="101"/>
      <c r="F311" s="27"/>
      <c r="G311" s="27"/>
      <c r="H311" s="27">
        <v>2717</v>
      </c>
      <c r="I311" s="27"/>
      <c r="J311" s="27"/>
      <c r="K311" s="106" t="s">
        <v>77</v>
      </c>
    </row>
    <row r="312" spans="1:11" s="106" customFormat="1" ht="12.75">
      <c r="A312" s="81">
        <v>2018</v>
      </c>
      <c r="B312" s="82" t="s">
        <v>44</v>
      </c>
      <c r="C312" s="101">
        <f t="shared" si="59"/>
        <v>0.73337555414819511</v>
      </c>
      <c r="D312" s="101">
        <f t="shared" si="60"/>
        <v>0.91013885250196491</v>
      </c>
      <c r="E312" s="101">
        <f t="shared" si="61"/>
        <v>0.8057842516360566</v>
      </c>
      <c r="F312" s="27">
        <v>4737</v>
      </c>
      <c r="G312" s="27">
        <f t="shared" si="68"/>
        <v>920</v>
      </c>
      <c r="H312" s="27">
        <v>3817</v>
      </c>
      <c r="I312" s="27">
        <v>3474</v>
      </c>
      <c r="J312" s="27">
        <f t="shared" si="69"/>
        <v>343</v>
      </c>
    </row>
    <row r="313" spans="1:11" s="106" customFormat="1" ht="12.75">
      <c r="A313" s="81">
        <v>2018</v>
      </c>
      <c r="B313" s="82" t="s">
        <v>45</v>
      </c>
      <c r="C313" s="101">
        <f t="shared" si="59"/>
        <v>0.85889954147561487</v>
      </c>
      <c r="D313" s="101">
        <f t="shared" si="60"/>
        <v>0.89392624728850323</v>
      </c>
      <c r="E313" s="101">
        <f t="shared" si="61"/>
        <v>0.96081700708628592</v>
      </c>
      <c r="F313" s="27">
        <v>4798</v>
      </c>
      <c r="G313" s="27">
        <f t="shared" si="68"/>
        <v>188</v>
      </c>
      <c r="H313" s="27">
        <v>4610</v>
      </c>
      <c r="I313" s="27">
        <v>4121</v>
      </c>
      <c r="J313" s="27">
        <f t="shared" si="69"/>
        <v>489</v>
      </c>
    </row>
    <row r="314" spans="1:11" s="106" customFormat="1" ht="12.75">
      <c r="A314" s="81">
        <v>2018</v>
      </c>
      <c r="B314" s="82" t="s">
        <v>46</v>
      </c>
      <c r="C314" s="101">
        <f t="shared" si="59"/>
        <v>0.83498920086393091</v>
      </c>
      <c r="D314" s="101">
        <f t="shared" si="60"/>
        <v>0.90986114379854088</v>
      </c>
      <c r="E314" s="101">
        <f t="shared" si="61"/>
        <v>0.91771058315334775</v>
      </c>
      <c r="F314" s="27">
        <v>4630</v>
      </c>
      <c r="G314" s="27">
        <f t="shared" si="68"/>
        <v>381</v>
      </c>
      <c r="H314" s="27">
        <v>4249</v>
      </c>
      <c r="I314" s="27">
        <v>3866</v>
      </c>
      <c r="J314" s="27">
        <f t="shared" si="69"/>
        <v>383</v>
      </c>
    </row>
    <row r="315" spans="1:11" s="106" customFormat="1" ht="12.75">
      <c r="A315" s="81">
        <v>2018</v>
      </c>
      <c r="B315" s="82" t="s">
        <v>47</v>
      </c>
      <c r="C315" s="101">
        <f t="shared" si="59"/>
        <v>0.86932055022926225</v>
      </c>
      <c r="D315" s="101">
        <f t="shared" si="60"/>
        <v>0.90028059572631125</v>
      </c>
      <c r="E315" s="101">
        <f t="shared" si="61"/>
        <v>0.96561067111296373</v>
      </c>
      <c r="F315" s="27">
        <v>4798</v>
      </c>
      <c r="G315" s="27">
        <f t="shared" ref="G315:G317" si="70">F315-H315</f>
        <v>165</v>
      </c>
      <c r="H315" s="27">
        <v>4633</v>
      </c>
      <c r="I315" s="27">
        <v>4171</v>
      </c>
      <c r="J315" s="27">
        <f t="shared" si="69"/>
        <v>462</v>
      </c>
    </row>
    <row r="316" spans="1:11" s="106" customFormat="1" ht="12.75">
      <c r="A316" s="81">
        <v>2018</v>
      </c>
      <c r="B316" s="82" t="s">
        <v>48</v>
      </c>
      <c r="C316" s="101">
        <f t="shared" si="59"/>
        <v>0.82387222102309521</v>
      </c>
      <c r="D316" s="101">
        <f t="shared" si="60"/>
        <v>0.89307440336920918</v>
      </c>
      <c r="E316" s="101">
        <f t="shared" si="61"/>
        <v>0.92251241096481762</v>
      </c>
      <c r="F316" s="27">
        <v>4633</v>
      </c>
      <c r="G316" s="27">
        <f t="shared" si="70"/>
        <v>359</v>
      </c>
      <c r="H316" s="27">
        <v>4274</v>
      </c>
      <c r="I316" s="27">
        <v>3817</v>
      </c>
      <c r="J316" s="27">
        <f t="shared" si="69"/>
        <v>457</v>
      </c>
    </row>
    <row r="317" spans="1:11" s="106" customFormat="1" ht="12.75">
      <c r="A317" s="81">
        <v>2018</v>
      </c>
      <c r="B317" s="82" t="s">
        <v>49</v>
      </c>
      <c r="C317" s="101">
        <f t="shared" si="59"/>
        <v>0.80039525691699609</v>
      </c>
      <c r="D317" s="101">
        <f t="shared" si="60"/>
        <v>0.88363636363636366</v>
      </c>
      <c r="E317" s="101">
        <f t="shared" si="61"/>
        <v>0.90579710144927539</v>
      </c>
      <c r="F317" s="27">
        <v>4554</v>
      </c>
      <c r="G317" s="27">
        <f t="shared" si="70"/>
        <v>429</v>
      </c>
      <c r="H317" s="27">
        <v>4125</v>
      </c>
      <c r="I317" s="27">
        <v>3645</v>
      </c>
      <c r="J317" s="27">
        <f t="shared" si="69"/>
        <v>480</v>
      </c>
    </row>
    <row r="318" spans="1:11" s="106" customFormat="1" ht="12.75">
      <c r="A318" s="81">
        <v>2019</v>
      </c>
      <c r="B318" s="82" t="s">
        <v>38</v>
      </c>
      <c r="C318" s="101">
        <f t="shared" si="59"/>
        <v>0.8595248020008337</v>
      </c>
      <c r="D318" s="101">
        <f t="shared" si="60"/>
        <v>0.89652173913043476</v>
      </c>
      <c r="E318" s="101">
        <f t="shared" si="61"/>
        <v>0.95873280533555649</v>
      </c>
      <c r="F318" s="27">
        <v>4798</v>
      </c>
      <c r="G318" s="27">
        <f t="shared" ref="G318:G333" si="71">+F318-H318</f>
        <v>198</v>
      </c>
      <c r="H318" s="27">
        <v>4600</v>
      </c>
      <c r="I318" s="27">
        <v>4124</v>
      </c>
      <c r="J318" s="27">
        <f t="shared" ref="J318:J333" si="72">H318-I318</f>
        <v>476</v>
      </c>
    </row>
    <row r="319" spans="1:11" s="106" customFormat="1" ht="12.75">
      <c r="A319" s="81">
        <v>2019</v>
      </c>
      <c r="B319" s="82" t="s">
        <v>39</v>
      </c>
      <c r="C319" s="101">
        <f t="shared" si="59"/>
        <v>0.83455545371219064</v>
      </c>
      <c r="D319" s="101">
        <f t="shared" si="60"/>
        <v>0.86282871357498225</v>
      </c>
      <c r="E319" s="101">
        <f t="shared" si="61"/>
        <v>0.96723189734188819</v>
      </c>
      <c r="F319" s="27">
        <v>4364</v>
      </c>
      <c r="G319" s="27">
        <f t="shared" si="71"/>
        <v>143</v>
      </c>
      <c r="H319" s="27">
        <v>4221</v>
      </c>
      <c r="I319" s="27">
        <v>3642</v>
      </c>
      <c r="J319" s="27">
        <f t="shared" si="72"/>
        <v>579</v>
      </c>
    </row>
    <row r="320" spans="1:11" s="106" customFormat="1" ht="12.75">
      <c r="A320" s="81">
        <v>2019</v>
      </c>
      <c r="B320" s="82" t="s">
        <v>40</v>
      </c>
      <c r="C320" s="101">
        <f t="shared" si="59"/>
        <v>0.7355018189599829</v>
      </c>
      <c r="D320" s="101">
        <f t="shared" si="60"/>
        <v>0.77865881286814675</v>
      </c>
      <c r="E320" s="101">
        <f t="shared" si="61"/>
        <v>0.94457521934517441</v>
      </c>
      <c r="F320" s="27">
        <v>4673</v>
      </c>
      <c r="G320" s="27">
        <f t="shared" si="71"/>
        <v>259</v>
      </c>
      <c r="H320" s="27">
        <v>4414</v>
      </c>
      <c r="I320" s="27">
        <v>3437</v>
      </c>
      <c r="J320" s="27">
        <f t="shared" si="72"/>
        <v>977</v>
      </c>
    </row>
    <row r="321" spans="1:10" s="106" customFormat="1" ht="12.75">
      <c r="A321" s="81">
        <v>2019</v>
      </c>
      <c r="B321" s="82" t="s">
        <v>41</v>
      </c>
      <c r="C321" s="101">
        <f t="shared" si="59"/>
        <v>0.72200349956255472</v>
      </c>
      <c r="D321" s="101">
        <f t="shared" si="60"/>
        <v>0.75902506323292707</v>
      </c>
      <c r="E321" s="101">
        <f t="shared" si="61"/>
        <v>0.95122484689413822</v>
      </c>
      <c r="F321" s="27">
        <v>4572</v>
      </c>
      <c r="G321" s="27">
        <f t="shared" si="71"/>
        <v>223</v>
      </c>
      <c r="H321" s="27">
        <v>4349</v>
      </c>
      <c r="I321" s="27">
        <v>3301</v>
      </c>
      <c r="J321" s="27">
        <f t="shared" si="72"/>
        <v>1048</v>
      </c>
    </row>
    <row r="322" spans="1:10" s="106" customFormat="1" ht="12.75">
      <c r="A322" s="81">
        <v>2019</v>
      </c>
      <c r="B322" s="82" t="s">
        <v>42</v>
      </c>
      <c r="C322" s="101">
        <f t="shared" si="59"/>
        <v>0.61181434599156115</v>
      </c>
      <c r="D322" s="101">
        <f t="shared" si="60"/>
        <v>0.73735062293414699</v>
      </c>
      <c r="E322" s="101">
        <f t="shared" si="61"/>
        <v>0.82974683544303796</v>
      </c>
      <c r="F322" s="27">
        <v>4740</v>
      </c>
      <c r="G322" s="27">
        <f t="shared" si="71"/>
        <v>807</v>
      </c>
      <c r="H322" s="27">
        <v>3933</v>
      </c>
      <c r="I322" s="27">
        <v>2900</v>
      </c>
      <c r="J322" s="27">
        <f t="shared" si="72"/>
        <v>1033</v>
      </c>
    </row>
    <row r="323" spans="1:10" s="106" customFormat="1" ht="12.75">
      <c r="A323" s="81">
        <v>2019</v>
      </c>
      <c r="B323" s="82" t="s">
        <v>43</v>
      </c>
      <c r="C323" s="101">
        <f t="shared" si="59"/>
        <v>0.70585625554569653</v>
      </c>
      <c r="D323" s="101">
        <f t="shared" si="60"/>
        <v>0.74589779653070787</v>
      </c>
      <c r="E323" s="101">
        <f t="shared" si="61"/>
        <v>0.94631765749778174</v>
      </c>
      <c r="F323" s="27">
        <v>4508</v>
      </c>
      <c r="G323" s="27">
        <f t="shared" si="71"/>
        <v>242</v>
      </c>
      <c r="H323" s="27">
        <v>4266</v>
      </c>
      <c r="I323" s="27">
        <v>3182</v>
      </c>
      <c r="J323" s="27">
        <f t="shared" si="72"/>
        <v>1084</v>
      </c>
    </row>
    <row r="324" spans="1:10" s="106" customFormat="1" ht="12.75">
      <c r="A324" s="81">
        <v>2019</v>
      </c>
      <c r="B324" s="82" t="s">
        <v>44</v>
      </c>
      <c r="C324" s="101">
        <f t="shared" si="59"/>
        <v>0.79449770737807424</v>
      </c>
      <c r="D324" s="101">
        <f t="shared" si="60"/>
        <v>0.83413566739606126</v>
      </c>
      <c r="E324" s="101">
        <f t="shared" si="61"/>
        <v>0.95248020008336809</v>
      </c>
      <c r="F324" s="27">
        <v>4798</v>
      </c>
      <c r="G324" s="27">
        <f t="shared" si="71"/>
        <v>228</v>
      </c>
      <c r="H324" s="27">
        <v>4570</v>
      </c>
      <c r="I324" s="27">
        <v>3812</v>
      </c>
      <c r="J324" s="27">
        <f t="shared" si="72"/>
        <v>758</v>
      </c>
    </row>
    <row r="325" spans="1:10" s="106" customFormat="1" ht="12.75">
      <c r="A325" s="81">
        <v>2019</v>
      </c>
      <c r="B325" s="82" t="s">
        <v>45</v>
      </c>
      <c r="C325" s="101">
        <f t="shared" si="59"/>
        <v>0.72947061275531466</v>
      </c>
      <c r="D325" s="101">
        <f t="shared" si="60"/>
        <v>0.77433628318584069</v>
      </c>
      <c r="E325" s="101">
        <f t="shared" si="61"/>
        <v>0.94205919132972071</v>
      </c>
      <c r="F325" s="27">
        <v>4798</v>
      </c>
      <c r="G325" s="27">
        <f t="shared" si="71"/>
        <v>278</v>
      </c>
      <c r="H325" s="27">
        <v>4520</v>
      </c>
      <c r="I325" s="27">
        <v>3500</v>
      </c>
      <c r="J325" s="27">
        <f t="shared" si="72"/>
        <v>1020</v>
      </c>
    </row>
    <row r="326" spans="1:10" s="106" customFormat="1" ht="12.75">
      <c r="A326" s="81">
        <v>2019</v>
      </c>
      <c r="B326" s="82" t="s">
        <v>46</v>
      </c>
      <c r="C326" s="101">
        <f t="shared" si="59"/>
        <v>0.6993308871141809</v>
      </c>
      <c r="D326" s="101">
        <f t="shared" si="60"/>
        <v>0.74551311550851362</v>
      </c>
      <c r="E326" s="101">
        <f t="shared" si="61"/>
        <v>0.93805309734513276</v>
      </c>
      <c r="F326" s="27">
        <v>4633</v>
      </c>
      <c r="G326" s="27">
        <f t="shared" si="71"/>
        <v>287</v>
      </c>
      <c r="H326" s="27">
        <v>4346</v>
      </c>
      <c r="I326" s="27">
        <v>3240</v>
      </c>
      <c r="J326" s="27">
        <f t="shared" si="72"/>
        <v>1106</v>
      </c>
    </row>
    <row r="327" spans="1:10" s="106" customFormat="1" ht="12.75">
      <c r="A327" s="81">
        <v>2019</v>
      </c>
      <c r="B327" s="82" t="s">
        <v>47</v>
      </c>
      <c r="C327" s="101">
        <f t="shared" ref="C327:C341" si="73">I327/F327</f>
        <v>0.81316392418246197</v>
      </c>
      <c r="D327" s="101">
        <f t="shared" ref="D327:D341" si="74">I327/H327</f>
        <v>0.85651601579640191</v>
      </c>
      <c r="E327" s="101">
        <f t="shared" ref="E327:E341" si="75">H327/F327</f>
        <v>0.94938554467819203</v>
      </c>
      <c r="F327" s="27">
        <v>4801</v>
      </c>
      <c r="G327" s="27">
        <f t="shared" si="71"/>
        <v>243</v>
      </c>
      <c r="H327" s="27">
        <v>4558</v>
      </c>
      <c r="I327" s="27">
        <v>3904</v>
      </c>
      <c r="J327" s="27">
        <f t="shared" si="72"/>
        <v>654</v>
      </c>
    </row>
    <row r="328" spans="1:10" s="106" customFormat="1" ht="12.75">
      <c r="A328" s="81">
        <v>2019</v>
      </c>
      <c r="B328" s="82" t="s">
        <v>48</v>
      </c>
      <c r="C328" s="101">
        <f t="shared" si="73"/>
        <v>0.83520518358531315</v>
      </c>
      <c r="D328" s="101">
        <f t="shared" si="74"/>
        <v>0.87429346597332125</v>
      </c>
      <c r="E328" s="101">
        <f t="shared" si="75"/>
        <v>0.95529157667386611</v>
      </c>
      <c r="F328" s="27">
        <v>4630</v>
      </c>
      <c r="G328" s="27">
        <f t="shared" si="71"/>
        <v>207</v>
      </c>
      <c r="H328" s="27">
        <v>4423</v>
      </c>
      <c r="I328" s="27">
        <v>3867</v>
      </c>
      <c r="J328" s="27">
        <f t="shared" si="72"/>
        <v>556</v>
      </c>
    </row>
    <row r="329" spans="1:10" s="106" customFormat="1" ht="12.75">
      <c r="A329" s="81">
        <v>2019</v>
      </c>
      <c r="B329" s="82" t="s">
        <v>49</v>
      </c>
      <c r="C329" s="101">
        <f t="shared" si="73"/>
        <v>0.87185982689465902</v>
      </c>
      <c r="D329" s="101">
        <f t="shared" si="74"/>
        <v>0.90095986038394416</v>
      </c>
      <c r="E329" s="101">
        <f t="shared" si="75"/>
        <v>0.96770107663077898</v>
      </c>
      <c r="F329" s="27">
        <v>4737</v>
      </c>
      <c r="G329" s="27">
        <f t="shared" si="71"/>
        <v>153</v>
      </c>
      <c r="H329" s="27">
        <v>4584</v>
      </c>
      <c r="I329" s="27">
        <v>4130</v>
      </c>
      <c r="J329" s="27">
        <f t="shared" si="72"/>
        <v>454</v>
      </c>
    </row>
    <row r="330" spans="1:10" s="106" customFormat="1" ht="12.75">
      <c r="A330" s="83">
        <v>2020</v>
      </c>
      <c r="B330" s="84" t="s">
        <v>38</v>
      </c>
      <c r="C330" s="101">
        <f t="shared" si="73"/>
        <v>0.89016256773655689</v>
      </c>
      <c r="D330" s="101">
        <f t="shared" si="74"/>
        <v>0.91888984509466443</v>
      </c>
      <c r="E330" s="101">
        <f t="shared" si="75"/>
        <v>0.96873697373905798</v>
      </c>
      <c r="F330" s="27">
        <v>4798</v>
      </c>
      <c r="G330" s="27">
        <f t="shared" si="71"/>
        <v>150</v>
      </c>
      <c r="H330" s="27">
        <v>4648</v>
      </c>
      <c r="I330" s="27">
        <v>4271</v>
      </c>
      <c r="J330" s="27">
        <f t="shared" si="72"/>
        <v>377</v>
      </c>
    </row>
    <row r="331" spans="1:10" s="106" customFormat="1" ht="12.75">
      <c r="A331" s="83">
        <v>2020</v>
      </c>
      <c r="B331" s="84" t="s">
        <v>39</v>
      </c>
      <c r="C331" s="101">
        <f t="shared" si="73"/>
        <v>0.84741144414168934</v>
      </c>
      <c r="D331" s="101">
        <f t="shared" si="74"/>
        <v>0.90891378470530926</v>
      </c>
      <c r="E331" s="101">
        <f t="shared" si="75"/>
        <v>0.93233424159854672</v>
      </c>
      <c r="F331" s="27">
        <v>4404</v>
      </c>
      <c r="G331" s="27">
        <f t="shared" si="71"/>
        <v>298</v>
      </c>
      <c r="H331" s="27">
        <v>4106</v>
      </c>
      <c r="I331" s="27">
        <v>3732</v>
      </c>
      <c r="J331" s="27">
        <f t="shared" si="72"/>
        <v>374</v>
      </c>
    </row>
    <row r="332" spans="1:10" s="106" customFormat="1" ht="12.75">
      <c r="A332" s="83">
        <v>2020</v>
      </c>
      <c r="B332" s="84" t="s">
        <v>40</v>
      </c>
      <c r="C332" s="101">
        <f t="shared" si="73"/>
        <v>0.74952963311382881</v>
      </c>
      <c r="D332" s="101">
        <f t="shared" si="74"/>
        <v>0.84760638297872337</v>
      </c>
      <c r="E332" s="101">
        <f t="shared" si="75"/>
        <v>0.88428974600188148</v>
      </c>
      <c r="F332" s="27">
        <v>4252</v>
      </c>
      <c r="G332" s="27">
        <f t="shared" si="71"/>
        <v>492</v>
      </c>
      <c r="H332" s="27">
        <v>3760</v>
      </c>
      <c r="I332" s="27">
        <v>3187</v>
      </c>
      <c r="J332" s="27">
        <f t="shared" si="72"/>
        <v>573</v>
      </c>
    </row>
    <row r="333" spans="1:10" s="106" customFormat="1" ht="12.75">
      <c r="A333" s="83">
        <v>2020</v>
      </c>
      <c r="B333" s="84" t="s">
        <v>41</v>
      </c>
      <c r="C333" s="101">
        <f t="shared" si="73"/>
        <v>0.7100244498777506</v>
      </c>
      <c r="D333" s="101">
        <f t="shared" si="74"/>
        <v>0.8203389830508474</v>
      </c>
      <c r="E333" s="101">
        <f t="shared" si="75"/>
        <v>0.86552567237163813</v>
      </c>
      <c r="F333" s="27">
        <v>4090</v>
      </c>
      <c r="G333" s="27">
        <f t="shared" si="71"/>
        <v>550</v>
      </c>
      <c r="H333" s="27">
        <v>3540</v>
      </c>
      <c r="I333" s="27">
        <v>2904</v>
      </c>
      <c r="J333" s="27">
        <f t="shared" si="72"/>
        <v>636</v>
      </c>
    </row>
    <row r="334" spans="1:10" s="106" customFormat="1" ht="12.75">
      <c r="A334" s="83">
        <v>2020</v>
      </c>
      <c r="B334" s="84" t="s">
        <v>42</v>
      </c>
      <c r="C334" s="101">
        <f t="shared" si="73"/>
        <v>0.9023122889062094</v>
      </c>
      <c r="D334" s="101">
        <f t="shared" si="74"/>
        <v>0.91902619740672131</v>
      </c>
      <c r="E334" s="101">
        <f t="shared" si="75"/>
        <v>0.98181345804104958</v>
      </c>
      <c r="F334" s="56">
        <v>3849</v>
      </c>
      <c r="G334" s="56">
        <f t="shared" ref="G334:G339" si="76">+F334-H334</f>
        <v>70</v>
      </c>
      <c r="H334" s="56">
        <v>3779</v>
      </c>
      <c r="I334" s="56">
        <v>3473</v>
      </c>
      <c r="J334" s="56">
        <f t="shared" ref="J334:J339" si="77">H334-I334</f>
        <v>306</v>
      </c>
    </row>
    <row r="335" spans="1:10" s="106" customFormat="1" ht="12.75">
      <c r="A335" s="83">
        <v>2020</v>
      </c>
      <c r="B335" s="84" t="s">
        <v>43</v>
      </c>
      <c r="C335" s="101">
        <f t="shared" si="73"/>
        <v>0.90316421167484995</v>
      </c>
      <c r="D335" s="101">
        <f t="shared" si="74"/>
        <v>0.9374292185730464</v>
      </c>
      <c r="E335" s="101">
        <f t="shared" si="75"/>
        <v>0.96344789961811239</v>
      </c>
      <c r="F335" s="56">
        <f>3612+54</f>
        <v>3666</v>
      </c>
      <c r="G335" s="56">
        <f t="shared" si="76"/>
        <v>134</v>
      </c>
      <c r="H335" s="56">
        <v>3532</v>
      </c>
      <c r="I335" s="56">
        <v>3311</v>
      </c>
      <c r="J335" s="56">
        <f t="shared" si="77"/>
        <v>221</v>
      </c>
    </row>
    <row r="336" spans="1:10" s="106" customFormat="1" ht="12.75">
      <c r="A336" s="83">
        <v>2020</v>
      </c>
      <c r="B336" s="84" t="s">
        <v>44</v>
      </c>
      <c r="C336" s="101">
        <f t="shared" si="73"/>
        <v>0.920545746388443</v>
      </c>
      <c r="D336" s="101">
        <f t="shared" si="74"/>
        <v>0.96332586786114227</v>
      </c>
      <c r="E336" s="101">
        <f t="shared" si="75"/>
        <v>0.95559122525414664</v>
      </c>
      <c r="F336" s="56">
        <v>3738</v>
      </c>
      <c r="G336" s="56">
        <f t="shared" si="76"/>
        <v>166</v>
      </c>
      <c r="H336" s="56">
        <v>3572</v>
      </c>
      <c r="I336" s="56">
        <v>3441</v>
      </c>
      <c r="J336" s="56">
        <f t="shared" si="77"/>
        <v>131</v>
      </c>
    </row>
    <row r="337" spans="1:11" s="106" customFormat="1" ht="12.75">
      <c r="A337" s="83">
        <v>2020</v>
      </c>
      <c r="B337" s="84" t="s">
        <v>45</v>
      </c>
      <c r="C337" s="101">
        <f t="shared" si="73"/>
        <v>0.82334047109207709</v>
      </c>
      <c r="D337" s="101">
        <f t="shared" si="74"/>
        <v>0.90443987062628639</v>
      </c>
      <c r="E337" s="101">
        <f t="shared" si="75"/>
        <v>0.91033190578158463</v>
      </c>
      <c r="F337" s="56">
        <v>3736</v>
      </c>
      <c r="G337" s="56">
        <f t="shared" si="76"/>
        <v>335</v>
      </c>
      <c r="H337" s="56">
        <v>3401</v>
      </c>
      <c r="I337" s="56">
        <v>3076</v>
      </c>
      <c r="J337" s="56">
        <f t="shared" si="77"/>
        <v>325</v>
      </c>
    </row>
    <row r="338" spans="1:11" s="106" customFormat="1" ht="12.75">
      <c r="A338" s="83">
        <v>2020</v>
      </c>
      <c r="B338" s="84" t="s">
        <v>46</v>
      </c>
      <c r="C338" s="101">
        <f t="shared" si="73"/>
        <v>0.72909880564603691</v>
      </c>
      <c r="D338" s="101">
        <f t="shared" si="74"/>
        <v>0.78377589728625618</v>
      </c>
      <c r="E338" s="101">
        <f t="shared" si="75"/>
        <v>0.93023887079261669</v>
      </c>
      <c r="F338" s="56">
        <v>3684</v>
      </c>
      <c r="G338" s="56">
        <f t="shared" si="76"/>
        <v>257</v>
      </c>
      <c r="H338" s="56">
        <v>3427</v>
      </c>
      <c r="I338" s="56">
        <v>2686</v>
      </c>
      <c r="J338" s="56">
        <f t="shared" si="77"/>
        <v>741</v>
      </c>
    </row>
    <row r="339" spans="1:11" s="106" customFormat="1" ht="13.5" customHeight="1">
      <c r="A339" s="83">
        <v>2020</v>
      </c>
      <c r="B339" s="84" t="s">
        <v>47</v>
      </c>
      <c r="C339" s="101">
        <f t="shared" si="73"/>
        <v>0.75828253379273791</v>
      </c>
      <c r="D339" s="101">
        <f t="shared" si="74"/>
        <v>0.84971784971784969</v>
      </c>
      <c r="E339" s="101">
        <f t="shared" si="75"/>
        <v>0.89239332096474955</v>
      </c>
      <c r="F339" s="56">
        <v>3773</v>
      </c>
      <c r="G339" s="56">
        <f t="shared" si="76"/>
        <v>406</v>
      </c>
      <c r="H339" s="56">
        <v>3367</v>
      </c>
      <c r="I339" s="56">
        <v>2861</v>
      </c>
      <c r="J339" s="56">
        <f t="shared" si="77"/>
        <v>506</v>
      </c>
    </row>
    <row r="340" spans="1:11" s="106" customFormat="1" ht="13.5" customHeight="1">
      <c r="A340" s="83">
        <v>2020</v>
      </c>
      <c r="B340" s="84" t="s">
        <v>48</v>
      </c>
      <c r="C340" s="101">
        <f t="shared" si="73"/>
        <v>0.74792243767313016</v>
      </c>
      <c r="D340" s="101">
        <f t="shared" si="74"/>
        <v>0.84190832553788586</v>
      </c>
      <c r="E340" s="101">
        <f t="shared" si="75"/>
        <v>0.88836565096952913</v>
      </c>
      <c r="F340" s="56">
        <v>3610</v>
      </c>
      <c r="G340" s="56">
        <f t="shared" ref="G340:G349" si="78">+F340-H340</f>
        <v>403</v>
      </c>
      <c r="H340" s="56">
        <v>3207</v>
      </c>
      <c r="I340" s="56">
        <v>2700</v>
      </c>
      <c r="J340" s="56">
        <f>H340-I340</f>
        <v>507</v>
      </c>
    </row>
    <row r="341" spans="1:11" s="106" customFormat="1" ht="13.5" customHeight="1">
      <c r="A341" s="83">
        <v>2020</v>
      </c>
      <c r="B341" s="84" t="s">
        <v>49</v>
      </c>
      <c r="C341" s="101">
        <f t="shared" si="73"/>
        <v>0.71223993515266149</v>
      </c>
      <c r="D341" s="101">
        <f t="shared" si="74"/>
        <v>0.786865671641791</v>
      </c>
      <c r="E341" s="101">
        <f t="shared" si="75"/>
        <v>0.90516076736017292</v>
      </c>
      <c r="F341" s="56">
        <v>3701</v>
      </c>
      <c r="G341" s="56">
        <f t="shared" si="78"/>
        <v>351</v>
      </c>
      <c r="H341" s="56">
        <v>3350</v>
      </c>
      <c r="I341" s="56">
        <v>2636</v>
      </c>
      <c r="J341" s="56">
        <f>H341-I341</f>
        <v>714</v>
      </c>
    </row>
    <row r="342" spans="1:11" s="146" customFormat="1" ht="13.5" customHeight="1">
      <c r="A342" s="106">
        <v>2021</v>
      </c>
      <c r="B342" s="106" t="s">
        <v>38</v>
      </c>
      <c r="C342" s="101">
        <f t="shared" ref="C342:C343" si="79">I342/F342</f>
        <v>0.71814775160599575</v>
      </c>
      <c r="D342" s="101">
        <f t="shared" ref="D342:D343" si="80">I342/H342</f>
        <v>0.78981454224315573</v>
      </c>
      <c r="E342" s="101">
        <f t="shared" ref="E342:E343" si="81">H342/F342</f>
        <v>0.90926124197002145</v>
      </c>
      <c r="F342" s="56">
        <v>3736</v>
      </c>
      <c r="G342" s="56">
        <f t="shared" si="78"/>
        <v>339</v>
      </c>
      <c r="H342" s="56">
        <v>3397</v>
      </c>
      <c r="I342" s="56">
        <v>2683</v>
      </c>
      <c r="J342" s="56">
        <f t="shared" ref="J342:J343" si="82">H342-I342</f>
        <v>714</v>
      </c>
      <c r="K342" s="106"/>
    </row>
    <row r="343" spans="1:11" s="106" customFormat="1" ht="13.5" customHeight="1">
      <c r="A343" s="106">
        <v>2021</v>
      </c>
      <c r="B343" s="106" t="s">
        <v>39</v>
      </c>
      <c r="C343" s="101">
        <f t="shared" si="79"/>
        <v>0.76565295169946335</v>
      </c>
      <c r="D343" s="101">
        <f t="shared" si="80"/>
        <v>0.79480037140204274</v>
      </c>
      <c r="E343" s="101">
        <f t="shared" si="81"/>
        <v>0.96332737030411453</v>
      </c>
      <c r="F343" s="56">
        <v>3354</v>
      </c>
      <c r="G343" s="56">
        <f t="shared" si="78"/>
        <v>123</v>
      </c>
      <c r="H343" s="56">
        <v>3231</v>
      </c>
      <c r="I343" s="56">
        <v>2568</v>
      </c>
      <c r="J343" s="56">
        <f t="shared" si="82"/>
        <v>663</v>
      </c>
    </row>
    <row r="344" spans="1:11" s="106" customFormat="1" ht="13.5" customHeight="1">
      <c r="A344" s="106">
        <v>2021</v>
      </c>
      <c r="B344" s="106" t="s">
        <v>40</v>
      </c>
      <c r="C344" s="101">
        <f t="shared" ref="C344:C345" si="83">I344/F344</f>
        <v>0.65112582781456951</v>
      </c>
      <c r="D344" s="101">
        <f t="shared" ref="D344:D345" si="84">I344/H344</f>
        <v>0.66884353741496594</v>
      </c>
      <c r="E344" s="101">
        <f t="shared" ref="E344:E345" si="85">H344/F344</f>
        <v>0.97350993377483441</v>
      </c>
      <c r="F344" s="56">
        <v>3775</v>
      </c>
      <c r="G344" s="56">
        <f t="shared" si="78"/>
        <v>100</v>
      </c>
      <c r="H344" s="56">
        <v>3675</v>
      </c>
      <c r="I344" s="56">
        <v>2458</v>
      </c>
      <c r="J344" s="56">
        <f t="shared" ref="J344:J345" si="86">H344-I344</f>
        <v>1217</v>
      </c>
    </row>
    <row r="345" spans="1:11" s="106" customFormat="1" ht="13.5" customHeight="1">
      <c r="A345" s="106">
        <v>2021</v>
      </c>
      <c r="B345" s="106" t="s">
        <v>41</v>
      </c>
      <c r="C345" s="101">
        <f t="shared" si="83"/>
        <v>0.74362489717576086</v>
      </c>
      <c r="D345" s="101">
        <f t="shared" si="84"/>
        <v>0.77001703577512781</v>
      </c>
      <c r="E345" s="101">
        <f t="shared" si="85"/>
        <v>0.96572525363312312</v>
      </c>
      <c r="F345" s="56">
        <v>3647</v>
      </c>
      <c r="G345" s="56">
        <f t="shared" si="78"/>
        <v>125</v>
      </c>
      <c r="H345" s="56">
        <v>3522</v>
      </c>
      <c r="I345" s="56">
        <v>2712</v>
      </c>
      <c r="J345" s="56">
        <f t="shared" si="86"/>
        <v>810</v>
      </c>
    </row>
    <row r="346" spans="1:11">
      <c r="A346" s="106">
        <v>2021</v>
      </c>
      <c r="B346" s="106" t="s">
        <v>42</v>
      </c>
      <c r="C346" s="101">
        <f t="shared" ref="C346:C347" si="87">I346/F346</f>
        <v>0.86681222707423577</v>
      </c>
      <c r="D346" s="101">
        <f t="shared" ref="D346:D347" si="88">I346/H346</f>
        <v>0.88222222222222224</v>
      </c>
      <c r="E346" s="101">
        <f t="shared" ref="E346:E347" si="89">H346/F346</f>
        <v>0.98253275109170302</v>
      </c>
      <c r="F346" s="56">
        <v>3664</v>
      </c>
      <c r="G346" s="56">
        <f t="shared" si="78"/>
        <v>64</v>
      </c>
      <c r="H346" s="56">
        <v>3600</v>
      </c>
      <c r="I346" s="56">
        <v>3176</v>
      </c>
      <c r="J346" s="56">
        <f t="shared" ref="J346:J347" si="90">H346-I346</f>
        <v>424</v>
      </c>
      <c r="K346" s="156"/>
    </row>
    <row r="347" spans="1:11">
      <c r="A347" s="106">
        <v>2021</v>
      </c>
      <c r="B347" s="106" t="s">
        <v>43</v>
      </c>
      <c r="C347" s="101">
        <f t="shared" si="87"/>
        <v>0.8623526185906224</v>
      </c>
      <c r="D347" s="101">
        <f t="shared" si="88"/>
        <v>0.91344757478942784</v>
      </c>
      <c r="E347" s="101">
        <f t="shared" si="89"/>
        <v>0.94406361392925697</v>
      </c>
      <c r="F347" s="56">
        <v>3647</v>
      </c>
      <c r="G347" s="56">
        <f t="shared" si="78"/>
        <v>204</v>
      </c>
      <c r="H347" s="56">
        <v>3443</v>
      </c>
      <c r="I347" s="56">
        <v>3145</v>
      </c>
      <c r="J347" s="56">
        <f t="shared" si="90"/>
        <v>298</v>
      </c>
      <c r="K347" s="156"/>
    </row>
    <row r="348" spans="1:11">
      <c r="A348" s="106">
        <v>2021</v>
      </c>
      <c r="B348" s="106" t="s">
        <v>44</v>
      </c>
      <c r="C348" s="101">
        <f>I348/F348</f>
        <v>0.89265836204611715</v>
      </c>
      <c r="D348" s="101">
        <f>I348/H348</f>
        <v>0.93115841857893278</v>
      </c>
      <c r="E348" s="101">
        <f>H348/F348</f>
        <v>0.95865359130665251</v>
      </c>
      <c r="F348" s="56">
        <v>3773</v>
      </c>
      <c r="G348" s="56">
        <f t="shared" si="78"/>
        <v>156</v>
      </c>
      <c r="H348" s="56">
        <v>3617</v>
      </c>
      <c r="I348" s="56">
        <v>3368</v>
      </c>
      <c r="J348" s="56">
        <f>H348-I348</f>
        <v>249</v>
      </c>
      <c r="K348" s="106"/>
    </row>
    <row r="349" spans="1:11">
      <c r="A349" s="106">
        <v>2021</v>
      </c>
      <c r="B349" s="106" t="s">
        <v>45</v>
      </c>
      <c r="C349" s="101">
        <f>I349/F349</f>
        <v>0.88309256286784377</v>
      </c>
      <c r="D349" s="101">
        <f>I349/H349</f>
        <v>0.91796440489432707</v>
      </c>
      <c r="E349" s="101">
        <f>H349/F349</f>
        <v>0.96201177100053503</v>
      </c>
      <c r="F349" s="56">
        <v>3738</v>
      </c>
      <c r="G349" s="56">
        <f t="shared" si="78"/>
        <v>142</v>
      </c>
      <c r="H349" s="56">
        <v>3596</v>
      </c>
      <c r="I349" s="56">
        <v>3301</v>
      </c>
      <c r="J349" s="56">
        <f>H349-I349</f>
        <v>295</v>
      </c>
      <c r="K349" s="162"/>
    </row>
    <row r="350" spans="1:11">
      <c r="A350" s="147" t="s">
        <v>93</v>
      </c>
      <c r="B350" s="148"/>
      <c r="C350" s="122">
        <f t="shared" ref="C350" si="91">I350/F350</f>
        <v>0.84823033176092877</v>
      </c>
      <c r="D350" s="122">
        <f t="shared" ref="D350" si="92">I350/H350</f>
        <v>0.89634990189307995</v>
      </c>
      <c r="E350" s="122">
        <f t="shared" ref="E350" si="93">H350/F350</f>
        <v>0.94631608702079051</v>
      </c>
      <c r="F350" s="121">
        <f>SUBTOTAL(109,BN[Trenes Programados])</f>
        <v>1542436</v>
      </c>
      <c r="G350" s="121">
        <f>SUBTOTAL(109,BN[Trenes Cancelados])</f>
        <v>85521</v>
      </c>
      <c r="H350" s="121">
        <f>SUBTOTAL(109,BN[Trenes Corridos])</f>
        <v>1459632</v>
      </c>
      <c r="I350" s="121">
        <f>SUBTOTAL(109,BN[Trenes Puntuales])</f>
        <v>1308341</v>
      </c>
      <c r="J350" s="121">
        <f>SUBTOTAL(109,BN[Trenes Atrasados])</f>
        <v>149112</v>
      </c>
      <c r="K350" s="145">
        <f>SUBTOTAL(103,BN[Observaciones])</f>
        <v>4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Norte</oddHeader>
  </headerFooter>
  <ignoredErrors>
    <ignoredError sqref="F7:G34 G35:G79 G80:G135 G136:J188 G189:G253 G254:G305 G315:G317 F6:G6 C6:E6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pageSetUpPr fitToPage="1"/>
  </sheetPr>
  <dimension ref="A1:BG350"/>
  <sheetViews>
    <sheetView showGridLines="0" zoomScale="80" zoomScaleNormal="80" workbookViewId="0">
      <pane ySplit="5" topLeftCell="A327" activePane="bottomLeft" state="frozen"/>
      <selection pane="bottomLeft" activeCell="C353" sqref="C353"/>
    </sheetView>
  </sheetViews>
  <sheetFormatPr baseColWidth="10" defaultColWidth="11.5546875" defaultRowHeight="15"/>
  <cols>
    <col min="1" max="1" width="5.77734375" style="32" customWidth="1"/>
    <col min="2" max="10" width="8.77734375" style="32" customWidth="1"/>
    <col min="11" max="11" width="15.77734375" style="32" customWidth="1"/>
    <col min="12" max="12" width="8.77734375" style="32" customWidth="1"/>
    <col min="13" max="13" width="5.77734375" style="32" customWidth="1"/>
    <col min="14" max="22" width="8.77734375" style="32" customWidth="1"/>
    <col min="23" max="23" width="15.77734375" style="32" customWidth="1"/>
    <col min="24" max="24" width="8.77734375" style="32" customWidth="1"/>
    <col min="25" max="25" width="5.77734375" style="32" customWidth="1"/>
    <col min="26" max="34" width="8.77734375" style="32" customWidth="1"/>
    <col min="35" max="35" width="15.77734375" style="32" customWidth="1"/>
    <col min="36" max="36" width="8.77734375" style="32" customWidth="1"/>
    <col min="37" max="37" width="5.77734375" style="32" customWidth="1"/>
    <col min="38" max="46" width="8.77734375" style="32" customWidth="1"/>
    <col min="47" max="47" width="15.77734375" style="32" customWidth="1"/>
    <col min="48" max="48" width="8.77734375" style="32" customWidth="1"/>
    <col min="49" max="49" width="5.77734375" style="32" customWidth="1"/>
    <col min="50" max="58" width="8.77734375" style="32" customWidth="1"/>
    <col min="59" max="59" width="15.77734375" style="32" customWidth="1"/>
    <col min="60" max="72" width="8.77734375" style="32" customWidth="1"/>
    <col min="73" max="16384" width="11.5546875" style="32"/>
  </cols>
  <sheetData>
    <row r="1" spans="1:59" s="70" customFormat="1" ht="20.25">
      <c r="A1" s="70" t="s">
        <v>7</v>
      </c>
      <c r="J1" s="71"/>
      <c r="K1" s="71"/>
      <c r="M1" s="70" t="s">
        <v>7</v>
      </c>
      <c r="V1" s="71"/>
      <c r="W1" s="71"/>
      <c r="Y1" s="70" t="s">
        <v>7</v>
      </c>
      <c r="AH1" s="71"/>
      <c r="AI1" s="71"/>
      <c r="AK1" s="70" t="s">
        <v>7</v>
      </c>
      <c r="AT1" s="71"/>
      <c r="AU1" s="71"/>
      <c r="AW1" s="70" t="s">
        <v>7</v>
      </c>
    </row>
    <row r="2" spans="1:59" s="70" customFormat="1" ht="20.25">
      <c r="A2" s="70" t="s">
        <v>3</v>
      </c>
      <c r="J2" s="71"/>
      <c r="K2" s="71"/>
      <c r="M2" s="70" t="s">
        <v>3</v>
      </c>
      <c r="V2" s="71"/>
      <c r="W2" s="71"/>
      <c r="Y2" s="70" t="s">
        <v>3</v>
      </c>
      <c r="AH2" s="71"/>
      <c r="AI2" s="71"/>
      <c r="AK2" s="70" t="s">
        <v>3</v>
      </c>
      <c r="AT2" s="71"/>
      <c r="AU2" s="71"/>
      <c r="AW2" s="70" t="s">
        <v>3</v>
      </c>
    </row>
    <row r="3" spans="1:59" s="75" customFormat="1" ht="15.75">
      <c r="A3" s="16" t="s">
        <v>37</v>
      </c>
      <c r="B3" s="72"/>
      <c r="C3" s="72"/>
      <c r="D3" s="72"/>
      <c r="E3" s="72"/>
      <c r="F3" s="72"/>
      <c r="G3" s="72"/>
      <c r="H3" s="72"/>
      <c r="I3" s="72"/>
      <c r="J3" s="72"/>
      <c r="K3" s="72"/>
      <c r="M3" s="85" t="s">
        <v>88</v>
      </c>
      <c r="N3" s="72"/>
      <c r="O3" s="72"/>
      <c r="P3" s="72"/>
      <c r="Q3" s="72"/>
      <c r="R3" s="72"/>
      <c r="S3" s="72"/>
      <c r="T3" s="72"/>
      <c r="U3" s="72"/>
      <c r="V3" s="72"/>
      <c r="W3" s="72"/>
      <c r="Y3" s="85" t="s">
        <v>23</v>
      </c>
      <c r="Z3" s="72"/>
      <c r="AA3" s="72"/>
      <c r="AB3" s="72"/>
      <c r="AC3" s="72"/>
      <c r="AD3" s="72"/>
      <c r="AE3" s="72"/>
      <c r="AF3" s="72"/>
      <c r="AG3" s="72"/>
      <c r="AH3" s="72"/>
      <c r="AI3" s="72"/>
      <c r="AK3" s="85" t="s">
        <v>24</v>
      </c>
      <c r="AL3" s="72"/>
      <c r="AM3" s="72"/>
      <c r="AN3" s="72"/>
      <c r="AO3" s="72"/>
      <c r="AP3" s="72"/>
      <c r="AQ3" s="72"/>
      <c r="AR3" s="72"/>
      <c r="AS3" s="72"/>
      <c r="AT3" s="72"/>
      <c r="AU3" s="72"/>
      <c r="AW3" s="85" t="s">
        <v>30</v>
      </c>
      <c r="AX3" s="72"/>
      <c r="AY3" s="72"/>
      <c r="AZ3" s="72"/>
      <c r="BA3" s="72"/>
      <c r="BB3" s="72"/>
      <c r="BC3" s="72"/>
      <c r="BD3" s="72"/>
      <c r="BE3" s="72"/>
    </row>
    <row r="4" spans="1:59" s="29" customFormat="1" ht="12.75">
      <c r="B4" s="80"/>
      <c r="C4" s="24"/>
      <c r="D4" s="24"/>
      <c r="E4" s="24"/>
      <c r="F4" s="24"/>
      <c r="G4" s="24"/>
      <c r="H4" s="24"/>
      <c r="I4" s="24"/>
      <c r="J4" s="24"/>
      <c r="K4" s="24"/>
      <c r="L4" s="24"/>
      <c r="N4" s="80"/>
      <c r="O4" s="24"/>
      <c r="P4" s="24"/>
      <c r="Q4" s="24"/>
      <c r="R4" s="24"/>
      <c r="S4" s="24"/>
      <c r="T4" s="24"/>
      <c r="U4" s="24"/>
      <c r="V4" s="24"/>
      <c r="W4" s="24"/>
      <c r="X4" s="24"/>
      <c r="Z4" s="80"/>
      <c r="AA4" s="24"/>
      <c r="AB4" s="24"/>
      <c r="AC4" s="24"/>
      <c r="AD4" s="24"/>
      <c r="AE4" s="24"/>
      <c r="AF4" s="24"/>
      <c r="AG4" s="24"/>
      <c r="AH4" s="24"/>
      <c r="AI4" s="24"/>
      <c r="AJ4" s="24"/>
      <c r="AL4" s="80"/>
      <c r="AM4" s="24"/>
      <c r="AN4" s="24"/>
      <c r="AO4" s="24"/>
      <c r="AP4" s="24"/>
      <c r="AQ4" s="24"/>
      <c r="AR4" s="24"/>
      <c r="AS4" s="24"/>
      <c r="AT4" s="24"/>
      <c r="AU4" s="24"/>
      <c r="AV4" s="24"/>
    </row>
    <row r="5" spans="1:59" s="29" customFormat="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  <c r="L5" s="24"/>
      <c r="M5" s="44" t="s">
        <v>34</v>
      </c>
      <c r="N5" s="42" t="s">
        <v>33</v>
      </c>
      <c r="O5" s="42" t="s">
        <v>8</v>
      </c>
      <c r="P5" s="42" t="s">
        <v>10</v>
      </c>
      <c r="Q5" s="42" t="s">
        <v>9</v>
      </c>
      <c r="R5" s="42" t="s">
        <v>54</v>
      </c>
      <c r="S5" s="42" t="s">
        <v>55</v>
      </c>
      <c r="T5" s="42" t="s">
        <v>27</v>
      </c>
      <c r="U5" s="42" t="s">
        <v>56</v>
      </c>
      <c r="V5" s="42" t="s">
        <v>57</v>
      </c>
      <c r="W5" s="43" t="s">
        <v>36</v>
      </c>
      <c r="X5" s="24"/>
      <c r="Y5" s="44" t="s">
        <v>34</v>
      </c>
      <c r="Z5" s="42" t="s">
        <v>33</v>
      </c>
      <c r="AA5" s="42" t="s">
        <v>8</v>
      </c>
      <c r="AB5" s="42" t="s">
        <v>10</v>
      </c>
      <c r="AC5" s="42" t="s">
        <v>9</v>
      </c>
      <c r="AD5" s="42" t="s">
        <v>54</v>
      </c>
      <c r="AE5" s="42" t="s">
        <v>55</v>
      </c>
      <c r="AF5" s="42" t="s">
        <v>27</v>
      </c>
      <c r="AG5" s="42" t="s">
        <v>56</v>
      </c>
      <c r="AH5" s="42" t="s">
        <v>57</v>
      </c>
      <c r="AI5" s="43" t="s">
        <v>36</v>
      </c>
      <c r="AJ5" s="24"/>
      <c r="AK5" s="44" t="s">
        <v>34</v>
      </c>
      <c r="AL5" s="42" t="s">
        <v>33</v>
      </c>
      <c r="AM5" s="42" t="s">
        <v>8</v>
      </c>
      <c r="AN5" s="42" t="s">
        <v>10</v>
      </c>
      <c r="AO5" s="42" t="s">
        <v>9</v>
      </c>
      <c r="AP5" s="42" t="s">
        <v>54</v>
      </c>
      <c r="AQ5" s="42" t="s">
        <v>55</v>
      </c>
      <c r="AR5" s="42" t="s">
        <v>27</v>
      </c>
      <c r="AS5" s="42" t="s">
        <v>56</v>
      </c>
      <c r="AT5" s="42" t="s">
        <v>57</v>
      </c>
      <c r="AU5" s="43" t="s">
        <v>36</v>
      </c>
      <c r="AV5" s="24"/>
      <c r="AW5" s="44" t="s">
        <v>34</v>
      </c>
      <c r="AX5" s="42" t="s">
        <v>33</v>
      </c>
      <c r="AY5" s="42" t="s">
        <v>8</v>
      </c>
      <c r="AZ5" s="42" t="s">
        <v>10</v>
      </c>
      <c r="BA5" s="42" t="s">
        <v>9</v>
      </c>
      <c r="BB5" s="42" t="s">
        <v>54</v>
      </c>
      <c r="BC5" s="42" t="s">
        <v>55</v>
      </c>
      <c r="BD5" s="42" t="s">
        <v>27</v>
      </c>
      <c r="BE5" s="42" t="s">
        <v>56</v>
      </c>
      <c r="BF5" s="42" t="s">
        <v>57</v>
      </c>
      <c r="BG5" s="43" t="s">
        <v>36</v>
      </c>
    </row>
    <row r="6" spans="1:59" s="29" customFormat="1" ht="13.5" thickTop="1">
      <c r="A6" s="45">
        <v>1993</v>
      </c>
      <c r="B6" s="48" t="s">
        <v>38</v>
      </c>
      <c r="C6" s="35">
        <f>I6/F6</f>
        <v>0.54281422133199797</v>
      </c>
      <c r="D6" s="35">
        <f>I6/H6</f>
        <v>0.77789738069608894</v>
      </c>
      <c r="E6" s="35">
        <f>H6/F6</f>
        <v>0.69779669504256381</v>
      </c>
      <c r="F6" s="20">
        <v>3994</v>
      </c>
      <c r="G6" s="20">
        <f t="shared" ref="G6:G17" si="0">F6-H6</f>
        <v>1207</v>
      </c>
      <c r="H6" s="20">
        <v>2787</v>
      </c>
      <c r="I6" s="20">
        <v>2168</v>
      </c>
      <c r="J6" s="20">
        <f t="shared" ref="J6:J17" si="1">H6-I6</f>
        <v>619</v>
      </c>
      <c r="K6" s="20"/>
      <c r="L6" s="20"/>
      <c r="M6" s="45"/>
      <c r="N6" s="48"/>
      <c r="O6" s="35"/>
      <c r="P6" s="35"/>
      <c r="Q6" s="35"/>
      <c r="R6" s="20"/>
      <c r="S6" s="20"/>
      <c r="T6" s="20"/>
      <c r="U6" s="20"/>
      <c r="V6" s="20"/>
      <c r="W6" s="20"/>
      <c r="X6" s="20"/>
      <c r="Y6" s="45"/>
      <c r="Z6" s="48"/>
      <c r="AA6" s="35"/>
      <c r="AB6" s="35"/>
      <c r="AC6" s="35"/>
      <c r="AD6" s="20"/>
      <c r="AE6" s="20"/>
      <c r="AF6" s="20"/>
      <c r="AG6" s="20"/>
      <c r="AH6" s="20"/>
      <c r="AI6" s="20"/>
      <c r="AJ6" s="20"/>
      <c r="AK6" s="45"/>
      <c r="AL6" s="48"/>
      <c r="AM6" s="35"/>
      <c r="AN6" s="35"/>
      <c r="AO6" s="35"/>
      <c r="AP6" s="20"/>
      <c r="AQ6" s="20"/>
      <c r="AR6" s="20"/>
      <c r="AS6" s="20"/>
      <c r="AT6" s="20"/>
      <c r="AU6" s="20"/>
      <c r="AV6" s="20"/>
      <c r="AW6" s="45"/>
      <c r="AX6" s="48"/>
      <c r="AY6" s="35"/>
      <c r="AZ6" s="35"/>
      <c r="BA6" s="35"/>
    </row>
    <row r="7" spans="1:59" s="29" customFormat="1" ht="12.75">
      <c r="A7" s="46">
        <v>1993</v>
      </c>
      <c r="B7" s="47" t="s">
        <v>39</v>
      </c>
      <c r="C7" s="35">
        <f t="shared" ref="C7:C70" si="2">I7/F7</f>
        <v>0.48095635251598556</v>
      </c>
      <c r="D7" s="35">
        <f t="shared" ref="D7:D70" si="3">I7/H7</f>
        <v>0.74472664657770127</v>
      </c>
      <c r="E7" s="35">
        <f t="shared" ref="E7:E70" si="4">H7/F7</f>
        <v>0.64581595774256328</v>
      </c>
      <c r="F7" s="20">
        <v>3597</v>
      </c>
      <c r="G7" s="20">
        <f t="shared" si="0"/>
        <v>1274</v>
      </c>
      <c r="H7" s="20">
        <v>2323</v>
      </c>
      <c r="I7" s="20">
        <v>1730</v>
      </c>
      <c r="J7" s="20">
        <f t="shared" si="1"/>
        <v>593</v>
      </c>
      <c r="K7" s="20"/>
      <c r="L7" s="20"/>
      <c r="M7" s="46"/>
      <c r="N7" s="47"/>
      <c r="O7" s="35"/>
      <c r="P7" s="35"/>
      <c r="Q7" s="35"/>
      <c r="R7" s="20"/>
      <c r="S7" s="20"/>
      <c r="T7" s="20"/>
      <c r="U7" s="20"/>
      <c r="V7" s="20"/>
      <c r="W7" s="20"/>
      <c r="X7" s="20"/>
      <c r="Y7" s="46"/>
      <c r="Z7" s="47"/>
      <c r="AA7" s="35"/>
      <c r="AB7" s="35"/>
      <c r="AC7" s="35"/>
      <c r="AD7" s="20"/>
      <c r="AE7" s="20"/>
      <c r="AF7" s="20"/>
      <c r="AG7" s="20"/>
      <c r="AH7" s="20"/>
      <c r="AI7" s="20"/>
      <c r="AJ7" s="20"/>
      <c r="AK7" s="46"/>
      <c r="AL7" s="47"/>
      <c r="AM7" s="35"/>
      <c r="AN7" s="35"/>
      <c r="AO7" s="35"/>
      <c r="AP7" s="20"/>
      <c r="AQ7" s="20"/>
      <c r="AR7" s="20"/>
      <c r="AS7" s="20"/>
      <c r="AT7" s="20"/>
      <c r="AU7" s="20"/>
      <c r="AV7" s="20"/>
      <c r="AW7" s="46"/>
      <c r="AX7" s="47"/>
      <c r="AY7" s="35"/>
      <c r="AZ7" s="35"/>
      <c r="BA7" s="35"/>
    </row>
    <row r="8" spans="1:59" s="29" customFormat="1" ht="12.75">
      <c r="A8" s="45">
        <v>1993</v>
      </c>
      <c r="B8" s="48" t="s">
        <v>40</v>
      </c>
      <c r="C8" s="35">
        <f t="shared" si="2"/>
        <v>0.39090457256461231</v>
      </c>
      <c r="D8" s="35">
        <f t="shared" si="3"/>
        <v>0.70066815144766148</v>
      </c>
      <c r="E8" s="35">
        <f t="shared" si="4"/>
        <v>0.55790258449304175</v>
      </c>
      <c r="F8" s="20">
        <v>4024</v>
      </c>
      <c r="G8" s="20">
        <f t="shared" si="0"/>
        <v>1779</v>
      </c>
      <c r="H8" s="20">
        <v>2245</v>
      </c>
      <c r="I8" s="20">
        <v>1573</v>
      </c>
      <c r="J8" s="20">
        <f t="shared" si="1"/>
        <v>672</v>
      </c>
      <c r="K8" s="20"/>
      <c r="L8" s="20"/>
      <c r="M8" s="45"/>
      <c r="N8" s="48"/>
      <c r="O8" s="35"/>
      <c r="P8" s="35"/>
      <c r="Q8" s="35"/>
      <c r="R8" s="20"/>
      <c r="S8" s="20"/>
      <c r="T8" s="20"/>
      <c r="U8" s="20"/>
      <c r="V8" s="20"/>
      <c r="W8" s="20"/>
      <c r="X8" s="20"/>
      <c r="Y8" s="45"/>
      <c r="Z8" s="48"/>
      <c r="AA8" s="35"/>
      <c r="AB8" s="35"/>
      <c r="AC8" s="35"/>
      <c r="AD8" s="20"/>
      <c r="AE8" s="20"/>
      <c r="AF8" s="20"/>
      <c r="AG8" s="20"/>
      <c r="AH8" s="20"/>
      <c r="AI8" s="20"/>
      <c r="AJ8" s="20"/>
      <c r="AK8" s="45"/>
      <c r="AL8" s="48"/>
      <c r="AM8" s="35"/>
      <c r="AN8" s="35"/>
      <c r="AO8" s="35"/>
      <c r="AP8" s="20"/>
      <c r="AQ8" s="20"/>
      <c r="AR8" s="20"/>
      <c r="AS8" s="20"/>
      <c r="AT8" s="20"/>
      <c r="AU8" s="20"/>
      <c r="AV8" s="20"/>
      <c r="AW8" s="45"/>
      <c r="AX8" s="48"/>
      <c r="AY8" s="35"/>
      <c r="AZ8" s="35"/>
      <c r="BA8" s="35"/>
    </row>
    <row r="9" spans="1:59" s="29" customFormat="1" ht="12.75">
      <c r="A9" s="46">
        <v>1993</v>
      </c>
      <c r="B9" s="47" t="s">
        <v>41</v>
      </c>
      <c r="C9" s="35">
        <f t="shared" si="2"/>
        <v>0.46314715633766895</v>
      </c>
      <c r="D9" s="35">
        <f t="shared" si="3"/>
        <v>0.72092100039698293</v>
      </c>
      <c r="E9" s="35">
        <f t="shared" si="4"/>
        <v>0.64243815353226219</v>
      </c>
      <c r="F9" s="20">
        <v>3921</v>
      </c>
      <c r="G9" s="20">
        <f t="shared" si="0"/>
        <v>1402</v>
      </c>
      <c r="H9" s="20">
        <v>2519</v>
      </c>
      <c r="I9" s="20">
        <v>1816</v>
      </c>
      <c r="J9" s="20">
        <f t="shared" si="1"/>
        <v>703</v>
      </c>
      <c r="K9" s="20"/>
      <c r="L9" s="20"/>
      <c r="M9" s="46"/>
      <c r="N9" s="47"/>
      <c r="O9" s="35"/>
      <c r="P9" s="35"/>
      <c r="Q9" s="35"/>
      <c r="R9" s="20"/>
      <c r="S9" s="20"/>
      <c r="T9" s="20"/>
      <c r="U9" s="20"/>
      <c r="V9" s="20"/>
      <c r="W9" s="20"/>
      <c r="X9" s="20"/>
      <c r="Y9" s="46"/>
      <c r="Z9" s="47"/>
      <c r="AA9" s="35"/>
      <c r="AB9" s="35"/>
      <c r="AC9" s="35"/>
      <c r="AD9" s="20"/>
      <c r="AE9" s="20"/>
      <c r="AF9" s="20"/>
      <c r="AG9" s="20"/>
      <c r="AH9" s="20"/>
      <c r="AI9" s="20"/>
      <c r="AJ9" s="20"/>
      <c r="AK9" s="46"/>
      <c r="AL9" s="47"/>
      <c r="AM9" s="35"/>
      <c r="AN9" s="35"/>
      <c r="AO9" s="35"/>
      <c r="AP9" s="20"/>
      <c r="AQ9" s="20"/>
      <c r="AR9" s="20"/>
      <c r="AS9" s="20"/>
      <c r="AT9" s="20"/>
      <c r="AU9" s="20"/>
      <c r="AV9" s="20"/>
      <c r="AW9" s="46"/>
      <c r="AX9" s="47"/>
      <c r="AY9" s="35"/>
      <c r="AZ9" s="35"/>
      <c r="BA9" s="35"/>
    </row>
    <row r="10" spans="1:59" s="29" customFormat="1" ht="12.75">
      <c r="A10" s="45">
        <v>1993</v>
      </c>
      <c r="B10" s="48" t="s">
        <v>42</v>
      </c>
      <c r="C10" s="35">
        <f t="shared" si="2"/>
        <v>0.44055944055944057</v>
      </c>
      <c r="D10" s="35">
        <f t="shared" si="3"/>
        <v>0.74524714828897343</v>
      </c>
      <c r="E10" s="35">
        <f t="shared" si="4"/>
        <v>0.59115884115884121</v>
      </c>
      <c r="F10" s="20">
        <v>4004</v>
      </c>
      <c r="G10" s="20">
        <f t="shared" si="0"/>
        <v>1637</v>
      </c>
      <c r="H10" s="20">
        <v>2367</v>
      </c>
      <c r="I10" s="20">
        <v>1764</v>
      </c>
      <c r="J10" s="20">
        <f t="shared" si="1"/>
        <v>603</v>
      </c>
      <c r="K10" s="20"/>
      <c r="L10" s="20"/>
      <c r="M10" s="45"/>
      <c r="N10" s="48"/>
      <c r="O10" s="35"/>
      <c r="P10" s="35"/>
      <c r="Q10" s="35"/>
      <c r="R10" s="20"/>
      <c r="S10" s="20"/>
      <c r="T10" s="20"/>
      <c r="U10" s="20"/>
      <c r="V10" s="20"/>
      <c r="W10" s="20"/>
      <c r="X10" s="20"/>
      <c r="Y10" s="45"/>
      <c r="Z10" s="48"/>
      <c r="AA10" s="35"/>
      <c r="AB10" s="35"/>
      <c r="AC10" s="35"/>
      <c r="AD10" s="20"/>
      <c r="AE10" s="20"/>
      <c r="AF10" s="20"/>
      <c r="AG10" s="20"/>
      <c r="AH10" s="20"/>
      <c r="AI10" s="20"/>
      <c r="AJ10" s="20"/>
      <c r="AK10" s="45"/>
      <c r="AL10" s="48"/>
      <c r="AM10" s="35"/>
      <c r="AN10" s="35"/>
      <c r="AO10" s="35"/>
      <c r="AP10" s="20"/>
      <c r="AQ10" s="20"/>
      <c r="AR10" s="20"/>
      <c r="AS10" s="20"/>
      <c r="AT10" s="20"/>
      <c r="AU10" s="20"/>
      <c r="AV10" s="20"/>
      <c r="AW10" s="45"/>
      <c r="AX10" s="48"/>
      <c r="AY10" s="35"/>
      <c r="AZ10" s="35"/>
      <c r="BA10" s="35"/>
    </row>
    <row r="11" spans="1:59" s="29" customFormat="1" ht="12.75">
      <c r="A11" s="46">
        <v>1993</v>
      </c>
      <c r="B11" s="47" t="s">
        <v>43</v>
      </c>
      <c r="C11" s="35">
        <f t="shared" si="2"/>
        <v>0.3827129015808261</v>
      </c>
      <c r="D11" s="35">
        <f t="shared" si="3"/>
        <v>0.76425661914460286</v>
      </c>
      <c r="E11" s="35">
        <f t="shared" si="4"/>
        <v>0.50076491585925553</v>
      </c>
      <c r="F11" s="20">
        <v>3922</v>
      </c>
      <c r="G11" s="20">
        <f t="shared" si="0"/>
        <v>1958</v>
      </c>
      <c r="H11" s="20">
        <v>1964</v>
      </c>
      <c r="I11" s="20">
        <v>1501</v>
      </c>
      <c r="J11" s="20">
        <f t="shared" si="1"/>
        <v>463</v>
      </c>
      <c r="K11" s="20"/>
      <c r="L11" s="20"/>
      <c r="M11" s="46"/>
      <c r="N11" s="47"/>
      <c r="O11" s="35"/>
      <c r="P11" s="35"/>
      <c r="Q11" s="35"/>
      <c r="R11" s="20"/>
      <c r="S11" s="20"/>
      <c r="T11" s="20"/>
      <c r="U11" s="20"/>
      <c r="V11" s="20"/>
      <c r="W11" s="20"/>
      <c r="X11" s="20"/>
      <c r="Y11" s="46"/>
      <c r="Z11" s="47"/>
      <c r="AA11" s="35"/>
      <c r="AB11" s="35"/>
      <c r="AC11" s="35"/>
      <c r="AD11" s="20"/>
      <c r="AE11" s="20"/>
      <c r="AF11" s="20"/>
      <c r="AG11" s="20"/>
      <c r="AH11" s="20"/>
      <c r="AI11" s="20"/>
      <c r="AJ11" s="20"/>
      <c r="AK11" s="46"/>
      <c r="AL11" s="47"/>
      <c r="AM11" s="35"/>
      <c r="AN11" s="35"/>
      <c r="AO11" s="35"/>
      <c r="AP11" s="20"/>
      <c r="AQ11" s="20"/>
      <c r="AR11" s="20"/>
      <c r="AS11" s="20"/>
      <c r="AT11" s="20"/>
      <c r="AU11" s="20"/>
      <c r="AV11" s="20"/>
      <c r="AW11" s="46"/>
      <c r="AX11" s="47"/>
      <c r="AY11" s="35"/>
      <c r="AZ11" s="35"/>
      <c r="BA11" s="35"/>
    </row>
    <row r="12" spans="1:59" s="29" customFormat="1" ht="12.75">
      <c r="A12" s="45">
        <v>1993</v>
      </c>
      <c r="B12" s="48" t="s">
        <v>44</v>
      </c>
      <c r="C12" s="35">
        <f t="shared" si="2"/>
        <v>0.40507889546351084</v>
      </c>
      <c r="D12" s="35">
        <f t="shared" si="3"/>
        <v>0.73842696629213478</v>
      </c>
      <c r="E12" s="35">
        <f t="shared" si="4"/>
        <v>0.54857001972386588</v>
      </c>
      <c r="F12" s="20">
        <v>4056</v>
      </c>
      <c r="G12" s="20">
        <f t="shared" si="0"/>
        <v>1831</v>
      </c>
      <c r="H12" s="20">
        <v>2225</v>
      </c>
      <c r="I12" s="20">
        <v>1643</v>
      </c>
      <c r="J12" s="20">
        <f t="shared" si="1"/>
        <v>582</v>
      </c>
      <c r="K12" s="20"/>
      <c r="L12" s="20"/>
      <c r="M12" s="45"/>
      <c r="N12" s="48"/>
      <c r="O12" s="35"/>
      <c r="P12" s="35"/>
      <c r="Q12" s="35"/>
      <c r="R12" s="20"/>
      <c r="S12" s="20"/>
      <c r="T12" s="20"/>
      <c r="U12" s="20"/>
      <c r="V12" s="20"/>
      <c r="W12" s="20"/>
      <c r="X12" s="20"/>
      <c r="Y12" s="45"/>
      <c r="Z12" s="48"/>
      <c r="AA12" s="35"/>
      <c r="AB12" s="35"/>
      <c r="AC12" s="35"/>
      <c r="AD12" s="20"/>
      <c r="AE12" s="20"/>
      <c r="AF12" s="20"/>
      <c r="AG12" s="20"/>
      <c r="AH12" s="20"/>
      <c r="AI12" s="20"/>
      <c r="AJ12" s="20"/>
      <c r="AK12" s="45"/>
      <c r="AL12" s="48"/>
      <c r="AM12" s="35"/>
      <c r="AN12" s="35"/>
      <c r="AO12" s="35"/>
      <c r="AP12" s="20"/>
      <c r="AQ12" s="20"/>
      <c r="AR12" s="20"/>
      <c r="AS12" s="20"/>
      <c r="AT12" s="20"/>
      <c r="AU12" s="20"/>
      <c r="AV12" s="20"/>
      <c r="AW12" s="45"/>
      <c r="AX12" s="48"/>
      <c r="AY12" s="35"/>
      <c r="AZ12" s="35"/>
      <c r="BA12" s="35"/>
    </row>
    <row r="13" spans="1:59" s="29" customFormat="1" ht="12.75">
      <c r="A13" s="46">
        <v>1993</v>
      </c>
      <c r="B13" s="47" t="s">
        <v>45</v>
      </c>
      <c r="C13" s="35">
        <f t="shared" si="2"/>
        <v>0.512031753907219</v>
      </c>
      <c r="D13" s="35">
        <f t="shared" si="3"/>
        <v>0.80562060889929743</v>
      </c>
      <c r="E13" s="35">
        <f t="shared" si="4"/>
        <v>0.63557429918134456</v>
      </c>
      <c r="F13" s="20">
        <v>4031</v>
      </c>
      <c r="G13" s="20">
        <f t="shared" si="0"/>
        <v>1469</v>
      </c>
      <c r="H13" s="20">
        <v>2562</v>
      </c>
      <c r="I13" s="20">
        <v>2064</v>
      </c>
      <c r="J13" s="20">
        <f t="shared" si="1"/>
        <v>498</v>
      </c>
      <c r="K13" s="20"/>
      <c r="L13" s="20"/>
      <c r="M13" s="46"/>
      <c r="N13" s="47"/>
      <c r="O13" s="35"/>
      <c r="P13" s="35"/>
      <c r="Q13" s="35"/>
      <c r="R13" s="20"/>
      <c r="S13" s="20"/>
      <c r="T13" s="20"/>
      <c r="U13" s="20"/>
      <c r="V13" s="20"/>
      <c r="W13" s="20"/>
      <c r="X13" s="20"/>
      <c r="Y13" s="46"/>
      <c r="Z13" s="47"/>
      <c r="AA13" s="35"/>
      <c r="AB13" s="35"/>
      <c r="AC13" s="35"/>
      <c r="AD13" s="20"/>
      <c r="AE13" s="20"/>
      <c r="AF13" s="20"/>
      <c r="AG13" s="20"/>
      <c r="AH13" s="20"/>
      <c r="AI13" s="20"/>
      <c r="AJ13" s="20"/>
      <c r="AK13" s="46"/>
      <c r="AL13" s="47"/>
      <c r="AM13" s="35"/>
      <c r="AN13" s="35"/>
      <c r="AO13" s="35"/>
      <c r="AP13" s="20"/>
      <c r="AQ13" s="20"/>
      <c r="AR13" s="20"/>
      <c r="AS13" s="20"/>
      <c r="AT13" s="20"/>
      <c r="AU13" s="20"/>
      <c r="AV13" s="20"/>
      <c r="AW13" s="46"/>
      <c r="AX13" s="47"/>
      <c r="AY13" s="35"/>
      <c r="AZ13" s="35"/>
      <c r="BA13" s="35"/>
    </row>
    <row r="14" spans="1:59" s="29" customFormat="1" ht="12.75">
      <c r="A14" s="45">
        <v>1993</v>
      </c>
      <c r="B14" s="48" t="s">
        <v>46</v>
      </c>
      <c r="C14" s="35">
        <f t="shared" si="2"/>
        <v>0.48960973137354286</v>
      </c>
      <c r="D14" s="35">
        <f t="shared" si="3"/>
        <v>0.79245283018867929</v>
      </c>
      <c r="E14" s="35">
        <f t="shared" si="4"/>
        <v>0.61784085149518497</v>
      </c>
      <c r="F14" s="20">
        <v>3946</v>
      </c>
      <c r="G14" s="20">
        <f t="shared" si="0"/>
        <v>1508</v>
      </c>
      <c r="H14" s="20">
        <v>2438</v>
      </c>
      <c r="I14" s="20">
        <v>1932</v>
      </c>
      <c r="J14" s="20">
        <f t="shared" si="1"/>
        <v>506</v>
      </c>
      <c r="K14" s="20"/>
      <c r="L14" s="20"/>
      <c r="M14" s="45"/>
      <c r="N14" s="48"/>
      <c r="O14" s="35"/>
      <c r="P14" s="35"/>
      <c r="Q14" s="35"/>
      <c r="R14" s="20"/>
      <c r="S14" s="20"/>
      <c r="T14" s="20"/>
      <c r="U14" s="20"/>
      <c r="V14" s="20"/>
      <c r="W14" s="20"/>
      <c r="X14" s="20"/>
      <c r="Y14" s="45"/>
      <c r="Z14" s="48"/>
      <c r="AA14" s="35"/>
      <c r="AB14" s="35"/>
      <c r="AC14" s="35"/>
      <c r="AD14" s="20"/>
      <c r="AE14" s="20"/>
      <c r="AF14" s="20"/>
      <c r="AG14" s="20"/>
      <c r="AH14" s="20"/>
      <c r="AI14" s="20"/>
      <c r="AJ14" s="20"/>
      <c r="AK14" s="45"/>
      <c r="AL14" s="48"/>
      <c r="AM14" s="35"/>
      <c r="AN14" s="35"/>
      <c r="AO14" s="35"/>
      <c r="AP14" s="20"/>
      <c r="AQ14" s="20"/>
      <c r="AR14" s="20"/>
      <c r="AS14" s="20"/>
      <c r="AT14" s="20"/>
      <c r="AU14" s="20"/>
      <c r="AV14" s="20"/>
      <c r="AW14" s="45"/>
      <c r="AX14" s="48"/>
      <c r="AY14" s="35"/>
      <c r="AZ14" s="35"/>
      <c r="BA14" s="35"/>
    </row>
    <row r="15" spans="1:59" s="29" customFormat="1" ht="12.75">
      <c r="A15" s="46">
        <v>1993</v>
      </c>
      <c r="B15" s="47" t="s">
        <v>47</v>
      </c>
      <c r="C15" s="35">
        <f t="shared" si="2"/>
        <v>0.49875992063492064</v>
      </c>
      <c r="D15" s="35">
        <f t="shared" si="3"/>
        <v>0.81781211874745829</v>
      </c>
      <c r="E15" s="35">
        <f t="shared" si="4"/>
        <v>0.60987103174603174</v>
      </c>
      <c r="F15" s="20">
        <v>4032</v>
      </c>
      <c r="G15" s="20">
        <f t="shared" si="0"/>
        <v>1573</v>
      </c>
      <c r="H15" s="20">
        <v>2459</v>
      </c>
      <c r="I15" s="20">
        <v>2011</v>
      </c>
      <c r="J15" s="20">
        <f t="shared" si="1"/>
        <v>448</v>
      </c>
      <c r="K15" s="20"/>
      <c r="L15" s="20"/>
      <c r="M15" s="46"/>
      <c r="N15" s="47"/>
      <c r="O15" s="35"/>
      <c r="P15" s="35"/>
      <c r="Q15" s="35"/>
      <c r="R15" s="20"/>
      <c r="S15" s="20"/>
      <c r="T15" s="20"/>
      <c r="U15" s="20"/>
      <c r="V15" s="20"/>
      <c r="W15" s="20"/>
      <c r="X15" s="20"/>
      <c r="Y15" s="46"/>
      <c r="Z15" s="47"/>
      <c r="AA15" s="35"/>
      <c r="AB15" s="35"/>
      <c r="AC15" s="35"/>
      <c r="AD15" s="20"/>
      <c r="AE15" s="20"/>
      <c r="AF15" s="20"/>
      <c r="AG15" s="20"/>
      <c r="AH15" s="20"/>
      <c r="AI15" s="20"/>
      <c r="AJ15" s="20"/>
      <c r="AK15" s="46"/>
      <c r="AL15" s="47"/>
      <c r="AM15" s="35"/>
      <c r="AN15" s="35"/>
      <c r="AO15" s="35"/>
      <c r="AP15" s="20"/>
      <c r="AQ15" s="20"/>
      <c r="AR15" s="20"/>
      <c r="AS15" s="20"/>
      <c r="AT15" s="20"/>
      <c r="AU15" s="20"/>
      <c r="AV15" s="20"/>
      <c r="AW15" s="46"/>
      <c r="AX15" s="47"/>
      <c r="AY15" s="35"/>
      <c r="AZ15" s="35"/>
      <c r="BA15" s="35"/>
    </row>
    <row r="16" spans="1:59" s="29" customFormat="1" ht="12.75">
      <c r="A16" s="45">
        <v>1993</v>
      </c>
      <c r="B16" s="48" t="s">
        <v>48</v>
      </c>
      <c r="C16" s="35">
        <f t="shared" si="2"/>
        <v>0.49911280101394168</v>
      </c>
      <c r="D16" s="35">
        <f t="shared" si="3"/>
        <v>0.82419422352448724</v>
      </c>
      <c r="E16" s="35">
        <f t="shared" si="4"/>
        <v>0.60557667934093795</v>
      </c>
      <c r="F16" s="20">
        <v>3945</v>
      </c>
      <c r="G16" s="20">
        <f t="shared" si="0"/>
        <v>1556</v>
      </c>
      <c r="H16" s="20">
        <v>2389</v>
      </c>
      <c r="I16" s="20">
        <v>1969</v>
      </c>
      <c r="J16" s="20">
        <f t="shared" si="1"/>
        <v>420</v>
      </c>
      <c r="K16" s="20"/>
      <c r="L16" s="20"/>
      <c r="M16" s="45"/>
      <c r="N16" s="48"/>
      <c r="O16" s="35"/>
      <c r="P16" s="35"/>
      <c r="Q16" s="35"/>
      <c r="R16" s="20"/>
      <c r="S16" s="20"/>
      <c r="T16" s="20"/>
      <c r="U16" s="20"/>
      <c r="V16" s="20"/>
      <c r="W16" s="20"/>
      <c r="X16" s="20"/>
      <c r="Y16" s="45"/>
      <c r="Z16" s="48"/>
      <c r="AA16" s="35"/>
      <c r="AB16" s="35"/>
      <c r="AC16" s="35"/>
      <c r="AD16" s="20"/>
      <c r="AE16" s="20"/>
      <c r="AF16" s="20"/>
      <c r="AG16" s="20"/>
      <c r="AH16" s="20"/>
      <c r="AI16" s="20"/>
      <c r="AJ16" s="20"/>
      <c r="AK16" s="45"/>
      <c r="AL16" s="48"/>
      <c r="AM16" s="35"/>
      <c r="AN16" s="35"/>
      <c r="AO16" s="35"/>
      <c r="AP16" s="20"/>
      <c r="AQ16" s="20"/>
      <c r="AR16" s="20"/>
      <c r="AS16" s="20"/>
      <c r="AT16" s="20"/>
      <c r="AU16" s="20"/>
      <c r="AV16" s="20"/>
      <c r="AW16" s="45"/>
      <c r="AX16" s="48"/>
      <c r="AY16" s="35"/>
      <c r="AZ16" s="35"/>
      <c r="BA16" s="35"/>
    </row>
    <row r="17" spans="1:53" s="29" customFormat="1" ht="12.75">
      <c r="A17" s="46">
        <v>1993</v>
      </c>
      <c r="B17" s="47" t="s">
        <v>49</v>
      </c>
      <c r="C17" s="35">
        <f t="shared" si="2"/>
        <v>0.43984220907297833</v>
      </c>
      <c r="D17" s="35">
        <f t="shared" si="3"/>
        <v>0.83131407269338309</v>
      </c>
      <c r="E17" s="35">
        <f t="shared" si="4"/>
        <v>0.52909270216962523</v>
      </c>
      <c r="F17" s="20">
        <v>4056</v>
      </c>
      <c r="G17" s="20">
        <f t="shared" si="0"/>
        <v>1910</v>
      </c>
      <c r="H17" s="20">
        <v>2146</v>
      </c>
      <c r="I17" s="20">
        <v>1784</v>
      </c>
      <c r="J17" s="20">
        <f t="shared" si="1"/>
        <v>362</v>
      </c>
      <c r="K17" s="20"/>
      <c r="L17" s="20"/>
      <c r="M17" s="46"/>
      <c r="N17" s="47"/>
      <c r="O17" s="35"/>
      <c r="P17" s="35"/>
      <c r="Q17" s="35"/>
      <c r="R17" s="20"/>
      <c r="S17" s="20"/>
      <c r="T17" s="20"/>
      <c r="U17" s="20"/>
      <c r="V17" s="20"/>
      <c r="W17" s="20"/>
      <c r="X17" s="20"/>
      <c r="Y17" s="46"/>
      <c r="Z17" s="47"/>
      <c r="AA17" s="35"/>
      <c r="AB17" s="35"/>
      <c r="AC17" s="35"/>
      <c r="AD17" s="20"/>
      <c r="AE17" s="20"/>
      <c r="AF17" s="20"/>
      <c r="AG17" s="20"/>
      <c r="AH17" s="20"/>
      <c r="AI17" s="20"/>
      <c r="AJ17" s="20"/>
      <c r="AK17" s="46"/>
      <c r="AL17" s="47"/>
      <c r="AM17" s="35"/>
      <c r="AN17" s="35"/>
      <c r="AO17" s="35"/>
      <c r="AP17" s="20"/>
      <c r="AQ17" s="20"/>
      <c r="AR17" s="20"/>
      <c r="AS17" s="20"/>
      <c r="AT17" s="20"/>
      <c r="AU17" s="20"/>
      <c r="AV17" s="20"/>
      <c r="AW17" s="46"/>
      <c r="AX17" s="47"/>
      <c r="AY17" s="35"/>
      <c r="AZ17" s="35"/>
      <c r="BA17" s="35"/>
    </row>
    <row r="18" spans="1:53" s="29" customFormat="1" ht="12.75">
      <c r="A18" s="45">
        <v>1994</v>
      </c>
      <c r="B18" s="48" t="s">
        <v>38</v>
      </c>
      <c r="C18" s="35">
        <f t="shared" si="2"/>
        <v>0.442274412855377</v>
      </c>
      <c r="D18" s="35">
        <f t="shared" si="3"/>
        <v>0.84307257304429783</v>
      </c>
      <c r="E18" s="35">
        <f t="shared" si="4"/>
        <v>0.52459826946847965</v>
      </c>
      <c r="F18" s="20">
        <v>4045</v>
      </c>
      <c r="G18" s="20">
        <f t="shared" ref="G18:G29" si="5">F18-H18</f>
        <v>1923</v>
      </c>
      <c r="H18" s="20">
        <v>2122</v>
      </c>
      <c r="I18" s="20">
        <v>1789</v>
      </c>
      <c r="J18" s="20">
        <f t="shared" ref="J18:J29" si="6">H18-I18</f>
        <v>333</v>
      </c>
      <c r="K18" s="20"/>
      <c r="L18" s="20"/>
      <c r="M18" s="45"/>
      <c r="N18" s="48"/>
      <c r="O18" s="35"/>
      <c r="P18" s="35"/>
      <c r="Q18" s="35"/>
      <c r="R18" s="20"/>
      <c r="S18" s="20"/>
      <c r="T18" s="20"/>
      <c r="U18" s="20"/>
      <c r="V18" s="20"/>
      <c r="W18" s="20"/>
      <c r="X18" s="20"/>
      <c r="Y18" s="45"/>
      <c r="Z18" s="48"/>
      <c r="AA18" s="35"/>
      <c r="AB18" s="35"/>
      <c r="AC18" s="35"/>
      <c r="AD18" s="20"/>
      <c r="AE18" s="20"/>
      <c r="AF18" s="20"/>
      <c r="AG18" s="20"/>
      <c r="AH18" s="20"/>
      <c r="AI18" s="20"/>
      <c r="AJ18" s="20"/>
      <c r="AK18" s="45"/>
      <c r="AL18" s="48"/>
      <c r="AM18" s="35"/>
      <c r="AN18" s="35"/>
      <c r="AO18" s="35"/>
      <c r="AP18" s="20"/>
      <c r="AQ18" s="20"/>
      <c r="AR18" s="20"/>
      <c r="AS18" s="20"/>
      <c r="AT18" s="20"/>
      <c r="AU18" s="20"/>
      <c r="AV18" s="20"/>
      <c r="AW18" s="45"/>
      <c r="AX18" s="48"/>
      <c r="AY18" s="35"/>
      <c r="AZ18" s="35"/>
      <c r="BA18" s="35"/>
    </row>
    <row r="19" spans="1:53" s="29" customFormat="1" ht="12.75">
      <c r="A19" s="46">
        <v>1994</v>
      </c>
      <c r="B19" s="47" t="s">
        <v>39</v>
      </c>
      <c r="C19" s="35">
        <f t="shared" si="2"/>
        <v>0.48291757049891543</v>
      </c>
      <c r="D19" s="35">
        <f t="shared" si="3"/>
        <v>0.87175721977484089</v>
      </c>
      <c r="E19" s="35">
        <f t="shared" si="4"/>
        <v>0.55395878524945774</v>
      </c>
      <c r="F19" s="20">
        <v>3688</v>
      </c>
      <c r="G19" s="20">
        <f t="shared" si="5"/>
        <v>1645</v>
      </c>
      <c r="H19" s="20">
        <v>2043</v>
      </c>
      <c r="I19" s="20">
        <v>1781</v>
      </c>
      <c r="J19" s="20">
        <f t="shared" si="6"/>
        <v>262</v>
      </c>
      <c r="K19" s="20"/>
      <c r="L19" s="20"/>
      <c r="M19" s="46"/>
      <c r="N19" s="47"/>
      <c r="O19" s="35"/>
      <c r="P19" s="35"/>
      <c r="Q19" s="35"/>
      <c r="R19" s="20"/>
      <c r="S19" s="20"/>
      <c r="T19" s="20"/>
      <c r="U19" s="20"/>
      <c r="V19" s="20"/>
      <c r="W19" s="20"/>
      <c r="X19" s="20"/>
      <c r="Y19" s="46"/>
      <c r="Z19" s="47"/>
      <c r="AA19" s="35"/>
      <c r="AB19" s="35"/>
      <c r="AC19" s="35"/>
      <c r="AD19" s="20"/>
      <c r="AE19" s="20"/>
      <c r="AF19" s="20"/>
      <c r="AG19" s="20"/>
      <c r="AH19" s="20"/>
      <c r="AI19" s="20"/>
      <c r="AJ19" s="20"/>
      <c r="AK19" s="46"/>
      <c r="AL19" s="47"/>
      <c r="AM19" s="35"/>
      <c r="AN19" s="35"/>
      <c r="AO19" s="35"/>
      <c r="AP19" s="20"/>
      <c r="AQ19" s="20"/>
      <c r="AR19" s="20"/>
      <c r="AS19" s="20"/>
      <c r="AT19" s="20"/>
      <c r="AU19" s="20"/>
      <c r="AV19" s="20"/>
      <c r="AW19" s="46"/>
      <c r="AX19" s="47"/>
      <c r="AY19" s="35"/>
      <c r="AZ19" s="35"/>
      <c r="BA19" s="35"/>
    </row>
    <row r="20" spans="1:53" s="29" customFormat="1" ht="12.75">
      <c r="A20" s="45">
        <v>1994</v>
      </c>
      <c r="B20" s="48" t="s">
        <v>40</v>
      </c>
      <c r="C20" s="35">
        <f t="shared" si="2"/>
        <v>0.4886391399951136</v>
      </c>
      <c r="D20" s="35">
        <f t="shared" si="3"/>
        <v>0.8806693086745927</v>
      </c>
      <c r="E20" s="35">
        <f t="shared" si="4"/>
        <v>0.55484974346445148</v>
      </c>
      <c r="F20" s="20">
        <v>4093</v>
      </c>
      <c r="G20" s="20">
        <f t="shared" si="5"/>
        <v>1822</v>
      </c>
      <c r="H20" s="20">
        <v>2271</v>
      </c>
      <c r="I20" s="20">
        <v>2000</v>
      </c>
      <c r="J20" s="20">
        <f t="shared" si="6"/>
        <v>271</v>
      </c>
      <c r="K20" s="20"/>
      <c r="L20" s="20"/>
      <c r="M20" s="45"/>
      <c r="N20" s="48"/>
      <c r="O20" s="35"/>
      <c r="P20" s="35"/>
      <c r="Q20" s="35"/>
      <c r="R20" s="20"/>
      <c r="S20" s="20"/>
      <c r="T20" s="20"/>
      <c r="U20" s="20"/>
      <c r="V20" s="20"/>
      <c r="W20" s="20"/>
      <c r="X20" s="20"/>
      <c r="Y20" s="45"/>
      <c r="Z20" s="48"/>
      <c r="AA20" s="35"/>
      <c r="AB20" s="35"/>
      <c r="AC20" s="35"/>
      <c r="AD20" s="20"/>
      <c r="AE20" s="20"/>
      <c r="AF20" s="20"/>
      <c r="AG20" s="20"/>
      <c r="AH20" s="20"/>
      <c r="AI20" s="20"/>
      <c r="AJ20" s="20"/>
      <c r="AK20" s="45"/>
      <c r="AL20" s="48"/>
      <c r="AM20" s="35"/>
      <c r="AN20" s="35"/>
      <c r="AO20" s="35"/>
      <c r="AP20" s="20"/>
      <c r="AQ20" s="20"/>
      <c r="AR20" s="20"/>
      <c r="AS20" s="20"/>
      <c r="AT20" s="20"/>
      <c r="AU20" s="20"/>
      <c r="AV20" s="20"/>
      <c r="AW20" s="45"/>
      <c r="AX20" s="48"/>
      <c r="AY20" s="35"/>
      <c r="AZ20" s="35"/>
      <c r="BA20" s="35"/>
    </row>
    <row r="21" spans="1:53" s="29" customFormat="1" ht="12.75">
      <c r="A21" s="46">
        <v>1994</v>
      </c>
      <c r="B21" s="47" t="s">
        <v>41</v>
      </c>
      <c r="C21" s="35">
        <f t="shared" si="2"/>
        <v>0.46892189218921893</v>
      </c>
      <c r="D21" s="35">
        <f t="shared" si="3"/>
        <v>0.86067642604745076</v>
      </c>
      <c r="E21" s="35">
        <f t="shared" si="4"/>
        <v>0.54482948294829481</v>
      </c>
      <c r="F21" s="20">
        <v>3636</v>
      </c>
      <c r="G21" s="20">
        <f t="shared" si="5"/>
        <v>1655</v>
      </c>
      <c r="H21" s="20">
        <v>1981</v>
      </c>
      <c r="I21" s="20">
        <v>1705</v>
      </c>
      <c r="J21" s="20">
        <f t="shared" si="6"/>
        <v>276</v>
      </c>
      <c r="K21" s="20"/>
      <c r="L21" s="20"/>
      <c r="M21" s="46"/>
      <c r="N21" s="47"/>
      <c r="O21" s="35"/>
      <c r="P21" s="35"/>
      <c r="Q21" s="35"/>
      <c r="R21" s="20"/>
      <c r="S21" s="20"/>
      <c r="T21" s="20"/>
      <c r="U21" s="20"/>
      <c r="V21" s="20"/>
      <c r="W21" s="20"/>
      <c r="X21" s="20"/>
      <c r="Y21" s="46"/>
      <c r="Z21" s="47"/>
      <c r="AA21" s="35"/>
      <c r="AB21" s="35"/>
      <c r="AC21" s="35"/>
      <c r="AD21" s="20"/>
      <c r="AE21" s="20"/>
      <c r="AF21" s="20"/>
      <c r="AG21" s="20"/>
      <c r="AH21" s="20"/>
      <c r="AI21" s="20"/>
      <c r="AJ21" s="20"/>
      <c r="AK21" s="46"/>
      <c r="AL21" s="47"/>
      <c r="AM21" s="35"/>
      <c r="AN21" s="35"/>
      <c r="AO21" s="35"/>
      <c r="AP21" s="20"/>
      <c r="AQ21" s="20"/>
      <c r="AR21" s="20"/>
      <c r="AS21" s="20"/>
      <c r="AT21" s="20"/>
      <c r="AU21" s="20"/>
      <c r="AV21" s="20"/>
      <c r="AW21" s="46"/>
      <c r="AX21" s="47"/>
      <c r="AY21" s="35"/>
      <c r="AZ21" s="35"/>
      <c r="BA21" s="35"/>
    </row>
    <row r="22" spans="1:53" s="29" customFormat="1" ht="12.75">
      <c r="A22" s="45">
        <v>1994</v>
      </c>
      <c r="B22" s="48" t="s">
        <v>42</v>
      </c>
      <c r="C22" s="35">
        <f t="shared" si="2"/>
        <v>0.71944990176817292</v>
      </c>
      <c r="D22" s="35">
        <f t="shared" si="3"/>
        <v>0.74552117263843654</v>
      </c>
      <c r="E22" s="35">
        <f t="shared" si="4"/>
        <v>0.96502946954813362</v>
      </c>
      <c r="F22" s="20">
        <f>1425+1120</f>
        <v>2545</v>
      </c>
      <c r="G22" s="20">
        <f t="shared" si="5"/>
        <v>89</v>
      </c>
      <c r="H22" s="20">
        <v>2456</v>
      </c>
      <c r="I22" s="20">
        <f>1187+644</f>
        <v>1831</v>
      </c>
      <c r="J22" s="20">
        <f t="shared" si="6"/>
        <v>625</v>
      </c>
      <c r="K22" s="20"/>
      <c r="L22" s="20"/>
      <c r="M22" s="45"/>
      <c r="N22" s="48"/>
      <c r="O22" s="35"/>
      <c r="P22" s="35"/>
      <c r="Q22" s="35"/>
      <c r="R22" s="20"/>
      <c r="S22" s="20"/>
      <c r="T22" s="20"/>
      <c r="U22" s="20"/>
      <c r="V22" s="20"/>
      <c r="W22" s="20"/>
      <c r="X22" s="20"/>
      <c r="Y22" s="45"/>
      <c r="Z22" s="48"/>
      <c r="AA22" s="35"/>
      <c r="AB22" s="35"/>
      <c r="AC22" s="35"/>
      <c r="AD22" s="20"/>
      <c r="AE22" s="20"/>
      <c r="AF22" s="20"/>
      <c r="AG22" s="20"/>
      <c r="AH22" s="20"/>
      <c r="AI22" s="20"/>
      <c r="AJ22" s="20"/>
      <c r="AK22" s="45"/>
      <c r="AL22" s="48"/>
      <c r="AM22" s="35"/>
      <c r="AN22" s="35"/>
      <c r="AO22" s="35"/>
      <c r="AP22" s="20"/>
      <c r="AQ22" s="20"/>
      <c r="AR22" s="20"/>
      <c r="AS22" s="20"/>
      <c r="AT22" s="20"/>
      <c r="AU22" s="20"/>
      <c r="AV22" s="20"/>
      <c r="AW22" s="45"/>
      <c r="AX22" s="48"/>
      <c r="AY22" s="35"/>
      <c r="AZ22" s="35"/>
      <c r="BA22" s="35"/>
    </row>
    <row r="23" spans="1:53" s="29" customFormat="1" ht="12.75">
      <c r="A23" s="46">
        <v>1994</v>
      </c>
      <c r="B23" s="47" t="s">
        <v>43</v>
      </c>
      <c r="C23" s="35">
        <f t="shared" si="2"/>
        <v>0.8592677345537757</v>
      </c>
      <c r="D23" s="35">
        <f t="shared" si="3"/>
        <v>0.89796731765643678</v>
      </c>
      <c r="E23" s="35">
        <f t="shared" si="4"/>
        <v>0.95690312738367655</v>
      </c>
      <c r="F23" s="20">
        <v>2622</v>
      </c>
      <c r="G23" s="20">
        <f t="shared" si="5"/>
        <v>113</v>
      </c>
      <c r="H23" s="20">
        <v>2509</v>
      </c>
      <c r="I23" s="20">
        <v>2253</v>
      </c>
      <c r="J23" s="20">
        <f t="shared" si="6"/>
        <v>256</v>
      </c>
      <c r="K23" s="20"/>
      <c r="L23" s="20"/>
      <c r="M23" s="46"/>
      <c r="N23" s="47"/>
      <c r="O23" s="35"/>
      <c r="P23" s="35"/>
      <c r="Q23" s="35"/>
      <c r="R23" s="20"/>
      <c r="S23" s="20"/>
      <c r="T23" s="20"/>
      <c r="U23" s="20"/>
      <c r="V23" s="20"/>
      <c r="W23" s="20"/>
      <c r="X23" s="20"/>
      <c r="Y23" s="46"/>
      <c r="Z23" s="47"/>
      <c r="AA23" s="35"/>
      <c r="AB23" s="35"/>
      <c r="AC23" s="35"/>
      <c r="AD23" s="20"/>
      <c r="AE23" s="20"/>
      <c r="AF23" s="20"/>
      <c r="AG23" s="20"/>
      <c r="AH23" s="20"/>
      <c r="AI23" s="20"/>
      <c r="AJ23" s="20"/>
      <c r="AK23" s="46"/>
      <c r="AL23" s="47"/>
      <c r="AM23" s="35"/>
      <c r="AN23" s="35"/>
      <c r="AO23" s="35"/>
      <c r="AP23" s="20"/>
      <c r="AQ23" s="20"/>
      <c r="AR23" s="20"/>
      <c r="AS23" s="20"/>
      <c r="AT23" s="20"/>
      <c r="AU23" s="20"/>
      <c r="AV23" s="20"/>
      <c r="AW23" s="46"/>
      <c r="AX23" s="47"/>
      <c r="AY23" s="35"/>
      <c r="AZ23" s="35"/>
      <c r="BA23" s="35"/>
    </row>
    <row r="24" spans="1:53" s="29" customFormat="1" ht="12.75">
      <c r="A24" s="45">
        <v>1994</v>
      </c>
      <c r="B24" s="48" t="s">
        <v>44</v>
      </c>
      <c r="C24" s="35">
        <f t="shared" si="2"/>
        <v>0.78539823008849563</v>
      </c>
      <c r="D24" s="35">
        <f t="shared" si="3"/>
        <v>0.82654249126891732</v>
      </c>
      <c r="E24" s="35">
        <f t="shared" si="4"/>
        <v>0.9502212389380531</v>
      </c>
      <c r="F24" s="20">
        <v>2712</v>
      </c>
      <c r="G24" s="20">
        <f t="shared" si="5"/>
        <v>135</v>
      </c>
      <c r="H24" s="20">
        <v>2577</v>
      </c>
      <c r="I24" s="20">
        <v>2130</v>
      </c>
      <c r="J24" s="20">
        <f t="shared" si="6"/>
        <v>447</v>
      </c>
      <c r="K24" s="20"/>
      <c r="L24" s="20"/>
      <c r="M24" s="45"/>
      <c r="N24" s="48"/>
      <c r="O24" s="35"/>
      <c r="P24" s="35"/>
      <c r="Q24" s="35"/>
      <c r="R24" s="20"/>
      <c r="S24" s="20"/>
      <c r="T24" s="20"/>
      <c r="U24" s="20"/>
      <c r="V24" s="20"/>
      <c r="W24" s="20"/>
      <c r="X24" s="20"/>
      <c r="Y24" s="45"/>
      <c r="Z24" s="48"/>
      <c r="AA24" s="35"/>
      <c r="AB24" s="35"/>
      <c r="AC24" s="35"/>
      <c r="AD24" s="20"/>
      <c r="AE24" s="20"/>
      <c r="AF24" s="20"/>
      <c r="AG24" s="20"/>
      <c r="AH24" s="20"/>
      <c r="AI24" s="20"/>
      <c r="AJ24" s="20"/>
      <c r="AK24" s="45"/>
      <c r="AL24" s="48"/>
      <c r="AM24" s="35"/>
      <c r="AN24" s="35"/>
      <c r="AO24" s="35"/>
      <c r="AP24" s="20"/>
      <c r="AQ24" s="20"/>
      <c r="AR24" s="20"/>
      <c r="AS24" s="20"/>
      <c r="AT24" s="20"/>
      <c r="AU24" s="20"/>
      <c r="AV24" s="20"/>
      <c r="AW24" s="45"/>
      <c r="AX24" s="48"/>
      <c r="AY24" s="35"/>
      <c r="AZ24" s="35"/>
      <c r="BA24" s="35"/>
    </row>
    <row r="25" spans="1:53" s="29" customFormat="1" ht="12.75">
      <c r="A25" s="46">
        <v>1994</v>
      </c>
      <c r="B25" s="47" t="s">
        <v>45</v>
      </c>
      <c r="C25" s="35">
        <f t="shared" si="2"/>
        <v>0.90605504587155961</v>
      </c>
      <c r="D25" s="35">
        <f t="shared" si="3"/>
        <v>0.93700189753320684</v>
      </c>
      <c r="E25" s="35">
        <f t="shared" si="4"/>
        <v>0.96697247706422018</v>
      </c>
      <c r="F25" s="20">
        <v>2725</v>
      </c>
      <c r="G25" s="20">
        <f t="shared" si="5"/>
        <v>90</v>
      </c>
      <c r="H25" s="20">
        <v>2635</v>
      </c>
      <c r="I25" s="20">
        <v>2469</v>
      </c>
      <c r="J25" s="20">
        <f t="shared" si="6"/>
        <v>166</v>
      </c>
      <c r="K25" s="20"/>
      <c r="L25" s="20"/>
      <c r="M25" s="46"/>
      <c r="N25" s="47"/>
      <c r="O25" s="35"/>
      <c r="P25" s="35"/>
      <c r="Q25" s="35"/>
      <c r="R25" s="20"/>
      <c r="S25" s="20"/>
      <c r="T25" s="20"/>
      <c r="U25" s="20"/>
      <c r="V25" s="20"/>
      <c r="W25" s="20"/>
      <c r="X25" s="20"/>
      <c r="Y25" s="46"/>
      <c r="Z25" s="47"/>
      <c r="AA25" s="35"/>
      <c r="AB25" s="35"/>
      <c r="AC25" s="35"/>
      <c r="AD25" s="20"/>
      <c r="AE25" s="20"/>
      <c r="AF25" s="20"/>
      <c r="AG25" s="20"/>
      <c r="AH25" s="20"/>
      <c r="AI25" s="20"/>
      <c r="AJ25" s="20"/>
      <c r="AK25" s="46"/>
      <c r="AL25" s="47"/>
      <c r="AM25" s="35"/>
      <c r="AN25" s="35"/>
      <c r="AO25" s="35"/>
      <c r="AP25" s="20"/>
      <c r="AQ25" s="20"/>
      <c r="AR25" s="20"/>
      <c r="AS25" s="20"/>
      <c r="AT25" s="20"/>
      <c r="AU25" s="20"/>
      <c r="AV25" s="20"/>
      <c r="AW25" s="46"/>
      <c r="AX25" s="47"/>
      <c r="AY25" s="35"/>
      <c r="AZ25" s="35"/>
      <c r="BA25" s="35"/>
    </row>
    <row r="26" spans="1:53" s="29" customFormat="1" ht="12.75">
      <c r="A26" s="45">
        <v>1994</v>
      </c>
      <c r="B26" s="48" t="s">
        <v>46</v>
      </c>
      <c r="C26" s="35">
        <f t="shared" si="2"/>
        <v>0.90747734138972813</v>
      </c>
      <c r="D26" s="35">
        <f t="shared" si="3"/>
        <v>0.94792899408284026</v>
      </c>
      <c r="E26" s="35">
        <f t="shared" si="4"/>
        <v>0.95732628398791542</v>
      </c>
      <c r="F26" s="20">
        <v>2648</v>
      </c>
      <c r="G26" s="20">
        <f t="shared" si="5"/>
        <v>113</v>
      </c>
      <c r="H26" s="20">
        <v>2535</v>
      </c>
      <c r="I26" s="20">
        <v>2403</v>
      </c>
      <c r="J26" s="20">
        <f t="shared" si="6"/>
        <v>132</v>
      </c>
      <c r="K26" s="20"/>
      <c r="L26" s="20"/>
      <c r="M26" s="45"/>
      <c r="N26" s="48"/>
      <c r="O26" s="35"/>
      <c r="P26" s="35"/>
      <c r="Q26" s="35"/>
      <c r="R26" s="20"/>
      <c r="S26" s="20"/>
      <c r="T26" s="20"/>
      <c r="U26" s="20"/>
      <c r="V26" s="20"/>
      <c r="W26" s="20"/>
      <c r="X26" s="20"/>
      <c r="Y26" s="45"/>
      <c r="Z26" s="48"/>
      <c r="AA26" s="35"/>
      <c r="AB26" s="35"/>
      <c r="AC26" s="35"/>
      <c r="AD26" s="20"/>
      <c r="AE26" s="20"/>
      <c r="AF26" s="20"/>
      <c r="AG26" s="20"/>
      <c r="AH26" s="20"/>
      <c r="AI26" s="20"/>
      <c r="AJ26" s="20"/>
      <c r="AK26" s="45"/>
      <c r="AL26" s="48"/>
      <c r="AM26" s="35"/>
      <c r="AN26" s="35"/>
      <c r="AO26" s="35"/>
      <c r="AP26" s="20"/>
      <c r="AQ26" s="20"/>
      <c r="AR26" s="20"/>
      <c r="AS26" s="20"/>
      <c r="AT26" s="20"/>
      <c r="AU26" s="20"/>
      <c r="AV26" s="20"/>
      <c r="AW26" s="45"/>
      <c r="AX26" s="48"/>
      <c r="AY26" s="35"/>
      <c r="AZ26" s="35"/>
      <c r="BA26" s="35"/>
    </row>
    <row r="27" spans="1:53" s="29" customFormat="1" ht="12.75">
      <c r="A27" s="46">
        <v>1994</v>
      </c>
      <c r="B27" s="47" t="s">
        <v>47</v>
      </c>
      <c r="C27" s="35">
        <f t="shared" si="2"/>
        <v>0.95206489675516226</v>
      </c>
      <c r="D27" s="35">
        <f t="shared" si="3"/>
        <v>0.96595585484474378</v>
      </c>
      <c r="E27" s="35">
        <f t="shared" si="4"/>
        <v>0.98561946902654862</v>
      </c>
      <c r="F27" s="20">
        <v>2712</v>
      </c>
      <c r="G27" s="20">
        <f t="shared" si="5"/>
        <v>39</v>
      </c>
      <c r="H27" s="20">
        <v>2673</v>
      </c>
      <c r="I27" s="20">
        <v>2582</v>
      </c>
      <c r="J27" s="20">
        <f t="shared" si="6"/>
        <v>91</v>
      </c>
      <c r="K27" s="20"/>
      <c r="L27" s="20"/>
      <c r="M27" s="46"/>
      <c r="N27" s="47"/>
      <c r="O27" s="35"/>
      <c r="P27" s="35"/>
      <c r="Q27" s="35"/>
      <c r="R27" s="20"/>
      <c r="S27" s="20"/>
      <c r="T27" s="20"/>
      <c r="U27" s="20"/>
      <c r="V27" s="20"/>
      <c r="W27" s="20"/>
      <c r="X27" s="20"/>
      <c r="Y27" s="46"/>
      <c r="Z27" s="47"/>
      <c r="AA27" s="35"/>
      <c r="AB27" s="35"/>
      <c r="AC27" s="35"/>
      <c r="AD27" s="20"/>
      <c r="AE27" s="20"/>
      <c r="AF27" s="20"/>
      <c r="AG27" s="20"/>
      <c r="AH27" s="20"/>
      <c r="AI27" s="20"/>
      <c r="AJ27" s="20"/>
      <c r="AK27" s="46"/>
      <c r="AL27" s="47"/>
      <c r="AM27" s="35"/>
      <c r="AN27" s="35"/>
      <c r="AO27" s="35"/>
      <c r="AP27" s="20"/>
      <c r="AQ27" s="20"/>
      <c r="AR27" s="20"/>
      <c r="AS27" s="20"/>
      <c r="AT27" s="20"/>
      <c r="AU27" s="20"/>
      <c r="AV27" s="20"/>
      <c r="AW27" s="46"/>
      <c r="AX27" s="47"/>
      <c r="AY27" s="35"/>
      <c r="AZ27" s="35"/>
      <c r="BA27" s="35"/>
    </row>
    <row r="28" spans="1:53" s="29" customFormat="1" ht="12.75">
      <c r="A28" s="45">
        <v>1994</v>
      </c>
      <c r="B28" s="48" t="s">
        <v>48</v>
      </c>
      <c r="C28" s="35">
        <f t="shared" si="2"/>
        <v>0.93957703927492442</v>
      </c>
      <c r="D28" s="35">
        <f t="shared" si="3"/>
        <v>0.95398773006134974</v>
      </c>
      <c r="E28" s="35">
        <f t="shared" si="4"/>
        <v>0.98489425981873113</v>
      </c>
      <c r="F28" s="20">
        <v>2648</v>
      </c>
      <c r="G28" s="20">
        <f t="shared" si="5"/>
        <v>40</v>
      </c>
      <c r="H28" s="20">
        <v>2608</v>
      </c>
      <c r="I28" s="20">
        <v>2488</v>
      </c>
      <c r="J28" s="20">
        <f t="shared" si="6"/>
        <v>120</v>
      </c>
      <c r="K28" s="20"/>
      <c r="L28" s="20"/>
      <c r="M28" s="45"/>
      <c r="N28" s="48"/>
      <c r="O28" s="35"/>
      <c r="P28" s="35"/>
      <c r="Q28" s="35"/>
      <c r="R28" s="20"/>
      <c r="S28" s="20"/>
      <c r="T28" s="20"/>
      <c r="U28" s="20"/>
      <c r="V28" s="20"/>
      <c r="W28" s="20"/>
      <c r="X28" s="20"/>
      <c r="Y28" s="45"/>
      <c r="Z28" s="48"/>
      <c r="AA28" s="35"/>
      <c r="AB28" s="35"/>
      <c r="AC28" s="35"/>
      <c r="AD28" s="20"/>
      <c r="AE28" s="20"/>
      <c r="AF28" s="20"/>
      <c r="AG28" s="20"/>
      <c r="AH28" s="20"/>
      <c r="AI28" s="20"/>
      <c r="AJ28" s="20"/>
      <c r="AK28" s="45"/>
      <c r="AL28" s="48"/>
      <c r="AM28" s="35"/>
      <c r="AN28" s="35"/>
      <c r="AO28" s="35"/>
      <c r="AP28" s="20"/>
      <c r="AQ28" s="20"/>
      <c r="AR28" s="20"/>
      <c r="AS28" s="20"/>
      <c r="AT28" s="20"/>
      <c r="AU28" s="20"/>
      <c r="AV28" s="20"/>
      <c r="AW28" s="45"/>
      <c r="AX28" s="48"/>
      <c r="AY28" s="35"/>
      <c r="AZ28" s="35"/>
      <c r="BA28" s="35"/>
    </row>
    <row r="29" spans="1:53" s="29" customFormat="1" ht="12.75">
      <c r="A29" s="46">
        <v>1994</v>
      </c>
      <c r="B29" s="47" t="s">
        <v>49</v>
      </c>
      <c r="C29" s="35">
        <f t="shared" si="2"/>
        <v>0.91526661796932063</v>
      </c>
      <c r="D29" s="35">
        <f t="shared" si="3"/>
        <v>0.93298585256887567</v>
      </c>
      <c r="E29" s="35">
        <f t="shared" si="4"/>
        <v>0.98100803506208911</v>
      </c>
      <c r="F29" s="20">
        <v>2738</v>
      </c>
      <c r="G29" s="20">
        <f t="shared" si="5"/>
        <v>52</v>
      </c>
      <c r="H29" s="20">
        <v>2686</v>
      </c>
      <c r="I29" s="20">
        <v>2506</v>
      </c>
      <c r="J29" s="20">
        <f t="shared" si="6"/>
        <v>180</v>
      </c>
      <c r="K29" s="20"/>
      <c r="L29" s="20"/>
      <c r="M29" s="46"/>
      <c r="N29" s="47"/>
      <c r="O29" s="35"/>
      <c r="P29" s="35"/>
      <c r="Q29" s="35"/>
      <c r="R29" s="20"/>
      <c r="S29" s="20"/>
      <c r="T29" s="20"/>
      <c r="U29" s="20"/>
      <c r="V29" s="20"/>
      <c r="W29" s="20"/>
      <c r="X29" s="20"/>
      <c r="Y29" s="46"/>
      <c r="Z29" s="47"/>
      <c r="AA29" s="35"/>
      <c r="AB29" s="35"/>
      <c r="AC29" s="35"/>
      <c r="AD29" s="20"/>
      <c r="AE29" s="20"/>
      <c r="AF29" s="20"/>
      <c r="AG29" s="20"/>
      <c r="AH29" s="20"/>
      <c r="AI29" s="20"/>
      <c r="AJ29" s="20"/>
      <c r="AK29" s="46"/>
      <c r="AL29" s="47"/>
      <c r="AM29" s="35"/>
      <c r="AN29" s="35"/>
      <c r="AO29" s="35"/>
      <c r="AP29" s="20"/>
      <c r="AQ29" s="20"/>
      <c r="AR29" s="20"/>
      <c r="AS29" s="20"/>
      <c r="AT29" s="20"/>
      <c r="AU29" s="20"/>
      <c r="AV29" s="20"/>
      <c r="AW29" s="46"/>
      <c r="AX29" s="47"/>
      <c r="AY29" s="35"/>
      <c r="AZ29" s="35"/>
      <c r="BA29" s="35"/>
    </row>
    <row r="30" spans="1:53" s="29" customFormat="1" ht="12.75">
      <c r="A30" s="45">
        <v>1995</v>
      </c>
      <c r="B30" s="48" t="s">
        <v>38</v>
      </c>
      <c r="C30" s="35">
        <f t="shared" si="2"/>
        <v>0.95977579953841086</v>
      </c>
      <c r="D30" s="35">
        <f t="shared" si="3"/>
        <v>0.9706568856285428</v>
      </c>
      <c r="E30" s="35">
        <f t="shared" si="4"/>
        <v>0.98878997692054071</v>
      </c>
      <c r="F30" s="20">
        <f>1745+656+632</f>
        <v>3033</v>
      </c>
      <c r="G30" s="20">
        <f t="shared" ref="G30:G41" si="7">F30-H30</f>
        <v>34</v>
      </c>
      <c r="H30" s="20">
        <f>1727+650+622</f>
        <v>2999</v>
      </c>
      <c r="I30" s="20">
        <f>1696+620+595</f>
        <v>2911</v>
      </c>
      <c r="J30" s="20">
        <f t="shared" ref="J30:J41" si="8">H30-I30</f>
        <v>88</v>
      </c>
      <c r="K30" s="20"/>
      <c r="L30" s="20"/>
      <c r="M30" s="45"/>
      <c r="N30" s="48"/>
      <c r="O30" s="35"/>
      <c r="P30" s="35"/>
      <c r="Q30" s="35"/>
      <c r="R30" s="20"/>
      <c r="S30" s="20"/>
      <c r="T30" s="20"/>
      <c r="U30" s="20"/>
      <c r="V30" s="20"/>
      <c r="W30" s="20"/>
      <c r="X30" s="20"/>
      <c r="Y30" s="45"/>
      <c r="Z30" s="48"/>
      <c r="AA30" s="35"/>
      <c r="AB30" s="35"/>
      <c r="AC30" s="35"/>
      <c r="AD30" s="20"/>
      <c r="AE30" s="20"/>
      <c r="AF30" s="20"/>
      <c r="AG30" s="20"/>
      <c r="AH30" s="20"/>
      <c r="AI30" s="20"/>
      <c r="AJ30" s="20"/>
      <c r="AK30" s="45"/>
      <c r="AL30" s="48"/>
      <c r="AM30" s="35"/>
      <c r="AN30" s="35"/>
      <c r="AO30" s="35"/>
      <c r="AP30" s="20"/>
      <c r="AQ30" s="20"/>
      <c r="AR30" s="20"/>
      <c r="AS30" s="20"/>
      <c r="AT30" s="20"/>
      <c r="AU30" s="20"/>
      <c r="AV30" s="20"/>
      <c r="AW30" s="45"/>
      <c r="AX30" s="48"/>
      <c r="AY30" s="35"/>
      <c r="AZ30" s="35"/>
      <c r="BA30" s="35"/>
    </row>
    <row r="31" spans="1:53" s="29" customFormat="1" ht="12.75">
      <c r="A31" s="46">
        <v>1995</v>
      </c>
      <c r="B31" s="47" t="s">
        <v>39</v>
      </c>
      <c r="C31" s="35">
        <f t="shared" si="2"/>
        <v>0.97359625668449201</v>
      </c>
      <c r="D31" s="35">
        <f t="shared" si="3"/>
        <v>0.97784491440080568</v>
      </c>
      <c r="E31" s="35">
        <f t="shared" si="4"/>
        <v>0.9956550802139037</v>
      </c>
      <c r="F31" s="20">
        <f>1752+640+600</f>
        <v>2992</v>
      </c>
      <c r="G31" s="20">
        <f t="shared" si="7"/>
        <v>13</v>
      </c>
      <c r="H31" s="20">
        <f>1747+634+598</f>
        <v>2979</v>
      </c>
      <c r="I31" s="20">
        <f>1715+611+587</f>
        <v>2913</v>
      </c>
      <c r="J31" s="20">
        <f t="shared" si="8"/>
        <v>66</v>
      </c>
      <c r="K31" s="20"/>
      <c r="L31" s="20"/>
      <c r="M31" s="46"/>
      <c r="N31" s="47"/>
      <c r="O31" s="35"/>
      <c r="P31" s="35"/>
      <c r="Q31" s="35"/>
      <c r="R31" s="20"/>
      <c r="S31" s="20"/>
      <c r="T31" s="20"/>
      <c r="U31" s="20"/>
      <c r="V31" s="20"/>
      <c r="W31" s="20"/>
      <c r="X31" s="20"/>
      <c r="Y31" s="46"/>
      <c r="Z31" s="47"/>
      <c r="AA31" s="35"/>
      <c r="AB31" s="35"/>
      <c r="AC31" s="35"/>
      <c r="AD31" s="20"/>
      <c r="AE31" s="20"/>
      <c r="AF31" s="20"/>
      <c r="AG31" s="20"/>
      <c r="AH31" s="20"/>
      <c r="AI31" s="20"/>
      <c r="AJ31" s="20"/>
      <c r="AK31" s="46"/>
      <c r="AL31" s="47"/>
      <c r="AM31" s="35"/>
      <c r="AN31" s="35"/>
      <c r="AO31" s="35"/>
      <c r="AP31" s="20"/>
      <c r="AQ31" s="20"/>
      <c r="AR31" s="20"/>
      <c r="AS31" s="20"/>
      <c r="AT31" s="20"/>
      <c r="AU31" s="20"/>
      <c r="AV31" s="20"/>
      <c r="AW31" s="46"/>
      <c r="AX31" s="47"/>
      <c r="AY31" s="35"/>
      <c r="AZ31" s="35"/>
      <c r="BA31" s="35"/>
    </row>
    <row r="32" spans="1:53" s="29" customFormat="1" ht="12.75">
      <c r="A32" s="45">
        <v>1995</v>
      </c>
      <c r="B32" s="48" t="s">
        <v>40</v>
      </c>
      <c r="C32" s="35">
        <f t="shared" si="2"/>
        <v>0.96300751879699253</v>
      </c>
      <c r="D32" s="35">
        <f t="shared" si="3"/>
        <v>0.97741147741147738</v>
      </c>
      <c r="E32" s="35">
        <f t="shared" si="4"/>
        <v>0.98526315789473684</v>
      </c>
      <c r="F32" s="20">
        <v>3325</v>
      </c>
      <c r="G32" s="20">
        <f t="shared" si="7"/>
        <v>49</v>
      </c>
      <c r="H32" s="20">
        <v>3276</v>
      </c>
      <c r="I32" s="20">
        <v>3202</v>
      </c>
      <c r="J32" s="20">
        <f t="shared" si="8"/>
        <v>74</v>
      </c>
      <c r="K32" s="20"/>
      <c r="L32" s="20"/>
      <c r="M32" s="45"/>
      <c r="N32" s="48"/>
      <c r="O32" s="35"/>
      <c r="P32" s="35"/>
      <c r="Q32" s="35"/>
      <c r="R32" s="20"/>
      <c r="S32" s="20"/>
      <c r="T32" s="20"/>
      <c r="U32" s="20"/>
      <c r="V32" s="20"/>
      <c r="W32" s="20"/>
      <c r="X32" s="20"/>
      <c r="Y32" s="45"/>
      <c r="Z32" s="48"/>
      <c r="AA32" s="35"/>
      <c r="AB32" s="35"/>
      <c r="AC32" s="35"/>
      <c r="AD32" s="20"/>
      <c r="AE32" s="20"/>
      <c r="AF32" s="20"/>
      <c r="AG32" s="20"/>
      <c r="AH32" s="20"/>
      <c r="AI32" s="20"/>
      <c r="AJ32" s="20"/>
      <c r="AK32" s="45"/>
      <c r="AL32" s="48"/>
      <c r="AM32" s="35"/>
      <c r="AN32" s="35"/>
      <c r="AO32" s="35"/>
      <c r="AP32" s="20"/>
      <c r="AQ32" s="20"/>
      <c r="AR32" s="20"/>
      <c r="AS32" s="20"/>
      <c r="AT32" s="20"/>
      <c r="AU32" s="20"/>
      <c r="AV32" s="20"/>
      <c r="AW32" s="45"/>
      <c r="AX32" s="48"/>
      <c r="AY32" s="35"/>
      <c r="AZ32" s="35"/>
      <c r="BA32" s="35"/>
    </row>
    <row r="33" spans="1:53" s="29" customFormat="1" ht="12.75">
      <c r="A33" s="46">
        <v>1995</v>
      </c>
      <c r="B33" s="47" t="s">
        <v>41</v>
      </c>
      <c r="C33" s="35">
        <f t="shared" si="2"/>
        <v>0.95281823939202026</v>
      </c>
      <c r="D33" s="35">
        <f t="shared" si="3"/>
        <v>0.98591087811271294</v>
      </c>
      <c r="E33" s="35">
        <f t="shared" si="4"/>
        <v>0.96643445218492718</v>
      </c>
      <c r="F33" s="20">
        <v>3158</v>
      </c>
      <c r="G33" s="20">
        <f t="shared" si="7"/>
        <v>106</v>
      </c>
      <c r="H33" s="20">
        <v>3052</v>
      </c>
      <c r="I33" s="20">
        <v>3009</v>
      </c>
      <c r="J33" s="20">
        <f t="shared" si="8"/>
        <v>43</v>
      </c>
      <c r="K33" s="20"/>
      <c r="L33" s="20"/>
      <c r="M33" s="46"/>
      <c r="N33" s="47"/>
      <c r="O33" s="35"/>
      <c r="P33" s="35"/>
      <c r="Q33" s="35"/>
      <c r="R33" s="20"/>
      <c r="S33" s="20"/>
      <c r="T33" s="20"/>
      <c r="U33" s="20"/>
      <c r="V33" s="20"/>
      <c r="W33" s="20"/>
      <c r="X33" s="20"/>
      <c r="Y33" s="46"/>
      <c r="Z33" s="47"/>
      <c r="AA33" s="35"/>
      <c r="AB33" s="35"/>
      <c r="AC33" s="35"/>
      <c r="AD33" s="20"/>
      <c r="AE33" s="20"/>
      <c r="AF33" s="20"/>
      <c r="AG33" s="20"/>
      <c r="AH33" s="20"/>
      <c r="AI33" s="20"/>
      <c r="AJ33" s="20"/>
      <c r="AK33" s="46"/>
      <c r="AL33" s="47"/>
      <c r="AM33" s="35"/>
      <c r="AN33" s="35"/>
      <c r="AO33" s="35"/>
      <c r="AP33" s="20"/>
      <c r="AQ33" s="20"/>
      <c r="AR33" s="20"/>
      <c r="AS33" s="20"/>
      <c r="AT33" s="20"/>
      <c r="AU33" s="20"/>
      <c r="AV33" s="20"/>
      <c r="AW33" s="46"/>
      <c r="AX33" s="47"/>
      <c r="AY33" s="35"/>
      <c r="AZ33" s="35"/>
      <c r="BA33" s="35"/>
    </row>
    <row r="34" spans="1:53" s="29" customFormat="1" ht="12.75">
      <c r="A34" s="45">
        <v>1995</v>
      </c>
      <c r="B34" s="48" t="s">
        <v>42</v>
      </c>
      <c r="C34" s="35">
        <f t="shared" si="2"/>
        <v>0.95995108529501683</v>
      </c>
      <c r="D34" s="35">
        <f t="shared" si="3"/>
        <v>0.97153465346534651</v>
      </c>
      <c r="E34" s="35">
        <f t="shared" si="4"/>
        <v>0.98807704066034852</v>
      </c>
      <c r="F34" s="20">
        <v>3271</v>
      </c>
      <c r="G34" s="20">
        <f t="shared" si="7"/>
        <v>39</v>
      </c>
      <c r="H34" s="20">
        <v>3232</v>
      </c>
      <c r="I34" s="20">
        <v>3140</v>
      </c>
      <c r="J34" s="20">
        <f t="shared" si="8"/>
        <v>92</v>
      </c>
      <c r="K34" s="20"/>
      <c r="L34" s="20"/>
      <c r="M34" s="45"/>
      <c r="N34" s="48"/>
      <c r="O34" s="35"/>
      <c r="P34" s="35"/>
      <c r="Q34" s="35"/>
      <c r="R34" s="20"/>
      <c r="S34" s="20"/>
      <c r="T34" s="20"/>
      <c r="U34" s="20"/>
      <c r="V34" s="20"/>
      <c r="W34" s="20"/>
      <c r="X34" s="20"/>
      <c r="Y34" s="45"/>
      <c r="Z34" s="48"/>
      <c r="AA34" s="35"/>
      <c r="AB34" s="35"/>
      <c r="AC34" s="35"/>
      <c r="AD34" s="20"/>
      <c r="AE34" s="20"/>
      <c r="AF34" s="20"/>
      <c r="AG34" s="20"/>
      <c r="AH34" s="20"/>
      <c r="AI34" s="20"/>
      <c r="AJ34" s="20"/>
      <c r="AK34" s="45"/>
      <c r="AL34" s="48"/>
      <c r="AM34" s="35"/>
      <c r="AN34" s="35"/>
      <c r="AO34" s="35"/>
      <c r="AP34" s="20"/>
      <c r="AQ34" s="20"/>
      <c r="AR34" s="20"/>
      <c r="AS34" s="20"/>
      <c r="AT34" s="20"/>
      <c r="AU34" s="20"/>
      <c r="AV34" s="20"/>
      <c r="AW34" s="45"/>
      <c r="AX34" s="48"/>
      <c r="AY34" s="35"/>
      <c r="AZ34" s="35"/>
      <c r="BA34" s="35"/>
    </row>
    <row r="35" spans="1:53" s="29" customFormat="1" ht="12.75">
      <c r="A35" s="46">
        <v>1995</v>
      </c>
      <c r="B35" s="47" t="s">
        <v>43</v>
      </c>
      <c r="C35" s="35">
        <f t="shared" si="2"/>
        <v>0.98619391277063073</v>
      </c>
      <c r="D35" s="35">
        <f t="shared" si="3"/>
        <v>0.99023314429741649</v>
      </c>
      <c r="E35" s="35">
        <f t="shared" si="4"/>
        <v>0.99592092877314087</v>
      </c>
      <c r="F35" s="20">
        <v>3187</v>
      </c>
      <c r="G35" s="20">
        <f t="shared" si="7"/>
        <v>13</v>
      </c>
      <c r="H35" s="20">
        <v>3174</v>
      </c>
      <c r="I35" s="20">
        <v>3143</v>
      </c>
      <c r="J35" s="20">
        <f t="shared" si="8"/>
        <v>31</v>
      </c>
      <c r="K35" s="20"/>
      <c r="L35" s="20"/>
      <c r="M35" s="46"/>
      <c r="N35" s="47"/>
      <c r="O35" s="35"/>
      <c r="P35" s="35"/>
      <c r="Q35" s="35"/>
      <c r="R35" s="20"/>
      <c r="S35" s="20"/>
      <c r="T35" s="20"/>
      <c r="U35" s="20"/>
      <c r="V35" s="20"/>
      <c r="W35" s="20"/>
      <c r="X35" s="20"/>
      <c r="Y35" s="46"/>
      <c r="Z35" s="47"/>
      <c r="AA35" s="35"/>
      <c r="AB35" s="35"/>
      <c r="AC35" s="35"/>
      <c r="AD35" s="20"/>
      <c r="AE35" s="20"/>
      <c r="AF35" s="20"/>
      <c r="AG35" s="20"/>
      <c r="AH35" s="20"/>
      <c r="AI35" s="20"/>
      <c r="AJ35" s="20"/>
      <c r="AK35" s="46"/>
      <c r="AL35" s="47"/>
      <c r="AM35" s="35"/>
      <c r="AN35" s="35"/>
      <c r="AO35" s="35"/>
      <c r="AP35" s="20"/>
      <c r="AQ35" s="20"/>
      <c r="AR35" s="20"/>
      <c r="AS35" s="20"/>
      <c r="AT35" s="20"/>
      <c r="AU35" s="20"/>
      <c r="AV35" s="20"/>
      <c r="AW35" s="46"/>
      <c r="AX35" s="47"/>
      <c r="AY35" s="35"/>
      <c r="AZ35" s="35"/>
      <c r="BA35" s="35"/>
    </row>
    <row r="36" spans="1:53" s="29" customFormat="1" ht="12.75">
      <c r="A36" s="45">
        <v>1995</v>
      </c>
      <c r="B36" s="48" t="s">
        <v>44</v>
      </c>
      <c r="C36" s="35">
        <f t="shared" si="2"/>
        <v>0.99514563106796117</v>
      </c>
      <c r="D36" s="35">
        <f t="shared" si="3"/>
        <v>0.99665755089638408</v>
      </c>
      <c r="E36" s="35">
        <f t="shared" si="4"/>
        <v>0.99848300970873782</v>
      </c>
      <c r="F36" s="20">
        <v>3296</v>
      </c>
      <c r="G36" s="20">
        <f t="shared" si="7"/>
        <v>5</v>
      </c>
      <c r="H36" s="20">
        <v>3291</v>
      </c>
      <c r="I36" s="20">
        <v>3280</v>
      </c>
      <c r="J36" s="20">
        <f t="shared" si="8"/>
        <v>11</v>
      </c>
      <c r="K36" s="20"/>
      <c r="L36" s="20"/>
      <c r="M36" s="45"/>
      <c r="N36" s="48"/>
      <c r="O36" s="35"/>
      <c r="P36" s="35"/>
      <c r="Q36" s="35"/>
      <c r="R36" s="20"/>
      <c r="S36" s="20"/>
      <c r="T36" s="20"/>
      <c r="U36" s="20"/>
      <c r="V36" s="20"/>
      <c r="W36" s="20"/>
      <c r="X36" s="20"/>
      <c r="Y36" s="45"/>
      <c r="Z36" s="48"/>
      <c r="AA36" s="35"/>
      <c r="AB36" s="35"/>
      <c r="AC36" s="35"/>
      <c r="AD36" s="20"/>
      <c r="AE36" s="20"/>
      <c r="AF36" s="20"/>
      <c r="AG36" s="20"/>
      <c r="AH36" s="20"/>
      <c r="AI36" s="20"/>
      <c r="AJ36" s="20"/>
      <c r="AK36" s="45"/>
      <c r="AL36" s="48"/>
      <c r="AM36" s="35"/>
      <c r="AN36" s="35"/>
      <c r="AO36" s="35"/>
      <c r="AP36" s="20"/>
      <c r="AQ36" s="20"/>
      <c r="AR36" s="20"/>
      <c r="AS36" s="20"/>
      <c r="AT36" s="20"/>
      <c r="AU36" s="20"/>
      <c r="AV36" s="20"/>
      <c r="AW36" s="45"/>
      <c r="AX36" s="48"/>
      <c r="AY36" s="35"/>
      <c r="AZ36" s="35"/>
      <c r="BA36" s="35"/>
    </row>
    <row r="37" spans="1:53" s="29" customFormat="1" ht="12.75">
      <c r="A37" s="46">
        <v>1995</v>
      </c>
      <c r="B37" s="47" t="s">
        <v>45</v>
      </c>
      <c r="C37" s="35">
        <f t="shared" si="2"/>
        <v>0.97365373480023165</v>
      </c>
      <c r="D37" s="35">
        <f t="shared" si="3"/>
        <v>0.99057437407952875</v>
      </c>
      <c r="E37" s="35">
        <f t="shared" si="4"/>
        <v>0.98291835552982054</v>
      </c>
      <c r="F37" s="20">
        <f>1932+860+662</f>
        <v>3454</v>
      </c>
      <c r="G37" s="20">
        <f t="shared" si="7"/>
        <v>59</v>
      </c>
      <c r="H37" s="20">
        <f>1893+842+660</f>
        <v>3395</v>
      </c>
      <c r="I37" s="20">
        <f>1866+839+658</f>
        <v>3363</v>
      </c>
      <c r="J37" s="20">
        <f t="shared" si="8"/>
        <v>32</v>
      </c>
      <c r="K37" s="20"/>
      <c r="L37" s="20"/>
      <c r="M37" s="46"/>
      <c r="N37" s="47"/>
      <c r="O37" s="35"/>
      <c r="P37" s="35"/>
      <c r="Q37" s="35"/>
      <c r="R37" s="20"/>
      <c r="S37" s="20"/>
      <c r="T37" s="20"/>
      <c r="U37" s="20"/>
      <c r="V37" s="20"/>
      <c r="W37" s="20"/>
      <c r="X37" s="20"/>
      <c r="Y37" s="46"/>
      <c r="Z37" s="47"/>
      <c r="AA37" s="35"/>
      <c r="AB37" s="35"/>
      <c r="AC37" s="35"/>
      <c r="AD37" s="20"/>
      <c r="AE37" s="20"/>
      <c r="AF37" s="20"/>
      <c r="AG37" s="20"/>
      <c r="AH37" s="20"/>
      <c r="AI37" s="20"/>
      <c r="AJ37" s="20"/>
      <c r="AK37" s="46"/>
      <c r="AL37" s="47"/>
      <c r="AM37" s="35"/>
      <c r="AN37" s="35"/>
      <c r="AO37" s="35"/>
      <c r="AP37" s="20"/>
      <c r="AQ37" s="20"/>
      <c r="AR37" s="20"/>
      <c r="AS37" s="20"/>
      <c r="AT37" s="20"/>
      <c r="AU37" s="20"/>
      <c r="AV37" s="20"/>
      <c r="AW37" s="46"/>
      <c r="AX37" s="47"/>
      <c r="AY37" s="35"/>
      <c r="AZ37" s="35"/>
      <c r="BA37" s="35"/>
    </row>
    <row r="38" spans="1:53" s="29" customFormat="1" ht="12.75">
      <c r="A38" s="45">
        <v>1995</v>
      </c>
      <c r="B38" s="48" t="s">
        <v>46</v>
      </c>
      <c r="C38" s="35">
        <f t="shared" si="2"/>
        <v>0.97162921348314601</v>
      </c>
      <c r="D38" s="35">
        <f t="shared" si="3"/>
        <v>0.98547008547008552</v>
      </c>
      <c r="E38" s="35">
        <f t="shared" si="4"/>
        <v>0.9859550561797753</v>
      </c>
      <c r="F38" s="20">
        <f>2072+844+644</f>
        <v>3560</v>
      </c>
      <c r="G38" s="20">
        <f t="shared" si="7"/>
        <v>50</v>
      </c>
      <c r="H38" s="20">
        <f>2054+834+622</f>
        <v>3510</v>
      </c>
      <c r="I38" s="20">
        <f>2010+831+618</f>
        <v>3459</v>
      </c>
      <c r="J38" s="20">
        <f t="shared" si="8"/>
        <v>51</v>
      </c>
      <c r="K38" s="20"/>
      <c r="L38" s="20"/>
      <c r="M38" s="45"/>
      <c r="N38" s="48"/>
      <c r="O38" s="35"/>
      <c r="P38" s="35"/>
      <c r="Q38" s="35"/>
      <c r="R38" s="20"/>
      <c r="S38" s="20"/>
      <c r="T38" s="20"/>
      <c r="U38" s="20"/>
      <c r="V38" s="20"/>
      <c r="W38" s="20"/>
      <c r="X38" s="20"/>
      <c r="Y38" s="45"/>
      <c r="Z38" s="48"/>
      <c r="AA38" s="35"/>
      <c r="AB38" s="35"/>
      <c r="AC38" s="35"/>
      <c r="AD38" s="20"/>
      <c r="AE38" s="20"/>
      <c r="AF38" s="20"/>
      <c r="AG38" s="20"/>
      <c r="AH38" s="20"/>
      <c r="AI38" s="20"/>
      <c r="AJ38" s="20"/>
      <c r="AK38" s="45"/>
      <c r="AL38" s="48"/>
      <c r="AM38" s="35"/>
      <c r="AN38" s="35"/>
      <c r="AO38" s="35"/>
      <c r="AP38" s="20"/>
      <c r="AQ38" s="20"/>
      <c r="AR38" s="20"/>
      <c r="AS38" s="20"/>
      <c r="AT38" s="20"/>
      <c r="AU38" s="20"/>
      <c r="AV38" s="20"/>
      <c r="AW38" s="45"/>
      <c r="AX38" s="48"/>
      <c r="AY38" s="35"/>
      <c r="AZ38" s="35"/>
      <c r="BA38" s="35"/>
    </row>
    <row r="39" spans="1:53" s="29" customFormat="1" ht="12.75">
      <c r="A39" s="46">
        <v>1995</v>
      </c>
      <c r="B39" s="47" t="s">
        <v>47</v>
      </c>
      <c r="C39" s="35">
        <f t="shared" si="2"/>
        <v>0.98315382491024583</v>
      </c>
      <c r="D39" s="35">
        <f t="shared" si="3"/>
        <v>0.98861427381282974</v>
      </c>
      <c r="E39" s="35">
        <f t="shared" si="4"/>
        <v>0.99447666390499867</v>
      </c>
      <c r="F39" s="20">
        <v>3621</v>
      </c>
      <c r="G39" s="20">
        <f t="shared" si="7"/>
        <v>20</v>
      </c>
      <c r="H39" s="20">
        <v>3601</v>
      </c>
      <c r="I39" s="20">
        <v>3560</v>
      </c>
      <c r="J39" s="20">
        <f t="shared" si="8"/>
        <v>41</v>
      </c>
      <c r="K39" s="20"/>
      <c r="L39" s="20"/>
      <c r="M39" s="46"/>
      <c r="N39" s="47"/>
      <c r="O39" s="35"/>
      <c r="P39" s="35"/>
      <c r="Q39" s="35"/>
      <c r="R39" s="20"/>
      <c r="S39" s="20"/>
      <c r="T39" s="20"/>
      <c r="U39" s="20"/>
      <c r="V39" s="20"/>
      <c r="W39" s="20"/>
      <c r="X39" s="20"/>
      <c r="Y39" s="46"/>
      <c r="Z39" s="47"/>
      <c r="AA39" s="35"/>
      <c r="AB39" s="35"/>
      <c r="AC39" s="35"/>
      <c r="AD39" s="20"/>
      <c r="AE39" s="20"/>
      <c r="AF39" s="20"/>
      <c r="AG39" s="20"/>
      <c r="AH39" s="20"/>
      <c r="AI39" s="20"/>
      <c r="AJ39" s="20"/>
      <c r="AK39" s="46"/>
      <c r="AL39" s="47"/>
      <c r="AM39" s="35"/>
      <c r="AN39" s="35"/>
      <c r="AO39" s="35"/>
      <c r="AP39" s="20"/>
      <c r="AQ39" s="20"/>
      <c r="AR39" s="20"/>
      <c r="AS39" s="20"/>
      <c r="AT39" s="20"/>
      <c r="AU39" s="20"/>
      <c r="AV39" s="20"/>
      <c r="AW39" s="46"/>
      <c r="AX39" s="47"/>
      <c r="AY39" s="35"/>
      <c r="AZ39" s="35"/>
      <c r="BA39" s="35"/>
    </row>
    <row r="40" spans="1:53" s="29" customFormat="1" ht="12.75">
      <c r="A40" s="45">
        <v>1995</v>
      </c>
      <c r="B40" s="48" t="s">
        <v>48</v>
      </c>
      <c r="C40" s="35">
        <f t="shared" si="2"/>
        <v>0.98439125910509884</v>
      </c>
      <c r="D40" s="35">
        <f t="shared" si="3"/>
        <v>0.989281045751634</v>
      </c>
      <c r="E40" s="35">
        <f t="shared" si="4"/>
        <v>0.995057232049948</v>
      </c>
      <c r="F40" s="20">
        <v>3844</v>
      </c>
      <c r="G40" s="20">
        <f t="shared" si="7"/>
        <v>19</v>
      </c>
      <c r="H40" s="20">
        <v>3825</v>
      </c>
      <c r="I40" s="20">
        <v>3784</v>
      </c>
      <c r="J40" s="20">
        <f t="shared" si="8"/>
        <v>41</v>
      </c>
      <c r="K40" s="20"/>
      <c r="L40" s="20"/>
      <c r="M40" s="45"/>
      <c r="N40" s="48"/>
      <c r="O40" s="35"/>
      <c r="P40" s="35"/>
      <c r="Q40" s="35"/>
      <c r="R40" s="20"/>
      <c r="S40" s="20"/>
      <c r="T40" s="20"/>
      <c r="U40" s="20"/>
      <c r="V40" s="20"/>
      <c r="W40" s="20"/>
      <c r="X40" s="20"/>
      <c r="Y40" s="45"/>
      <c r="Z40" s="48"/>
      <c r="AA40" s="35"/>
      <c r="AB40" s="35"/>
      <c r="AC40" s="35"/>
      <c r="AD40" s="20"/>
      <c r="AE40" s="20"/>
      <c r="AF40" s="20"/>
      <c r="AG40" s="20"/>
      <c r="AH40" s="20"/>
      <c r="AI40" s="20"/>
      <c r="AJ40" s="20"/>
      <c r="AK40" s="45"/>
      <c r="AL40" s="48"/>
      <c r="AM40" s="35"/>
      <c r="AN40" s="35"/>
      <c r="AO40" s="35"/>
      <c r="AP40" s="20"/>
      <c r="AQ40" s="20"/>
      <c r="AR40" s="20"/>
      <c r="AS40" s="20"/>
      <c r="AT40" s="20"/>
      <c r="AU40" s="20"/>
      <c r="AV40" s="20"/>
      <c r="AW40" s="45"/>
      <c r="AX40" s="48"/>
      <c r="AY40" s="35"/>
      <c r="AZ40" s="35"/>
      <c r="BA40" s="35"/>
    </row>
    <row r="41" spans="1:53" s="29" customFormat="1" ht="12.75">
      <c r="A41" s="46">
        <v>1995</v>
      </c>
      <c r="B41" s="47" t="s">
        <v>49</v>
      </c>
      <c r="C41" s="35">
        <f t="shared" si="2"/>
        <v>0.98702983138780809</v>
      </c>
      <c r="D41" s="35">
        <f t="shared" si="3"/>
        <v>0.99114352696014585</v>
      </c>
      <c r="E41" s="35">
        <f t="shared" si="4"/>
        <v>0.99584954604409859</v>
      </c>
      <c r="F41" s="20">
        <v>3855</v>
      </c>
      <c r="G41" s="20">
        <f t="shared" si="7"/>
        <v>16</v>
      </c>
      <c r="H41" s="20">
        <v>3839</v>
      </c>
      <c r="I41" s="20">
        <v>3805</v>
      </c>
      <c r="J41" s="20">
        <f t="shared" si="8"/>
        <v>34</v>
      </c>
      <c r="K41" s="20"/>
      <c r="L41" s="20"/>
      <c r="M41" s="46"/>
      <c r="N41" s="47"/>
      <c r="O41" s="35"/>
      <c r="P41" s="35"/>
      <c r="Q41" s="35"/>
      <c r="R41" s="20"/>
      <c r="S41" s="20"/>
      <c r="T41" s="20"/>
      <c r="U41" s="20"/>
      <c r="V41" s="20"/>
      <c r="W41" s="20"/>
      <c r="X41" s="20"/>
      <c r="Y41" s="46"/>
      <c r="Z41" s="47"/>
      <c r="AA41" s="35"/>
      <c r="AB41" s="35"/>
      <c r="AC41" s="35"/>
      <c r="AD41" s="20"/>
      <c r="AE41" s="20"/>
      <c r="AF41" s="20"/>
      <c r="AG41" s="20"/>
      <c r="AH41" s="20"/>
      <c r="AI41" s="20"/>
      <c r="AJ41" s="20"/>
      <c r="AK41" s="46"/>
      <c r="AL41" s="47"/>
      <c r="AM41" s="35"/>
      <c r="AN41" s="35"/>
      <c r="AO41" s="35"/>
      <c r="AP41" s="20"/>
      <c r="AQ41" s="20"/>
      <c r="AR41" s="20"/>
      <c r="AS41" s="20"/>
      <c r="AT41" s="20"/>
      <c r="AU41" s="20"/>
      <c r="AV41" s="20"/>
      <c r="AW41" s="46"/>
      <c r="AX41" s="47"/>
      <c r="AY41" s="35"/>
      <c r="AZ41" s="35"/>
      <c r="BA41" s="35"/>
    </row>
    <row r="42" spans="1:53" s="29" customFormat="1" ht="12.75">
      <c r="A42" s="45">
        <v>1996</v>
      </c>
      <c r="B42" s="48" t="s">
        <v>38</v>
      </c>
      <c r="C42" s="35">
        <f t="shared" si="2"/>
        <v>0.9943074003795066</v>
      </c>
      <c r="D42" s="35">
        <f t="shared" si="3"/>
        <v>0.99548800759914513</v>
      </c>
      <c r="E42" s="35">
        <f t="shared" si="4"/>
        <v>0.99881404174573052</v>
      </c>
      <c r="F42" s="20">
        <v>4216</v>
      </c>
      <c r="G42" s="20">
        <f t="shared" ref="G42:G53" si="9">F42-H42</f>
        <v>5</v>
      </c>
      <c r="H42" s="20">
        <v>4211</v>
      </c>
      <c r="I42" s="20">
        <v>4192</v>
      </c>
      <c r="J42" s="20">
        <f t="shared" ref="J42:J53" si="10">H42-I42</f>
        <v>19</v>
      </c>
      <c r="K42" s="20"/>
      <c r="L42" s="20"/>
      <c r="M42" s="45"/>
      <c r="N42" s="48"/>
      <c r="O42" s="35"/>
      <c r="P42" s="35"/>
      <c r="Q42" s="35"/>
      <c r="R42" s="20"/>
      <c r="S42" s="20"/>
      <c r="T42" s="20"/>
      <c r="U42" s="20"/>
      <c r="V42" s="20"/>
      <c r="W42" s="20"/>
      <c r="X42" s="20"/>
      <c r="Y42" s="45"/>
      <c r="Z42" s="48"/>
      <c r="AA42" s="35"/>
      <c r="AB42" s="35"/>
      <c r="AC42" s="35"/>
      <c r="AD42" s="20"/>
      <c r="AE42" s="20"/>
      <c r="AF42" s="20"/>
      <c r="AG42" s="20"/>
      <c r="AH42" s="20"/>
      <c r="AI42" s="20"/>
      <c r="AJ42" s="20"/>
      <c r="AK42" s="45"/>
      <c r="AL42" s="48"/>
      <c r="AM42" s="35"/>
      <c r="AN42" s="35"/>
      <c r="AO42" s="35"/>
      <c r="AP42" s="20"/>
      <c r="AQ42" s="20"/>
      <c r="AR42" s="20"/>
      <c r="AS42" s="20"/>
      <c r="AT42" s="20"/>
      <c r="AU42" s="20"/>
      <c r="AV42" s="20"/>
      <c r="AW42" s="45"/>
      <c r="AX42" s="48"/>
      <c r="AY42" s="35"/>
      <c r="AZ42" s="35"/>
      <c r="BA42" s="35"/>
    </row>
    <row r="43" spans="1:53" s="29" customFormat="1" ht="12.75">
      <c r="A43" s="46">
        <v>1996</v>
      </c>
      <c r="B43" s="47" t="s">
        <v>39</v>
      </c>
      <c r="C43" s="35">
        <f t="shared" si="2"/>
        <v>0.99048334585524667</v>
      </c>
      <c r="D43" s="35">
        <f t="shared" si="3"/>
        <v>0.99471830985915488</v>
      </c>
      <c r="E43" s="35">
        <f t="shared" si="4"/>
        <v>0.99574254946155771</v>
      </c>
      <c r="F43" s="20">
        <v>3993</v>
      </c>
      <c r="G43" s="20">
        <f t="shared" si="9"/>
        <v>17</v>
      </c>
      <c r="H43" s="20">
        <v>3976</v>
      </c>
      <c r="I43" s="20">
        <v>3955</v>
      </c>
      <c r="J43" s="20">
        <f t="shared" si="10"/>
        <v>21</v>
      </c>
      <c r="K43" s="20"/>
      <c r="L43" s="20"/>
      <c r="M43" s="46"/>
      <c r="N43" s="47"/>
      <c r="O43" s="35"/>
      <c r="P43" s="35"/>
      <c r="Q43" s="35"/>
      <c r="R43" s="20"/>
      <c r="S43" s="20"/>
      <c r="T43" s="20"/>
      <c r="U43" s="20"/>
      <c r="V43" s="20"/>
      <c r="W43" s="20"/>
      <c r="X43" s="20"/>
      <c r="Y43" s="46"/>
      <c r="Z43" s="47"/>
      <c r="AA43" s="35"/>
      <c r="AB43" s="35"/>
      <c r="AC43" s="35"/>
      <c r="AD43" s="20"/>
      <c r="AE43" s="20"/>
      <c r="AF43" s="20"/>
      <c r="AG43" s="20"/>
      <c r="AH43" s="20"/>
      <c r="AI43" s="20"/>
      <c r="AJ43" s="20"/>
      <c r="AK43" s="46"/>
      <c r="AL43" s="47"/>
      <c r="AM43" s="35"/>
      <c r="AN43" s="35"/>
      <c r="AO43" s="35"/>
      <c r="AP43" s="20"/>
      <c r="AQ43" s="20"/>
      <c r="AR43" s="20"/>
      <c r="AS43" s="20"/>
      <c r="AT43" s="20"/>
      <c r="AU43" s="20"/>
      <c r="AV43" s="20"/>
      <c r="AW43" s="46"/>
      <c r="AX43" s="47"/>
      <c r="AY43" s="35"/>
      <c r="AZ43" s="35"/>
      <c r="BA43" s="35"/>
    </row>
    <row r="44" spans="1:53" s="29" customFormat="1" ht="12.75">
      <c r="A44" s="45">
        <v>1996</v>
      </c>
      <c r="B44" s="48" t="s">
        <v>40</v>
      </c>
      <c r="C44" s="35">
        <f t="shared" si="2"/>
        <v>0.96997635933806148</v>
      </c>
      <c r="D44" s="35">
        <f t="shared" si="3"/>
        <v>0.98772267693789118</v>
      </c>
      <c r="E44" s="35">
        <f t="shared" si="4"/>
        <v>0.98203309692671392</v>
      </c>
      <c r="F44" s="20">
        <v>4230</v>
      </c>
      <c r="G44" s="20">
        <f t="shared" si="9"/>
        <v>76</v>
      </c>
      <c r="H44" s="20">
        <v>4154</v>
      </c>
      <c r="I44" s="20">
        <v>4103</v>
      </c>
      <c r="J44" s="20">
        <f t="shared" si="10"/>
        <v>51</v>
      </c>
      <c r="K44" s="20"/>
      <c r="L44" s="20"/>
      <c r="M44" s="45"/>
      <c r="N44" s="48"/>
      <c r="O44" s="35"/>
      <c r="P44" s="35"/>
      <c r="Q44" s="35"/>
      <c r="R44" s="20"/>
      <c r="S44" s="20"/>
      <c r="T44" s="20"/>
      <c r="U44" s="20"/>
      <c r="V44" s="20"/>
      <c r="W44" s="20"/>
      <c r="X44" s="20"/>
      <c r="Y44" s="45"/>
      <c r="Z44" s="48"/>
      <c r="AA44" s="35"/>
      <c r="AB44" s="35"/>
      <c r="AC44" s="35"/>
      <c r="AD44" s="20"/>
      <c r="AE44" s="20"/>
      <c r="AF44" s="20"/>
      <c r="AG44" s="20"/>
      <c r="AH44" s="20"/>
      <c r="AI44" s="20"/>
      <c r="AJ44" s="20"/>
      <c r="AK44" s="45"/>
      <c r="AL44" s="48"/>
      <c r="AM44" s="35"/>
      <c r="AN44" s="35"/>
      <c r="AO44" s="35"/>
      <c r="AP44" s="20"/>
      <c r="AQ44" s="20"/>
      <c r="AR44" s="20"/>
      <c r="AS44" s="20"/>
      <c r="AT44" s="20"/>
      <c r="AU44" s="20"/>
      <c r="AV44" s="20"/>
      <c r="AW44" s="45"/>
      <c r="AX44" s="48"/>
      <c r="AY44" s="35"/>
      <c r="AZ44" s="35"/>
      <c r="BA44" s="35"/>
    </row>
    <row r="45" spans="1:53" s="29" customFormat="1" ht="12.75">
      <c r="A45" s="46">
        <v>1996</v>
      </c>
      <c r="B45" s="47" t="s">
        <v>41</v>
      </c>
      <c r="C45" s="35">
        <f t="shared" si="2"/>
        <v>0.87984401657323907</v>
      </c>
      <c r="D45" s="35">
        <f t="shared" si="3"/>
        <v>0.88415380847416114</v>
      </c>
      <c r="E45" s="35">
        <f t="shared" si="4"/>
        <v>0.99512551791372161</v>
      </c>
      <c r="F45" s="20">
        <v>4103</v>
      </c>
      <c r="G45" s="20">
        <f t="shared" si="9"/>
        <v>20</v>
      </c>
      <c r="H45" s="20">
        <v>4083</v>
      </c>
      <c r="I45" s="20">
        <v>3610</v>
      </c>
      <c r="J45" s="20">
        <f t="shared" si="10"/>
        <v>473</v>
      </c>
      <c r="K45" s="20"/>
      <c r="L45" s="20"/>
      <c r="M45" s="46"/>
      <c r="N45" s="47"/>
      <c r="O45" s="35"/>
      <c r="P45" s="35"/>
      <c r="Q45" s="35"/>
      <c r="R45" s="20"/>
      <c r="S45" s="20"/>
      <c r="T45" s="20"/>
      <c r="U45" s="20"/>
      <c r="V45" s="20"/>
      <c r="W45" s="20"/>
      <c r="X45" s="20"/>
      <c r="Y45" s="46"/>
      <c r="Z45" s="47"/>
      <c r="AA45" s="35"/>
      <c r="AB45" s="35"/>
      <c r="AC45" s="35"/>
      <c r="AD45" s="20"/>
      <c r="AE45" s="20"/>
      <c r="AF45" s="20"/>
      <c r="AG45" s="20"/>
      <c r="AH45" s="20"/>
      <c r="AI45" s="20"/>
      <c r="AJ45" s="20"/>
      <c r="AK45" s="46"/>
      <c r="AL45" s="47"/>
      <c r="AM45" s="35"/>
      <c r="AN45" s="35"/>
      <c r="AO45" s="35"/>
      <c r="AP45" s="20"/>
      <c r="AQ45" s="20"/>
      <c r="AR45" s="20"/>
      <c r="AS45" s="20"/>
      <c r="AT45" s="20"/>
      <c r="AU45" s="20"/>
      <c r="AV45" s="20"/>
      <c r="AW45" s="46"/>
      <c r="AX45" s="47"/>
      <c r="AY45" s="35"/>
      <c r="AZ45" s="35"/>
      <c r="BA45" s="35"/>
    </row>
    <row r="46" spans="1:53" s="29" customFormat="1" ht="12.75">
      <c r="A46" s="45">
        <v>1996</v>
      </c>
      <c r="B46" s="48" t="s">
        <v>42</v>
      </c>
      <c r="C46" s="35">
        <f t="shared" si="2"/>
        <v>0.74946821082486415</v>
      </c>
      <c r="D46" s="35">
        <f t="shared" si="3"/>
        <v>0.75177809388335703</v>
      </c>
      <c r="E46" s="35">
        <f t="shared" si="4"/>
        <v>0.99692744032143699</v>
      </c>
      <c r="F46" s="20">
        <v>4231</v>
      </c>
      <c r="G46" s="20">
        <f t="shared" si="9"/>
        <v>13</v>
      </c>
      <c r="H46" s="20">
        <v>4218</v>
      </c>
      <c r="I46" s="20">
        <v>3171</v>
      </c>
      <c r="J46" s="20">
        <f t="shared" si="10"/>
        <v>1047</v>
      </c>
      <c r="K46" s="20"/>
      <c r="L46" s="20"/>
      <c r="M46" s="45"/>
      <c r="N46" s="48"/>
      <c r="O46" s="35"/>
      <c r="P46" s="35"/>
      <c r="Q46" s="35"/>
      <c r="R46" s="20"/>
      <c r="S46" s="20"/>
      <c r="T46" s="20"/>
      <c r="U46" s="20"/>
      <c r="V46" s="20"/>
      <c r="W46" s="20"/>
      <c r="X46" s="20"/>
      <c r="Y46" s="45"/>
      <c r="Z46" s="48"/>
      <c r="AA46" s="35"/>
      <c r="AB46" s="35"/>
      <c r="AC46" s="35"/>
      <c r="AD46" s="20"/>
      <c r="AE46" s="20"/>
      <c r="AF46" s="20"/>
      <c r="AG46" s="20"/>
      <c r="AH46" s="20"/>
      <c r="AI46" s="20"/>
      <c r="AJ46" s="20"/>
      <c r="AK46" s="45"/>
      <c r="AL46" s="48"/>
      <c r="AM46" s="35"/>
      <c r="AN46" s="35"/>
      <c r="AO46" s="35"/>
      <c r="AP46" s="20"/>
      <c r="AQ46" s="20"/>
      <c r="AR46" s="20"/>
      <c r="AS46" s="20"/>
      <c r="AT46" s="20"/>
      <c r="AU46" s="20"/>
      <c r="AV46" s="20"/>
      <c r="AW46" s="45"/>
      <c r="AX46" s="48"/>
      <c r="AY46" s="35"/>
      <c r="AZ46" s="35"/>
      <c r="BA46" s="35"/>
    </row>
    <row r="47" spans="1:53" s="29" customFormat="1" ht="12.75">
      <c r="A47" s="46">
        <v>1996</v>
      </c>
      <c r="B47" s="47" t="s">
        <v>43</v>
      </c>
      <c r="C47" s="35">
        <f t="shared" si="2"/>
        <v>0.9800102511532548</v>
      </c>
      <c r="D47" s="35">
        <f t="shared" si="3"/>
        <v>0.98480556270924546</v>
      </c>
      <c r="E47" s="35">
        <f t="shared" si="4"/>
        <v>0.99513070220399791</v>
      </c>
      <c r="F47" s="20">
        <v>3902</v>
      </c>
      <c r="G47" s="20">
        <f t="shared" si="9"/>
        <v>19</v>
      </c>
      <c r="H47" s="20">
        <v>3883</v>
      </c>
      <c r="I47" s="20">
        <v>3824</v>
      </c>
      <c r="J47" s="20">
        <f t="shared" si="10"/>
        <v>59</v>
      </c>
      <c r="K47" s="20"/>
      <c r="L47" s="20"/>
      <c r="M47" s="46"/>
      <c r="N47" s="47"/>
      <c r="O47" s="35"/>
      <c r="P47" s="35"/>
      <c r="Q47" s="35"/>
      <c r="R47" s="20"/>
      <c r="S47" s="20"/>
      <c r="T47" s="20"/>
      <c r="U47" s="20"/>
      <c r="V47" s="20"/>
      <c r="W47" s="20"/>
      <c r="X47" s="20"/>
      <c r="Y47" s="46"/>
      <c r="Z47" s="47"/>
      <c r="AA47" s="35"/>
      <c r="AB47" s="35"/>
      <c r="AC47" s="35"/>
      <c r="AD47" s="20"/>
      <c r="AE47" s="20"/>
      <c r="AF47" s="20"/>
      <c r="AG47" s="20"/>
      <c r="AH47" s="20"/>
      <c r="AI47" s="20"/>
      <c r="AJ47" s="20"/>
      <c r="AK47" s="46"/>
      <c r="AL47" s="47"/>
      <c r="AM47" s="35"/>
      <c r="AN47" s="35"/>
      <c r="AO47" s="35"/>
      <c r="AP47" s="20"/>
      <c r="AQ47" s="20"/>
      <c r="AR47" s="20"/>
      <c r="AS47" s="20"/>
      <c r="AT47" s="20"/>
      <c r="AU47" s="20"/>
      <c r="AV47" s="20"/>
      <c r="AW47" s="46"/>
      <c r="AX47" s="47"/>
      <c r="AY47" s="35"/>
      <c r="AZ47" s="35"/>
      <c r="BA47" s="35"/>
    </row>
    <row r="48" spans="1:53" s="29" customFormat="1" ht="12.75">
      <c r="A48" s="45">
        <v>1996</v>
      </c>
      <c r="B48" s="48" t="s">
        <v>44</v>
      </c>
      <c r="C48" s="35">
        <f t="shared" si="2"/>
        <v>0.99224993945265194</v>
      </c>
      <c r="D48" s="35">
        <f t="shared" si="3"/>
        <v>0.99345295829291946</v>
      </c>
      <c r="E48" s="35">
        <f t="shared" si="4"/>
        <v>0.99878905303947685</v>
      </c>
      <c r="F48" s="20">
        <v>4129</v>
      </c>
      <c r="G48" s="20">
        <f t="shared" si="9"/>
        <v>5</v>
      </c>
      <c r="H48" s="20">
        <v>4124</v>
      </c>
      <c r="I48" s="20">
        <v>4097</v>
      </c>
      <c r="J48" s="20">
        <f t="shared" si="10"/>
        <v>27</v>
      </c>
      <c r="K48" s="20"/>
      <c r="L48" s="20"/>
      <c r="M48" s="45"/>
      <c r="N48" s="48"/>
      <c r="O48" s="35"/>
      <c r="P48" s="35"/>
      <c r="Q48" s="35"/>
      <c r="R48" s="20"/>
      <c r="S48" s="20"/>
      <c r="T48" s="20"/>
      <c r="U48" s="20"/>
      <c r="V48" s="20"/>
      <c r="W48" s="20"/>
      <c r="X48" s="20"/>
      <c r="Y48" s="45"/>
      <c r="Z48" s="48"/>
      <c r="AA48" s="35"/>
      <c r="AB48" s="35"/>
      <c r="AC48" s="35"/>
      <c r="AD48" s="20"/>
      <c r="AE48" s="20"/>
      <c r="AF48" s="20"/>
      <c r="AG48" s="20"/>
      <c r="AH48" s="20"/>
      <c r="AI48" s="20"/>
      <c r="AJ48" s="20"/>
      <c r="AK48" s="45"/>
      <c r="AL48" s="48"/>
      <c r="AM48" s="35"/>
      <c r="AN48" s="35"/>
      <c r="AO48" s="35"/>
      <c r="AP48" s="20"/>
      <c r="AQ48" s="20"/>
      <c r="AR48" s="20"/>
      <c r="AS48" s="20"/>
      <c r="AT48" s="20"/>
      <c r="AU48" s="20"/>
      <c r="AV48" s="20"/>
      <c r="AW48" s="45"/>
      <c r="AX48" s="48"/>
      <c r="AY48" s="35"/>
      <c r="AZ48" s="35"/>
      <c r="BA48" s="35"/>
    </row>
    <row r="49" spans="1:53" s="29" customFormat="1" ht="12.75">
      <c r="A49" s="46">
        <v>1996</v>
      </c>
      <c r="B49" s="47" t="s">
        <v>45</v>
      </c>
      <c r="C49" s="35">
        <f t="shared" si="2"/>
        <v>0.98248601313549011</v>
      </c>
      <c r="D49" s="35">
        <f t="shared" si="3"/>
        <v>0.99409303470342114</v>
      </c>
      <c r="E49" s="35">
        <f t="shared" si="4"/>
        <v>0.98832400875699344</v>
      </c>
      <c r="F49" s="20">
        <v>4111</v>
      </c>
      <c r="G49" s="20">
        <f t="shared" si="9"/>
        <v>48</v>
      </c>
      <c r="H49" s="20">
        <v>4063</v>
      </c>
      <c r="I49" s="20">
        <v>4039</v>
      </c>
      <c r="J49" s="20">
        <f t="shared" si="10"/>
        <v>24</v>
      </c>
      <c r="K49" s="20"/>
      <c r="L49" s="20"/>
      <c r="M49" s="46"/>
      <c r="N49" s="47"/>
      <c r="O49" s="35"/>
      <c r="P49" s="35"/>
      <c r="Q49" s="35"/>
      <c r="R49" s="20"/>
      <c r="S49" s="20"/>
      <c r="T49" s="20"/>
      <c r="U49" s="20"/>
      <c r="V49" s="20"/>
      <c r="W49" s="20"/>
      <c r="X49" s="20"/>
      <c r="Y49" s="46"/>
      <c r="Z49" s="47"/>
      <c r="AA49" s="35"/>
      <c r="AB49" s="35"/>
      <c r="AC49" s="35"/>
      <c r="AD49" s="20"/>
      <c r="AE49" s="20"/>
      <c r="AF49" s="20"/>
      <c r="AG49" s="20"/>
      <c r="AH49" s="20"/>
      <c r="AI49" s="20"/>
      <c r="AJ49" s="20"/>
      <c r="AK49" s="46"/>
      <c r="AL49" s="47"/>
      <c r="AM49" s="35"/>
      <c r="AN49" s="35"/>
      <c r="AO49" s="35"/>
      <c r="AP49" s="20"/>
      <c r="AQ49" s="20"/>
      <c r="AR49" s="20"/>
      <c r="AS49" s="20"/>
      <c r="AT49" s="20"/>
      <c r="AU49" s="20"/>
      <c r="AV49" s="20"/>
      <c r="AW49" s="46"/>
      <c r="AX49" s="47"/>
      <c r="AY49" s="35"/>
      <c r="AZ49" s="35"/>
      <c r="BA49" s="35"/>
    </row>
    <row r="50" spans="1:53" s="29" customFormat="1" ht="12.75">
      <c r="A50" s="45">
        <v>1996</v>
      </c>
      <c r="B50" s="48" t="s">
        <v>46</v>
      </c>
      <c r="C50" s="35">
        <f t="shared" si="2"/>
        <v>0.95737211634904718</v>
      </c>
      <c r="D50" s="35">
        <f t="shared" si="3"/>
        <v>0.99271970878835158</v>
      </c>
      <c r="E50" s="35">
        <f t="shared" si="4"/>
        <v>0.96439317953861581</v>
      </c>
      <c r="F50" s="20">
        <v>3988</v>
      </c>
      <c r="G50" s="20">
        <f t="shared" si="9"/>
        <v>142</v>
      </c>
      <c r="H50" s="20">
        <v>3846</v>
      </c>
      <c r="I50" s="20">
        <v>3818</v>
      </c>
      <c r="J50" s="20">
        <f t="shared" si="10"/>
        <v>28</v>
      </c>
      <c r="K50" s="20"/>
      <c r="L50" s="20"/>
      <c r="M50" s="45"/>
      <c r="N50" s="48"/>
      <c r="O50" s="35"/>
      <c r="P50" s="35"/>
      <c r="Q50" s="35"/>
      <c r="R50" s="20"/>
      <c r="S50" s="20"/>
      <c r="T50" s="20"/>
      <c r="U50" s="20"/>
      <c r="V50" s="20"/>
      <c r="W50" s="20"/>
      <c r="X50" s="20"/>
      <c r="Y50" s="45"/>
      <c r="Z50" s="48"/>
      <c r="AA50" s="35"/>
      <c r="AB50" s="35"/>
      <c r="AC50" s="35"/>
      <c r="AD50" s="20"/>
      <c r="AE50" s="20"/>
      <c r="AF50" s="20"/>
      <c r="AG50" s="20"/>
      <c r="AH50" s="20"/>
      <c r="AI50" s="20"/>
      <c r="AJ50" s="20"/>
      <c r="AK50" s="45"/>
      <c r="AL50" s="48"/>
      <c r="AM50" s="35"/>
      <c r="AN50" s="35"/>
      <c r="AO50" s="35"/>
      <c r="AP50" s="20"/>
      <c r="AQ50" s="20"/>
      <c r="AR50" s="20"/>
      <c r="AS50" s="20"/>
      <c r="AT50" s="20"/>
      <c r="AU50" s="20"/>
      <c r="AV50" s="20"/>
      <c r="AW50" s="45"/>
      <c r="AX50" s="48"/>
      <c r="AY50" s="35"/>
      <c r="AZ50" s="35"/>
      <c r="BA50" s="35"/>
    </row>
    <row r="51" spans="1:53" s="29" customFormat="1" ht="12.75">
      <c r="A51" s="46">
        <v>1996</v>
      </c>
      <c r="B51" s="47" t="s">
        <v>47</v>
      </c>
      <c r="C51" s="35">
        <f t="shared" si="2"/>
        <v>0.95490716180371349</v>
      </c>
      <c r="D51" s="35">
        <f t="shared" si="3"/>
        <v>0.99148723084626944</v>
      </c>
      <c r="E51" s="35">
        <f t="shared" si="4"/>
        <v>0.96310585965758377</v>
      </c>
      <c r="F51" s="20">
        <v>4147</v>
      </c>
      <c r="G51" s="20">
        <f t="shared" si="9"/>
        <v>153</v>
      </c>
      <c r="H51" s="20">
        <v>3994</v>
      </c>
      <c r="I51" s="20">
        <v>3960</v>
      </c>
      <c r="J51" s="20">
        <f t="shared" si="10"/>
        <v>34</v>
      </c>
      <c r="K51" s="20"/>
      <c r="L51" s="20"/>
      <c r="M51" s="46"/>
      <c r="N51" s="47"/>
      <c r="O51" s="35"/>
      <c r="P51" s="35"/>
      <c r="Q51" s="35"/>
      <c r="R51" s="20"/>
      <c r="S51" s="20"/>
      <c r="T51" s="20"/>
      <c r="U51" s="20"/>
      <c r="V51" s="20"/>
      <c r="W51" s="20"/>
      <c r="X51" s="20"/>
      <c r="Y51" s="46"/>
      <c r="Z51" s="47"/>
      <c r="AA51" s="35"/>
      <c r="AB51" s="35"/>
      <c r="AC51" s="35"/>
      <c r="AD51" s="20"/>
      <c r="AE51" s="20"/>
      <c r="AF51" s="20"/>
      <c r="AG51" s="20"/>
      <c r="AH51" s="20"/>
      <c r="AI51" s="20"/>
      <c r="AJ51" s="20"/>
      <c r="AK51" s="46"/>
      <c r="AL51" s="47"/>
      <c r="AM51" s="35"/>
      <c r="AN51" s="35"/>
      <c r="AO51" s="35"/>
      <c r="AP51" s="20"/>
      <c r="AQ51" s="20"/>
      <c r="AR51" s="20"/>
      <c r="AS51" s="20"/>
      <c r="AT51" s="20"/>
      <c r="AU51" s="20"/>
      <c r="AV51" s="20"/>
      <c r="AW51" s="46"/>
      <c r="AX51" s="47"/>
      <c r="AY51" s="35"/>
      <c r="AZ51" s="35"/>
      <c r="BA51" s="35"/>
    </row>
    <row r="52" spans="1:53" s="29" customFormat="1" ht="12.75">
      <c r="A52" s="45">
        <v>1996</v>
      </c>
      <c r="B52" s="48" t="s">
        <v>48</v>
      </c>
      <c r="C52" s="35">
        <f t="shared" si="2"/>
        <v>0.99150849150849152</v>
      </c>
      <c r="D52" s="35">
        <f t="shared" si="3"/>
        <v>0.99573614246300479</v>
      </c>
      <c r="E52" s="35">
        <f t="shared" si="4"/>
        <v>0.99575424575424576</v>
      </c>
      <c r="F52" s="20">
        <v>4004</v>
      </c>
      <c r="G52" s="20">
        <f t="shared" si="9"/>
        <v>17</v>
      </c>
      <c r="H52" s="20">
        <v>3987</v>
      </c>
      <c r="I52" s="20">
        <v>3970</v>
      </c>
      <c r="J52" s="20">
        <f t="shared" si="10"/>
        <v>17</v>
      </c>
      <c r="K52" s="20"/>
      <c r="L52" s="20"/>
      <c r="M52" s="45"/>
      <c r="N52" s="48"/>
      <c r="O52" s="35"/>
      <c r="P52" s="35"/>
      <c r="Q52" s="35"/>
      <c r="R52" s="20"/>
      <c r="S52" s="20"/>
      <c r="T52" s="20"/>
      <c r="U52" s="20"/>
      <c r="V52" s="20"/>
      <c r="W52" s="20"/>
      <c r="X52" s="20"/>
      <c r="Y52" s="45"/>
      <c r="Z52" s="48"/>
      <c r="AA52" s="35"/>
      <c r="AB52" s="35"/>
      <c r="AC52" s="35"/>
      <c r="AD52" s="20"/>
      <c r="AE52" s="20"/>
      <c r="AF52" s="20"/>
      <c r="AG52" s="20"/>
      <c r="AH52" s="20"/>
      <c r="AI52" s="20"/>
      <c r="AJ52" s="20"/>
      <c r="AK52" s="45"/>
      <c r="AL52" s="48"/>
      <c r="AM52" s="35"/>
      <c r="AN52" s="35"/>
      <c r="AO52" s="35"/>
      <c r="AP52" s="20"/>
      <c r="AQ52" s="20"/>
      <c r="AR52" s="20"/>
      <c r="AS52" s="20"/>
      <c r="AT52" s="20"/>
      <c r="AU52" s="20"/>
      <c r="AV52" s="20"/>
      <c r="AW52" s="45"/>
      <c r="AX52" s="48"/>
      <c r="AY52" s="35"/>
      <c r="AZ52" s="35"/>
      <c r="BA52" s="35"/>
    </row>
    <row r="53" spans="1:53" s="29" customFormat="1" ht="12.75">
      <c r="A53" s="46">
        <v>1996</v>
      </c>
      <c r="B53" s="47" t="s">
        <v>49</v>
      </c>
      <c r="C53" s="35">
        <f t="shared" si="2"/>
        <v>0.96654456654456655</v>
      </c>
      <c r="D53" s="35">
        <f t="shared" si="3"/>
        <v>0.99222862872900475</v>
      </c>
      <c r="E53" s="35">
        <f t="shared" si="4"/>
        <v>0.9741147741147741</v>
      </c>
      <c r="F53" s="20">
        <v>4095</v>
      </c>
      <c r="G53" s="20">
        <f t="shared" si="9"/>
        <v>106</v>
      </c>
      <c r="H53" s="20">
        <v>3989</v>
      </c>
      <c r="I53" s="20">
        <v>3958</v>
      </c>
      <c r="J53" s="20">
        <f t="shared" si="10"/>
        <v>31</v>
      </c>
      <c r="K53" s="20"/>
      <c r="L53" s="20"/>
      <c r="M53" s="46"/>
      <c r="N53" s="47"/>
      <c r="O53" s="35"/>
      <c r="P53" s="35"/>
      <c r="Q53" s="35"/>
      <c r="R53" s="20"/>
      <c r="S53" s="20"/>
      <c r="T53" s="20"/>
      <c r="U53" s="20"/>
      <c r="V53" s="20"/>
      <c r="W53" s="20"/>
      <c r="X53" s="20"/>
      <c r="Y53" s="46"/>
      <c r="Z53" s="47"/>
      <c r="AA53" s="35"/>
      <c r="AB53" s="35"/>
      <c r="AC53" s="35"/>
      <c r="AD53" s="20"/>
      <c r="AE53" s="20"/>
      <c r="AF53" s="20"/>
      <c r="AG53" s="20"/>
      <c r="AH53" s="20"/>
      <c r="AI53" s="20"/>
      <c r="AJ53" s="20"/>
      <c r="AK53" s="46"/>
      <c r="AL53" s="47"/>
      <c r="AM53" s="35"/>
      <c r="AN53" s="35"/>
      <c r="AO53" s="35"/>
      <c r="AP53" s="20"/>
      <c r="AQ53" s="20"/>
      <c r="AR53" s="20"/>
      <c r="AS53" s="20"/>
      <c r="AT53" s="20"/>
      <c r="AU53" s="20"/>
      <c r="AV53" s="20"/>
      <c r="AW53" s="46"/>
      <c r="AX53" s="47"/>
      <c r="AY53" s="35"/>
      <c r="AZ53" s="35"/>
      <c r="BA53" s="35"/>
    </row>
    <row r="54" spans="1:53" s="29" customFormat="1" ht="12.75">
      <c r="A54" s="45">
        <v>1997</v>
      </c>
      <c r="B54" s="48" t="s">
        <v>38</v>
      </c>
      <c r="C54" s="35">
        <f t="shared" si="2"/>
        <v>0.99055461370791964</v>
      </c>
      <c r="D54" s="35">
        <f t="shared" si="3"/>
        <v>0.99464980544747084</v>
      </c>
      <c r="E54" s="35">
        <f t="shared" si="4"/>
        <v>0.9958827803342214</v>
      </c>
      <c r="F54" s="20">
        <v>4129</v>
      </c>
      <c r="G54" s="20">
        <f t="shared" ref="G54:G65" si="11">F54-H54</f>
        <v>17</v>
      </c>
      <c r="H54" s="20">
        <v>4112</v>
      </c>
      <c r="I54" s="20">
        <v>4090</v>
      </c>
      <c r="J54" s="20">
        <f t="shared" ref="J54:J65" si="12">H54-I54</f>
        <v>22</v>
      </c>
      <c r="K54" s="20"/>
      <c r="L54" s="20"/>
      <c r="M54" s="45"/>
      <c r="N54" s="48"/>
      <c r="O54" s="35"/>
      <c r="P54" s="35"/>
      <c r="Q54" s="35"/>
      <c r="R54" s="20"/>
      <c r="S54" s="20"/>
      <c r="T54" s="20"/>
      <c r="U54" s="20"/>
      <c r="V54" s="20"/>
      <c r="W54" s="20"/>
      <c r="X54" s="20"/>
      <c r="Y54" s="45"/>
      <c r="Z54" s="48"/>
      <c r="AA54" s="35"/>
      <c r="AB54" s="35"/>
      <c r="AC54" s="35"/>
      <c r="AD54" s="20"/>
      <c r="AE54" s="20"/>
      <c r="AF54" s="20"/>
      <c r="AG54" s="20"/>
      <c r="AH54" s="20"/>
      <c r="AI54" s="20"/>
      <c r="AJ54" s="20"/>
      <c r="AK54" s="45"/>
      <c r="AL54" s="48"/>
      <c r="AM54" s="35"/>
      <c r="AN54" s="35"/>
      <c r="AO54" s="35"/>
      <c r="AP54" s="20"/>
      <c r="AQ54" s="20"/>
      <c r="AR54" s="20"/>
      <c r="AS54" s="20"/>
      <c r="AT54" s="20"/>
      <c r="AU54" s="20"/>
      <c r="AV54" s="20"/>
      <c r="AW54" s="45"/>
      <c r="AX54" s="48"/>
      <c r="AY54" s="35"/>
      <c r="AZ54" s="35"/>
      <c r="BA54" s="35"/>
    </row>
    <row r="55" spans="1:53" s="29" customFormat="1" ht="12.75">
      <c r="A55" s="46">
        <v>1997</v>
      </c>
      <c r="B55" s="47" t="s">
        <v>39</v>
      </c>
      <c r="C55" s="35">
        <f t="shared" si="2"/>
        <v>0.99465240641711228</v>
      </c>
      <c r="D55" s="35">
        <f t="shared" si="3"/>
        <v>0.99651754620948296</v>
      </c>
      <c r="E55" s="35">
        <f t="shared" si="4"/>
        <v>0.99812834224598934</v>
      </c>
      <c r="F55" s="20">
        <v>3740</v>
      </c>
      <c r="G55" s="20">
        <f t="shared" si="11"/>
        <v>7</v>
      </c>
      <c r="H55" s="20">
        <v>3733</v>
      </c>
      <c r="I55" s="20">
        <v>3720</v>
      </c>
      <c r="J55" s="20">
        <f t="shared" si="12"/>
        <v>13</v>
      </c>
      <c r="K55" s="20"/>
      <c r="L55" s="20"/>
      <c r="M55" s="46"/>
      <c r="N55" s="47"/>
      <c r="O55" s="35"/>
      <c r="P55" s="35"/>
      <c r="Q55" s="35"/>
      <c r="R55" s="20"/>
      <c r="S55" s="20"/>
      <c r="T55" s="20"/>
      <c r="U55" s="20"/>
      <c r="V55" s="20"/>
      <c r="W55" s="20"/>
      <c r="X55" s="20"/>
      <c r="Y55" s="46"/>
      <c r="Z55" s="47"/>
      <c r="AA55" s="35"/>
      <c r="AB55" s="35"/>
      <c r="AC55" s="35"/>
      <c r="AD55" s="20"/>
      <c r="AE55" s="20"/>
      <c r="AF55" s="20"/>
      <c r="AG55" s="20"/>
      <c r="AH55" s="20"/>
      <c r="AI55" s="20"/>
      <c r="AJ55" s="20"/>
      <c r="AK55" s="46"/>
      <c r="AL55" s="47"/>
      <c r="AM55" s="35"/>
      <c r="AN55" s="35"/>
      <c r="AO55" s="35"/>
      <c r="AP55" s="20"/>
      <c r="AQ55" s="20"/>
      <c r="AR55" s="20"/>
      <c r="AS55" s="20"/>
      <c r="AT55" s="20"/>
      <c r="AU55" s="20"/>
      <c r="AV55" s="20"/>
      <c r="AW55" s="46"/>
      <c r="AX55" s="47"/>
      <c r="AY55" s="35"/>
      <c r="AZ55" s="35"/>
      <c r="BA55" s="35"/>
    </row>
    <row r="56" spans="1:53" s="29" customFormat="1" ht="12.75">
      <c r="A56" s="45">
        <v>1997</v>
      </c>
      <c r="B56" s="48" t="s">
        <v>40</v>
      </c>
      <c r="C56" s="35">
        <f t="shared" si="2"/>
        <v>0.98650968849644349</v>
      </c>
      <c r="D56" s="35">
        <f t="shared" si="3"/>
        <v>0.99357707509881421</v>
      </c>
      <c r="E56" s="35">
        <f t="shared" si="4"/>
        <v>0.99288692666176115</v>
      </c>
      <c r="F56" s="20">
        <v>4077</v>
      </c>
      <c r="G56" s="20">
        <f t="shared" si="11"/>
        <v>29</v>
      </c>
      <c r="H56" s="20">
        <v>4048</v>
      </c>
      <c r="I56" s="20">
        <v>4022</v>
      </c>
      <c r="J56" s="20">
        <f t="shared" si="12"/>
        <v>26</v>
      </c>
      <c r="K56" s="20"/>
      <c r="L56" s="20"/>
      <c r="M56" s="45"/>
      <c r="N56" s="48"/>
      <c r="O56" s="35"/>
      <c r="P56" s="35"/>
      <c r="Q56" s="35"/>
      <c r="R56" s="20"/>
      <c r="S56" s="20"/>
      <c r="T56" s="20"/>
      <c r="U56" s="20"/>
      <c r="V56" s="20"/>
      <c r="W56" s="20"/>
      <c r="X56" s="20"/>
      <c r="Y56" s="45"/>
      <c r="Z56" s="48"/>
      <c r="AA56" s="35"/>
      <c r="AB56" s="35"/>
      <c r="AC56" s="35"/>
      <c r="AD56" s="20"/>
      <c r="AE56" s="20"/>
      <c r="AF56" s="20"/>
      <c r="AG56" s="20"/>
      <c r="AH56" s="20"/>
      <c r="AI56" s="20"/>
      <c r="AJ56" s="20"/>
      <c r="AK56" s="45"/>
      <c r="AL56" s="48"/>
      <c r="AM56" s="35"/>
      <c r="AN56" s="35"/>
      <c r="AO56" s="35"/>
      <c r="AP56" s="20"/>
      <c r="AQ56" s="20"/>
      <c r="AR56" s="20"/>
      <c r="AS56" s="20"/>
      <c r="AT56" s="20"/>
      <c r="AU56" s="20"/>
      <c r="AV56" s="20"/>
      <c r="AW56" s="45"/>
      <c r="AX56" s="48"/>
      <c r="AY56" s="35"/>
      <c r="AZ56" s="35"/>
      <c r="BA56" s="35"/>
    </row>
    <row r="57" spans="1:53" s="29" customFormat="1" ht="12.75">
      <c r="A57" s="46">
        <v>1997</v>
      </c>
      <c r="B57" s="47" t="s">
        <v>41</v>
      </c>
      <c r="C57" s="35">
        <f t="shared" si="2"/>
        <v>0.9945300845350572</v>
      </c>
      <c r="D57" s="35">
        <f t="shared" si="3"/>
        <v>0.99626400996264008</v>
      </c>
      <c r="E57" s="35">
        <f t="shared" si="4"/>
        <v>0.99825957235206364</v>
      </c>
      <c r="F57" s="20">
        <v>4022</v>
      </c>
      <c r="G57" s="20">
        <f t="shared" si="11"/>
        <v>7</v>
      </c>
      <c r="H57" s="20">
        <v>4015</v>
      </c>
      <c r="I57" s="20">
        <v>4000</v>
      </c>
      <c r="J57" s="20">
        <f t="shared" si="12"/>
        <v>15</v>
      </c>
      <c r="K57" s="20"/>
      <c r="L57" s="20"/>
      <c r="M57" s="46"/>
      <c r="N57" s="47"/>
      <c r="O57" s="35"/>
      <c r="P57" s="35"/>
      <c r="Q57" s="35"/>
      <c r="R57" s="20"/>
      <c r="S57" s="20"/>
      <c r="T57" s="20"/>
      <c r="U57" s="20"/>
      <c r="V57" s="20"/>
      <c r="W57" s="20"/>
      <c r="X57" s="20"/>
      <c r="Y57" s="46"/>
      <c r="Z57" s="47"/>
      <c r="AA57" s="35"/>
      <c r="AB57" s="35"/>
      <c r="AC57" s="35"/>
      <c r="AD57" s="20"/>
      <c r="AE57" s="20"/>
      <c r="AF57" s="20"/>
      <c r="AG57" s="20"/>
      <c r="AH57" s="20"/>
      <c r="AI57" s="20"/>
      <c r="AJ57" s="20"/>
      <c r="AK57" s="46"/>
      <c r="AL57" s="47"/>
      <c r="AM57" s="35"/>
      <c r="AN57" s="35"/>
      <c r="AO57" s="35"/>
      <c r="AP57" s="20"/>
      <c r="AQ57" s="20"/>
      <c r="AR57" s="20"/>
      <c r="AS57" s="20"/>
      <c r="AT57" s="20"/>
      <c r="AU57" s="20"/>
      <c r="AV57" s="20"/>
      <c r="AW57" s="46"/>
      <c r="AX57" s="47"/>
      <c r="AY57" s="35"/>
      <c r="AZ57" s="35"/>
      <c r="BA57" s="35"/>
    </row>
    <row r="58" spans="1:53" s="29" customFormat="1" ht="12.75">
      <c r="A58" s="45">
        <v>1997</v>
      </c>
      <c r="B58" s="48" t="s">
        <v>42</v>
      </c>
      <c r="C58" s="35">
        <f t="shared" si="2"/>
        <v>0.98564826076380441</v>
      </c>
      <c r="D58" s="35">
        <f t="shared" si="3"/>
        <v>0.99022482893450636</v>
      </c>
      <c r="E58" s="35">
        <f t="shared" si="4"/>
        <v>0.99537825346630993</v>
      </c>
      <c r="F58" s="20">
        <v>4111</v>
      </c>
      <c r="G58" s="20">
        <f t="shared" si="11"/>
        <v>19</v>
      </c>
      <c r="H58" s="20">
        <v>4092</v>
      </c>
      <c r="I58" s="20">
        <v>4052</v>
      </c>
      <c r="J58" s="20">
        <f t="shared" si="12"/>
        <v>40</v>
      </c>
      <c r="K58" s="20"/>
      <c r="L58" s="20"/>
      <c r="M58" s="45"/>
      <c r="N58" s="48"/>
      <c r="O58" s="35"/>
      <c r="P58" s="35"/>
      <c r="Q58" s="35"/>
      <c r="R58" s="20"/>
      <c r="S58" s="20"/>
      <c r="T58" s="20"/>
      <c r="U58" s="20"/>
      <c r="V58" s="20"/>
      <c r="W58" s="20"/>
      <c r="X58" s="20"/>
      <c r="Y58" s="45"/>
      <c r="Z58" s="48"/>
      <c r="AA58" s="35"/>
      <c r="AB58" s="35"/>
      <c r="AC58" s="35"/>
      <c r="AD58" s="20"/>
      <c r="AE58" s="20"/>
      <c r="AF58" s="20"/>
      <c r="AG58" s="20"/>
      <c r="AH58" s="20"/>
      <c r="AI58" s="20"/>
      <c r="AJ58" s="20"/>
      <c r="AK58" s="45"/>
      <c r="AL58" s="48"/>
      <c r="AM58" s="35"/>
      <c r="AN58" s="35"/>
      <c r="AO58" s="35"/>
      <c r="AP58" s="20"/>
      <c r="AQ58" s="20"/>
      <c r="AR58" s="20"/>
      <c r="AS58" s="20"/>
      <c r="AT58" s="20"/>
      <c r="AU58" s="20"/>
      <c r="AV58" s="20"/>
      <c r="AW58" s="45"/>
      <c r="AX58" s="48"/>
      <c r="AY58" s="35"/>
      <c r="AZ58" s="35"/>
      <c r="BA58" s="35"/>
    </row>
    <row r="59" spans="1:53" s="29" customFormat="1" ht="12.75">
      <c r="A59" s="46">
        <v>1997</v>
      </c>
      <c r="B59" s="47" t="s">
        <v>43</v>
      </c>
      <c r="C59" s="35">
        <f t="shared" si="2"/>
        <v>0.99554896142433236</v>
      </c>
      <c r="D59" s="35">
        <f t="shared" si="3"/>
        <v>0.99628804751299183</v>
      </c>
      <c r="E59" s="35">
        <f t="shared" si="4"/>
        <v>0.99925816023738867</v>
      </c>
      <c r="F59" s="20">
        <v>4044</v>
      </c>
      <c r="G59" s="20">
        <f t="shared" si="11"/>
        <v>3</v>
      </c>
      <c r="H59" s="20">
        <v>4041</v>
      </c>
      <c r="I59" s="20">
        <v>4026</v>
      </c>
      <c r="J59" s="20">
        <f t="shared" si="12"/>
        <v>15</v>
      </c>
      <c r="K59" s="20"/>
      <c r="L59" s="20"/>
      <c r="M59" s="46"/>
      <c r="N59" s="47"/>
      <c r="O59" s="35"/>
      <c r="P59" s="35"/>
      <c r="Q59" s="35"/>
      <c r="R59" s="20"/>
      <c r="S59" s="20"/>
      <c r="T59" s="20"/>
      <c r="U59" s="20"/>
      <c r="V59" s="20"/>
      <c r="W59" s="20"/>
      <c r="X59" s="20"/>
      <c r="Y59" s="46"/>
      <c r="Z59" s="47"/>
      <c r="AA59" s="35"/>
      <c r="AB59" s="35"/>
      <c r="AC59" s="35"/>
      <c r="AD59" s="20"/>
      <c r="AE59" s="20"/>
      <c r="AF59" s="20"/>
      <c r="AG59" s="20"/>
      <c r="AH59" s="20"/>
      <c r="AI59" s="20"/>
      <c r="AJ59" s="20"/>
      <c r="AK59" s="46"/>
      <c r="AL59" s="47"/>
      <c r="AM59" s="35"/>
      <c r="AN59" s="35"/>
      <c r="AO59" s="35"/>
      <c r="AP59" s="20"/>
      <c r="AQ59" s="20"/>
      <c r="AR59" s="20"/>
      <c r="AS59" s="20"/>
      <c r="AT59" s="20"/>
      <c r="AU59" s="20"/>
      <c r="AV59" s="20"/>
      <c r="AW59" s="46"/>
      <c r="AX59" s="47"/>
      <c r="AY59" s="35"/>
      <c r="AZ59" s="35"/>
      <c r="BA59" s="35"/>
    </row>
    <row r="60" spans="1:53" s="29" customFormat="1" ht="12.75">
      <c r="A60" s="45">
        <v>1997</v>
      </c>
      <c r="B60" s="48" t="s">
        <v>44</v>
      </c>
      <c r="C60" s="35">
        <f t="shared" si="2"/>
        <v>0.98773432075908352</v>
      </c>
      <c r="D60" s="35">
        <f t="shared" si="3"/>
        <v>0.99094497329928022</v>
      </c>
      <c r="E60" s="35">
        <f t="shared" si="4"/>
        <v>0.99676000925711639</v>
      </c>
      <c r="F60" s="20">
        <v>4321</v>
      </c>
      <c r="G60" s="20">
        <f t="shared" si="11"/>
        <v>14</v>
      </c>
      <c r="H60" s="20">
        <v>4307</v>
      </c>
      <c r="I60" s="20">
        <v>4268</v>
      </c>
      <c r="J60" s="20">
        <f t="shared" si="12"/>
        <v>39</v>
      </c>
      <c r="K60" s="20"/>
      <c r="L60" s="20"/>
      <c r="M60" s="45"/>
      <c r="N60" s="48"/>
      <c r="O60" s="35"/>
      <c r="P60" s="35"/>
      <c r="Q60" s="35"/>
      <c r="R60" s="20"/>
      <c r="S60" s="20"/>
      <c r="T60" s="20"/>
      <c r="U60" s="20"/>
      <c r="V60" s="20"/>
      <c r="W60" s="20"/>
      <c r="X60" s="20"/>
      <c r="Y60" s="45"/>
      <c r="Z60" s="48"/>
      <c r="AA60" s="35"/>
      <c r="AB60" s="35"/>
      <c r="AC60" s="35"/>
      <c r="AD60" s="20"/>
      <c r="AE60" s="20"/>
      <c r="AF60" s="20"/>
      <c r="AG60" s="20"/>
      <c r="AH60" s="20"/>
      <c r="AI60" s="20"/>
      <c r="AJ60" s="20"/>
      <c r="AK60" s="45"/>
      <c r="AL60" s="48"/>
      <c r="AM60" s="35"/>
      <c r="AN60" s="35"/>
      <c r="AO60" s="35"/>
      <c r="AP60" s="20"/>
      <c r="AQ60" s="20"/>
      <c r="AR60" s="20"/>
      <c r="AS60" s="20"/>
      <c r="AT60" s="20"/>
      <c r="AU60" s="20"/>
      <c r="AV60" s="20"/>
      <c r="AW60" s="45"/>
      <c r="AX60" s="48"/>
      <c r="AY60" s="35"/>
      <c r="AZ60" s="35"/>
      <c r="BA60" s="35"/>
    </row>
    <row r="61" spans="1:53" s="29" customFormat="1" ht="12.75">
      <c r="A61" s="46">
        <v>1997</v>
      </c>
      <c r="B61" s="47" t="s">
        <v>45</v>
      </c>
      <c r="C61" s="35">
        <f t="shared" si="2"/>
        <v>0.97815362931642003</v>
      </c>
      <c r="D61" s="35">
        <f t="shared" si="3"/>
        <v>0.99213724088634736</v>
      </c>
      <c r="E61" s="35">
        <f t="shared" si="4"/>
        <v>0.98590556730091616</v>
      </c>
      <c r="F61" s="20">
        <v>4257</v>
      </c>
      <c r="G61" s="20">
        <f t="shared" si="11"/>
        <v>60</v>
      </c>
      <c r="H61" s="20">
        <v>4197</v>
      </c>
      <c r="I61" s="20">
        <v>4164</v>
      </c>
      <c r="J61" s="20">
        <f t="shared" si="12"/>
        <v>33</v>
      </c>
      <c r="K61" s="20"/>
      <c r="L61" s="20"/>
      <c r="M61" s="46"/>
      <c r="N61" s="47"/>
      <c r="O61" s="35"/>
      <c r="P61" s="35"/>
      <c r="Q61" s="35"/>
      <c r="R61" s="20"/>
      <c r="S61" s="20"/>
      <c r="T61" s="20"/>
      <c r="U61" s="20"/>
      <c r="V61" s="20"/>
      <c r="W61" s="20"/>
      <c r="X61" s="20"/>
      <c r="Y61" s="46"/>
      <c r="Z61" s="47"/>
      <c r="AA61" s="35"/>
      <c r="AB61" s="35"/>
      <c r="AC61" s="35"/>
      <c r="AD61" s="20"/>
      <c r="AE61" s="20"/>
      <c r="AF61" s="20"/>
      <c r="AG61" s="20"/>
      <c r="AH61" s="20"/>
      <c r="AI61" s="20"/>
      <c r="AJ61" s="20"/>
      <c r="AK61" s="46"/>
      <c r="AL61" s="47"/>
      <c r="AM61" s="35"/>
      <c r="AN61" s="35"/>
      <c r="AO61" s="35"/>
      <c r="AP61" s="20"/>
      <c r="AQ61" s="20"/>
      <c r="AR61" s="20"/>
      <c r="AS61" s="20"/>
      <c r="AT61" s="20"/>
      <c r="AU61" s="20"/>
      <c r="AV61" s="20"/>
      <c r="AW61" s="46"/>
      <c r="AX61" s="47"/>
      <c r="AY61" s="35"/>
      <c r="AZ61" s="35"/>
      <c r="BA61" s="35"/>
    </row>
    <row r="62" spans="1:53" s="29" customFormat="1" ht="12.75">
      <c r="A62" s="45">
        <v>1997</v>
      </c>
      <c r="B62" s="48" t="s">
        <v>46</v>
      </c>
      <c r="C62" s="35">
        <f t="shared" si="2"/>
        <v>0.99669499527856464</v>
      </c>
      <c r="D62" s="35">
        <f t="shared" si="3"/>
        <v>0.99740137018662889</v>
      </c>
      <c r="E62" s="35">
        <f t="shared" si="4"/>
        <v>0.99929178470254953</v>
      </c>
      <c r="F62" s="20">
        <v>4236</v>
      </c>
      <c r="G62" s="20">
        <f t="shared" si="11"/>
        <v>3</v>
      </c>
      <c r="H62" s="20">
        <v>4233</v>
      </c>
      <c r="I62" s="20">
        <v>4222</v>
      </c>
      <c r="J62" s="20">
        <f t="shared" si="12"/>
        <v>11</v>
      </c>
      <c r="K62" s="20"/>
      <c r="L62" s="20"/>
      <c r="M62" s="45"/>
      <c r="N62" s="48"/>
      <c r="O62" s="35"/>
      <c r="P62" s="35"/>
      <c r="Q62" s="35"/>
      <c r="R62" s="20"/>
      <c r="S62" s="20"/>
      <c r="T62" s="20"/>
      <c r="U62" s="20"/>
      <c r="V62" s="20"/>
      <c r="W62" s="20"/>
      <c r="X62" s="20"/>
      <c r="Y62" s="45"/>
      <c r="Z62" s="48"/>
      <c r="AA62" s="35"/>
      <c r="AB62" s="35"/>
      <c r="AC62" s="35"/>
      <c r="AD62" s="20"/>
      <c r="AE62" s="20"/>
      <c r="AF62" s="20"/>
      <c r="AG62" s="20"/>
      <c r="AH62" s="20"/>
      <c r="AI62" s="20"/>
      <c r="AJ62" s="20"/>
      <c r="AK62" s="45"/>
      <c r="AL62" s="48"/>
      <c r="AM62" s="35"/>
      <c r="AN62" s="35"/>
      <c r="AO62" s="35"/>
      <c r="AP62" s="20"/>
      <c r="AQ62" s="20"/>
      <c r="AR62" s="20"/>
      <c r="AS62" s="20"/>
      <c r="AT62" s="20"/>
      <c r="AU62" s="20"/>
      <c r="AV62" s="20"/>
      <c r="AW62" s="45"/>
      <c r="AX62" s="48"/>
      <c r="AY62" s="35"/>
      <c r="AZ62" s="35"/>
      <c r="BA62" s="35"/>
    </row>
    <row r="63" spans="1:53" s="29" customFormat="1" ht="12.75">
      <c r="A63" s="46">
        <v>1997</v>
      </c>
      <c r="B63" s="47" t="s">
        <v>47</v>
      </c>
      <c r="C63" s="35">
        <f t="shared" si="2"/>
        <v>0.99224806201550386</v>
      </c>
      <c r="D63" s="35">
        <f t="shared" si="3"/>
        <v>0.99497027892089618</v>
      </c>
      <c r="E63" s="35">
        <f t="shared" si="4"/>
        <v>0.99726402188782493</v>
      </c>
      <c r="F63" s="20">
        <v>4386</v>
      </c>
      <c r="G63" s="20">
        <f t="shared" si="11"/>
        <v>12</v>
      </c>
      <c r="H63" s="20">
        <v>4374</v>
      </c>
      <c r="I63" s="20">
        <v>4352</v>
      </c>
      <c r="J63" s="20">
        <f t="shared" si="12"/>
        <v>22</v>
      </c>
      <c r="K63" s="20"/>
      <c r="L63" s="20"/>
      <c r="M63" s="46"/>
      <c r="N63" s="47"/>
      <c r="O63" s="35"/>
      <c r="P63" s="35"/>
      <c r="Q63" s="35"/>
      <c r="R63" s="20"/>
      <c r="S63" s="20"/>
      <c r="T63" s="20"/>
      <c r="U63" s="20"/>
      <c r="V63" s="20"/>
      <c r="W63" s="20"/>
      <c r="X63" s="20"/>
      <c r="Y63" s="46"/>
      <c r="Z63" s="47"/>
      <c r="AA63" s="35"/>
      <c r="AB63" s="35"/>
      <c r="AC63" s="35"/>
      <c r="AD63" s="20"/>
      <c r="AE63" s="20"/>
      <c r="AF63" s="20"/>
      <c r="AG63" s="20"/>
      <c r="AH63" s="20"/>
      <c r="AI63" s="20"/>
      <c r="AJ63" s="20"/>
      <c r="AK63" s="46"/>
      <c r="AL63" s="47"/>
      <c r="AM63" s="35"/>
      <c r="AN63" s="35"/>
      <c r="AO63" s="35"/>
      <c r="AP63" s="20"/>
      <c r="AQ63" s="20"/>
      <c r="AR63" s="20"/>
      <c r="AS63" s="20"/>
      <c r="AT63" s="20"/>
      <c r="AU63" s="20"/>
      <c r="AV63" s="20"/>
      <c r="AW63" s="46"/>
      <c r="AX63" s="47"/>
      <c r="AY63" s="35"/>
      <c r="AZ63" s="35"/>
      <c r="BA63" s="35"/>
    </row>
    <row r="64" spans="1:53" s="29" customFormat="1" ht="12.75">
      <c r="A64" s="45">
        <v>1997</v>
      </c>
      <c r="B64" s="48" t="s">
        <v>48</v>
      </c>
      <c r="C64" s="35">
        <f t="shared" si="2"/>
        <v>0.99090303971599736</v>
      </c>
      <c r="D64" s="35">
        <f t="shared" si="3"/>
        <v>0.99376947040498442</v>
      </c>
      <c r="E64" s="35">
        <f t="shared" si="4"/>
        <v>0.99711559795873084</v>
      </c>
      <c r="F64" s="20">
        <v>4507</v>
      </c>
      <c r="G64" s="20">
        <f t="shared" si="11"/>
        <v>13</v>
      </c>
      <c r="H64" s="20">
        <v>4494</v>
      </c>
      <c r="I64" s="20">
        <v>4466</v>
      </c>
      <c r="J64" s="20">
        <f t="shared" si="12"/>
        <v>28</v>
      </c>
      <c r="K64" s="20"/>
      <c r="L64" s="20"/>
      <c r="M64" s="45"/>
      <c r="N64" s="48"/>
      <c r="O64" s="35"/>
      <c r="P64" s="35"/>
      <c r="Q64" s="35"/>
      <c r="R64" s="20"/>
      <c r="S64" s="20"/>
      <c r="T64" s="20"/>
      <c r="U64" s="20"/>
      <c r="V64" s="20"/>
      <c r="W64" s="20"/>
      <c r="X64" s="20"/>
      <c r="Y64" s="45"/>
      <c r="Z64" s="48"/>
      <c r="AA64" s="35"/>
      <c r="AB64" s="35"/>
      <c r="AC64" s="35"/>
      <c r="AD64" s="20"/>
      <c r="AE64" s="20"/>
      <c r="AF64" s="20"/>
      <c r="AG64" s="20"/>
      <c r="AH64" s="20"/>
      <c r="AI64" s="20"/>
      <c r="AJ64" s="20"/>
      <c r="AK64" s="45"/>
      <c r="AL64" s="48"/>
      <c r="AM64" s="35"/>
      <c r="AN64" s="35"/>
      <c r="AO64" s="35"/>
      <c r="AP64" s="20"/>
      <c r="AQ64" s="20"/>
      <c r="AR64" s="20"/>
      <c r="AS64" s="20"/>
      <c r="AT64" s="20"/>
      <c r="AU64" s="20"/>
      <c r="AV64" s="20"/>
      <c r="AW64" s="45"/>
      <c r="AX64" s="48"/>
      <c r="AY64" s="35"/>
      <c r="AZ64" s="35"/>
      <c r="BA64" s="35"/>
    </row>
    <row r="65" spans="1:53" s="29" customFormat="1" ht="12.75">
      <c r="A65" s="46">
        <v>1997</v>
      </c>
      <c r="B65" s="47" t="s">
        <v>49</v>
      </c>
      <c r="C65" s="35">
        <f t="shared" si="2"/>
        <v>0.99454446262956897</v>
      </c>
      <c r="D65" s="35">
        <f t="shared" si="3"/>
        <v>0.99781061850027364</v>
      </c>
      <c r="E65" s="35">
        <f t="shared" si="4"/>
        <v>0.99672667757774136</v>
      </c>
      <c r="F65" s="20">
        <v>5499</v>
      </c>
      <c r="G65" s="20">
        <f t="shared" si="11"/>
        <v>18</v>
      </c>
      <c r="H65" s="20">
        <v>5481</v>
      </c>
      <c r="I65" s="20">
        <v>5469</v>
      </c>
      <c r="J65" s="20">
        <f t="shared" si="12"/>
        <v>12</v>
      </c>
      <c r="K65" s="20"/>
      <c r="L65" s="20"/>
      <c r="M65" s="46"/>
      <c r="N65" s="47"/>
      <c r="O65" s="35"/>
      <c r="P65" s="35"/>
      <c r="Q65" s="35"/>
      <c r="R65" s="20"/>
      <c r="S65" s="20"/>
      <c r="T65" s="20"/>
      <c r="U65" s="20"/>
      <c r="V65" s="20"/>
      <c r="W65" s="20"/>
      <c r="X65" s="20"/>
      <c r="Y65" s="46"/>
      <c r="Z65" s="47"/>
      <c r="AA65" s="35"/>
      <c r="AB65" s="35"/>
      <c r="AC65" s="35"/>
      <c r="AD65" s="20"/>
      <c r="AE65" s="20"/>
      <c r="AF65" s="20"/>
      <c r="AG65" s="20"/>
      <c r="AH65" s="20"/>
      <c r="AI65" s="20"/>
      <c r="AJ65" s="20"/>
      <c r="AK65" s="46"/>
      <c r="AL65" s="47"/>
      <c r="AM65" s="35"/>
      <c r="AN65" s="35"/>
      <c r="AO65" s="35"/>
      <c r="AP65" s="20"/>
      <c r="AQ65" s="20"/>
      <c r="AR65" s="20"/>
      <c r="AS65" s="20"/>
      <c r="AT65" s="20"/>
      <c r="AU65" s="20"/>
      <c r="AV65" s="20"/>
      <c r="AW65" s="46"/>
      <c r="AX65" s="47"/>
      <c r="AY65" s="35"/>
      <c r="AZ65" s="35"/>
      <c r="BA65" s="35"/>
    </row>
    <row r="66" spans="1:53" s="29" customFormat="1" ht="12.75">
      <c r="A66" s="45">
        <v>1998</v>
      </c>
      <c r="B66" s="48" t="s">
        <v>38</v>
      </c>
      <c r="C66" s="35">
        <f t="shared" si="2"/>
        <v>0.96135265700483097</v>
      </c>
      <c r="D66" s="35">
        <f t="shared" si="3"/>
        <v>0.99448561089091847</v>
      </c>
      <c r="E66" s="35">
        <f t="shared" si="4"/>
        <v>0.96668332500416454</v>
      </c>
      <c r="F66" s="20">
        <v>6003</v>
      </c>
      <c r="G66" s="20">
        <f t="shared" ref="G66:G77" si="13">F66-H66</f>
        <v>200</v>
      </c>
      <c r="H66" s="20">
        <v>5803</v>
      </c>
      <c r="I66" s="20">
        <v>5771</v>
      </c>
      <c r="J66" s="20">
        <f t="shared" ref="J66:J77" si="14">H66-I66</f>
        <v>32</v>
      </c>
      <c r="K66" s="20"/>
      <c r="L66" s="20"/>
      <c r="M66" s="45"/>
      <c r="N66" s="48"/>
      <c r="O66" s="35"/>
      <c r="P66" s="35"/>
      <c r="Q66" s="35"/>
      <c r="R66" s="20"/>
      <c r="S66" s="20"/>
      <c r="T66" s="20"/>
      <c r="U66" s="20"/>
      <c r="V66" s="20"/>
      <c r="W66" s="20"/>
      <c r="X66" s="20"/>
      <c r="Y66" s="45"/>
      <c r="Z66" s="48"/>
      <c r="AA66" s="35"/>
      <c r="AB66" s="35"/>
      <c r="AC66" s="35"/>
      <c r="AD66" s="20"/>
      <c r="AE66" s="20"/>
      <c r="AF66" s="20"/>
      <c r="AG66" s="20"/>
      <c r="AH66" s="20"/>
      <c r="AI66" s="20"/>
      <c r="AJ66" s="20"/>
      <c r="AK66" s="45"/>
      <c r="AL66" s="48"/>
      <c r="AM66" s="35"/>
      <c r="AN66" s="35"/>
      <c r="AO66" s="35"/>
      <c r="AP66" s="20"/>
      <c r="AQ66" s="20"/>
      <c r="AR66" s="20"/>
      <c r="AS66" s="20"/>
      <c r="AT66" s="20"/>
      <c r="AU66" s="20"/>
      <c r="AV66" s="20"/>
      <c r="AW66" s="45"/>
      <c r="AX66" s="48"/>
      <c r="AY66" s="35"/>
      <c r="AZ66" s="35"/>
      <c r="BA66" s="35"/>
    </row>
    <row r="67" spans="1:53" s="29" customFormat="1" ht="12.75">
      <c r="A67" s="46">
        <v>1998</v>
      </c>
      <c r="B67" s="47" t="s">
        <v>39</v>
      </c>
      <c r="C67" s="35">
        <f t="shared" si="2"/>
        <v>0.99707815924032139</v>
      </c>
      <c r="D67" s="35">
        <f t="shared" si="3"/>
        <v>0.99798939864741365</v>
      </c>
      <c r="E67" s="35">
        <f t="shared" si="4"/>
        <v>0.99908692476260041</v>
      </c>
      <c r="F67" s="20">
        <v>5476</v>
      </c>
      <c r="G67" s="20">
        <f t="shared" si="13"/>
        <v>5</v>
      </c>
      <c r="H67" s="20">
        <v>5471</v>
      </c>
      <c r="I67" s="20">
        <v>5460</v>
      </c>
      <c r="J67" s="20">
        <f t="shared" si="14"/>
        <v>11</v>
      </c>
      <c r="K67" s="20"/>
      <c r="L67" s="20"/>
      <c r="M67" s="46"/>
      <c r="N67" s="47"/>
      <c r="O67" s="35"/>
      <c r="P67" s="35"/>
      <c r="Q67" s="35"/>
      <c r="R67" s="20"/>
      <c r="S67" s="20"/>
      <c r="T67" s="20"/>
      <c r="U67" s="20"/>
      <c r="V67" s="20"/>
      <c r="W67" s="20"/>
      <c r="X67" s="20"/>
      <c r="Y67" s="46"/>
      <c r="Z67" s="47"/>
      <c r="AA67" s="35"/>
      <c r="AB67" s="35"/>
      <c r="AC67" s="35"/>
      <c r="AD67" s="20"/>
      <c r="AE67" s="20"/>
      <c r="AF67" s="20"/>
      <c r="AG67" s="20"/>
      <c r="AH67" s="20"/>
      <c r="AI67" s="20"/>
      <c r="AJ67" s="20"/>
      <c r="AK67" s="46"/>
      <c r="AL67" s="47"/>
      <c r="AM67" s="35"/>
      <c r="AN67" s="35"/>
      <c r="AO67" s="35"/>
      <c r="AP67" s="20"/>
      <c r="AQ67" s="20"/>
      <c r="AR67" s="20"/>
      <c r="AS67" s="20"/>
      <c r="AT67" s="20"/>
      <c r="AU67" s="20"/>
      <c r="AV67" s="20"/>
      <c r="AW67" s="46"/>
      <c r="AX67" s="47"/>
      <c r="AY67" s="35"/>
      <c r="AZ67" s="35"/>
      <c r="BA67" s="35"/>
    </row>
    <row r="68" spans="1:53" s="29" customFormat="1" ht="12.75">
      <c r="A68" s="45">
        <v>1998</v>
      </c>
      <c r="B68" s="48" t="s">
        <v>40</v>
      </c>
      <c r="C68" s="35">
        <f t="shared" si="2"/>
        <v>0.99303944315545245</v>
      </c>
      <c r="D68" s="35">
        <f t="shared" si="3"/>
        <v>0.99601063829787229</v>
      </c>
      <c r="E68" s="35">
        <f t="shared" si="4"/>
        <v>0.99701690420947964</v>
      </c>
      <c r="F68" s="20">
        <v>6034</v>
      </c>
      <c r="G68" s="20">
        <f t="shared" si="13"/>
        <v>18</v>
      </c>
      <c r="H68" s="20">
        <v>6016</v>
      </c>
      <c r="I68" s="20">
        <v>5992</v>
      </c>
      <c r="J68" s="20">
        <f t="shared" si="14"/>
        <v>24</v>
      </c>
      <c r="K68" s="20"/>
      <c r="L68" s="20"/>
      <c r="M68" s="45"/>
      <c r="N68" s="48"/>
      <c r="O68" s="35"/>
      <c r="P68" s="35"/>
      <c r="Q68" s="35"/>
      <c r="R68" s="20"/>
      <c r="S68" s="20"/>
      <c r="T68" s="20"/>
      <c r="U68" s="20"/>
      <c r="V68" s="20"/>
      <c r="W68" s="20"/>
      <c r="X68" s="20"/>
      <c r="Y68" s="45"/>
      <c r="Z68" s="48"/>
      <c r="AA68" s="35"/>
      <c r="AB68" s="35"/>
      <c r="AC68" s="35"/>
      <c r="AD68" s="20"/>
      <c r="AE68" s="20"/>
      <c r="AF68" s="20"/>
      <c r="AG68" s="20"/>
      <c r="AH68" s="20"/>
      <c r="AI68" s="20"/>
      <c r="AJ68" s="20"/>
      <c r="AK68" s="45"/>
      <c r="AL68" s="48"/>
      <c r="AM68" s="35"/>
      <c r="AN68" s="35"/>
      <c r="AO68" s="35"/>
      <c r="AP68" s="20"/>
      <c r="AQ68" s="20"/>
      <c r="AR68" s="20"/>
      <c r="AS68" s="20"/>
      <c r="AT68" s="20"/>
      <c r="AU68" s="20"/>
      <c r="AV68" s="20"/>
      <c r="AW68" s="45"/>
      <c r="AX68" s="48"/>
      <c r="AY68" s="35"/>
      <c r="AZ68" s="35"/>
      <c r="BA68" s="35"/>
    </row>
    <row r="69" spans="1:53" s="29" customFormat="1" ht="12.75">
      <c r="A69" s="46">
        <v>1998</v>
      </c>
      <c r="B69" s="47" t="s">
        <v>41</v>
      </c>
      <c r="C69" s="35">
        <f t="shared" si="2"/>
        <v>0.99227467811158798</v>
      </c>
      <c r="D69" s="35">
        <f t="shared" si="3"/>
        <v>0.99483648881239239</v>
      </c>
      <c r="E69" s="35">
        <f t="shared" si="4"/>
        <v>0.9974248927038627</v>
      </c>
      <c r="F69" s="20">
        <v>5825</v>
      </c>
      <c r="G69" s="20">
        <f t="shared" si="13"/>
        <v>15</v>
      </c>
      <c r="H69" s="20">
        <v>5810</v>
      </c>
      <c r="I69" s="20">
        <v>5780</v>
      </c>
      <c r="J69" s="20">
        <f t="shared" si="14"/>
        <v>30</v>
      </c>
      <c r="K69" s="20"/>
      <c r="L69" s="20"/>
      <c r="M69" s="46"/>
      <c r="N69" s="47"/>
      <c r="O69" s="35"/>
      <c r="P69" s="35"/>
      <c r="Q69" s="35"/>
      <c r="R69" s="20"/>
      <c r="S69" s="20"/>
      <c r="T69" s="20"/>
      <c r="U69" s="20"/>
      <c r="V69" s="20"/>
      <c r="W69" s="20"/>
      <c r="X69" s="20"/>
      <c r="Y69" s="46"/>
      <c r="Z69" s="47"/>
      <c r="AA69" s="35"/>
      <c r="AB69" s="35"/>
      <c r="AC69" s="35"/>
      <c r="AD69" s="20"/>
      <c r="AE69" s="20"/>
      <c r="AF69" s="20"/>
      <c r="AG69" s="20"/>
      <c r="AH69" s="20"/>
      <c r="AI69" s="20"/>
      <c r="AJ69" s="20"/>
      <c r="AK69" s="46"/>
      <c r="AL69" s="47"/>
      <c r="AM69" s="35"/>
      <c r="AN69" s="35"/>
      <c r="AO69" s="35"/>
      <c r="AP69" s="20"/>
      <c r="AQ69" s="20"/>
      <c r="AR69" s="20"/>
      <c r="AS69" s="20"/>
      <c r="AT69" s="20"/>
      <c r="AU69" s="20"/>
      <c r="AV69" s="20"/>
      <c r="AW69" s="46"/>
      <c r="AX69" s="47"/>
      <c r="AY69" s="35"/>
      <c r="AZ69" s="35"/>
      <c r="BA69" s="35"/>
    </row>
    <row r="70" spans="1:53" s="29" customFormat="1" ht="12.75">
      <c r="A70" s="45">
        <v>1998</v>
      </c>
      <c r="B70" s="48" t="s">
        <v>42</v>
      </c>
      <c r="C70" s="35">
        <f t="shared" si="2"/>
        <v>0.99132505528151049</v>
      </c>
      <c r="D70" s="35">
        <f t="shared" si="3"/>
        <v>0.9952185792349727</v>
      </c>
      <c r="E70" s="35">
        <f t="shared" si="4"/>
        <v>0.99608777002891646</v>
      </c>
      <c r="F70" s="20">
        <v>5879</v>
      </c>
      <c r="G70" s="20">
        <f t="shared" si="13"/>
        <v>23</v>
      </c>
      <c r="H70" s="20">
        <v>5856</v>
      </c>
      <c r="I70" s="20">
        <v>5828</v>
      </c>
      <c r="J70" s="20">
        <f t="shared" si="14"/>
        <v>28</v>
      </c>
      <c r="K70" s="20"/>
      <c r="L70" s="20"/>
      <c r="M70" s="45"/>
      <c r="N70" s="48"/>
      <c r="O70" s="35"/>
      <c r="P70" s="35"/>
      <c r="Q70" s="35"/>
      <c r="R70" s="20"/>
      <c r="S70" s="20"/>
      <c r="T70" s="20"/>
      <c r="U70" s="20"/>
      <c r="V70" s="20"/>
      <c r="W70" s="20"/>
      <c r="X70" s="20"/>
      <c r="Y70" s="45"/>
      <c r="Z70" s="48"/>
      <c r="AA70" s="35"/>
      <c r="AB70" s="35"/>
      <c r="AC70" s="35"/>
      <c r="AD70" s="20"/>
      <c r="AE70" s="20"/>
      <c r="AF70" s="20"/>
      <c r="AG70" s="20"/>
      <c r="AH70" s="20"/>
      <c r="AI70" s="20"/>
      <c r="AJ70" s="20"/>
      <c r="AK70" s="45"/>
      <c r="AL70" s="48"/>
      <c r="AM70" s="35"/>
      <c r="AN70" s="35"/>
      <c r="AO70" s="35"/>
      <c r="AP70" s="20"/>
      <c r="AQ70" s="20"/>
      <c r="AR70" s="20"/>
      <c r="AS70" s="20"/>
      <c r="AT70" s="20"/>
      <c r="AU70" s="20"/>
      <c r="AV70" s="20"/>
      <c r="AW70" s="45"/>
      <c r="AX70" s="48"/>
      <c r="AY70" s="35"/>
      <c r="AZ70" s="35"/>
      <c r="BA70" s="35"/>
    </row>
    <row r="71" spans="1:53" s="29" customFormat="1" ht="12.75">
      <c r="A71" s="46">
        <v>1998</v>
      </c>
      <c r="B71" s="47" t="s">
        <v>43</v>
      </c>
      <c r="C71" s="35">
        <f t="shared" ref="C71:C134" si="15">I71/F71</f>
        <v>0.98951529735304233</v>
      </c>
      <c r="D71" s="35">
        <f t="shared" ref="D71:D134" si="16">I71/H71</f>
        <v>0.99241510084468199</v>
      </c>
      <c r="E71" s="35">
        <f t="shared" ref="E71:E134" si="17">H71/F71</f>
        <v>0.99707803368855275</v>
      </c>
      <c r="F71" s="20">
        <v>5818</v>
      </c>
      <c r="G71" s="20">
        <f t="shared" si="13"/>
        <v>17</v>
      </c>
      <c r="H71" s="20">
        <v>5801</v>
      </c>
      <c r="I71" s="20">
        <v>5757</v>
      </c>
      <c r="J71" s="20">
        <f t="shared" si="14"/>
        <v>44</v>
      </c>
      <c r="K71" s="20"/>
      <c r="L71" s="20"/>
      <c r="M71" s="46"/>
      <c r="N71" s="47"/>
      <c r="O71" s="35"/>
      <c r="P71" s="35"/>
      <c r="Q71" s="35"/>
      <c r="R71" s="20"/>
      <c r="S71" s="20"/>
      <c r="T71" s="20"/>
      <c r="U71" s="20"/>
      <c r="V71" s="20"/>
      <c r="W71" s="20"/>
      <c r="X71" s="20"/>
      <c r="Y71" s="46"/>
      <c r="Z71" s="47"/>
      <c r="AA71" s="35"/>
      <c r="AB71" s="35"/>
      <c r="AC71" s="35"/>
      <c r="AD71" s="20"/>
      <c r="AE71" s="20"/>
      <c r="AF71" s="20"/>
      <c r="AG71" s="20"/>
      <c r="AH71" s="20"/>
      <c r="AI71" s="20"/>
      <c r="AJ71" s="20"/>
      <c r="AK71" s="46"/>
      <c r="AL71" s="47"/>
      <c r="AM71" s="35"/>
      <c r="AN71" s="35"/>
      <c r="AO71" s="35"/>
      <c r="AP71" s="20"/>
      <c r="AQ71" s="20"/>
      <c r="AR71" s="20"/>
      <c r="AS71" s="20"/>
      <c r="AT71" s="20"/>
      <c r="AU71" s="20"/>
      <c r="AV71" s="20"/>
      <c r="AW71" s="46"/>
      <c r="AX71" s="47"/>
      <c r="AY71" s="35"/>
      <c r="AZ71" s="35"/>
      <c r="BA71" s="35"/>
    </row>
    <row r="72" spans="1:53" s="29" customFormat="1" ht="12.75">
      <c r="A72" s="45">
        <v>1998</v>
      </c>
      <c r="B72" s="48" t="s">
        <v>44</v>
      </c>
      <c r="C72" s="35">
        <f t="shared" si="15"/>
        <v>0.99096583442838371</v>
      </c>
      <c r="D72" s="35">
        <f t="shared" si="16"/>
        <v>0.99390444810543654</v>
      </c>
      <c r="E72" s="35">
        <f t="shared" si="17"/>
        <v>0.9970433639947438</v>
      </c>
      <c r="F72" s="20">
        <v>6088</v>
      </c>
      <c r="G72" s="20">
        <f t="shared" si="13"/>
        <v>18</v>
      </c>
      <c r="H72" s="20">
        <v>6070</v>
      </c>
      <c r="I72" s="20">
        <v>6033</v>
      </c>
      <c r="J72" s="20">
        <f t="shared" si="14"/>
        <v>37</v>
      </c>
      <c r="K72" s="20"/>
      <c r="L72" s="20"/>
      <c r="M72" s="45"/>
      <c r="N72" s="48"/>
      <c r="O72" s="35"/>
      <c r="P72" s="35"/>
      <c r="Q72" s="35"/>
      <c r="R72" s="20"/>
      <c r="S72" s="20"/>
      <c r="T72" s="20"/>
      <c r="U72" s="20"/>
      <c r="V72" s="20"/>
      <c r="W72" s="20"/>
      <c r="X72" s="20"/>
      <c r="Y72" s="45"/>
      <c r="Z72" s="48"/>
      <c r="AA72" s="35"/>
      <c r="AB72" s="35"/>
      <c r="AC72" s="35"/>
      <c r="AD72" s="20"/>
      <c r="AE72" s="20"/>
      <c r="AF72" s="20"/>
      <c r="AG72" s="20"/>
      <c r="AH72" s="20"/>
      <c r="AI72" s="20"/>
      <c r="AJ72" s="20"/>
      <c r="AK72" s="45"/>
      <c r="AL72" s="48"/>
      <c r="AM72" s="35"/>
      <c r="AN72" s="35"/>
      <c r="AO72" s="35"/>
      <c r="AP72" s="20"/>
      <c r="AQ72" s="20"/>
      <c r="AR72" s="20"/>
      <c r="AS72" s="20"/>
      <c r="AT72" s="20"/>
      <c r="AU72" s="20"/>
      <c r="AV72" s="20"/>
      <c r="AW72" s="45"/>
      <c r="AX72" s="48"/>
      <c r="AY72" s="35"/>
      <c r="AZ72" s="35"/>
      <c r="BA72" s="35"/>
    </row>
    <row r="73" spans="1:53" s="29" customFormat="1" ht="12.75">
      <c r="A73" s="46">
        <v>1998</v>
      </c>
      <c r="B73" s="47" t="s">
        <v>45</v>
      </c>
      <c r="C73" s="35">
        <f t="shared" si="15"/>
        <v>0.9926666666666667</v>
      </c>
      <c r="D73" s="35">
        <f t="shared" si="16"/>
        <v>0.99432387312186976</v>
      </c>
      <c r="E73" s="35">
        <f t="shared" si="17"/>
        <v>0.99833333333333329</v>
      </c>
      <c r="F73" s="20">
        <v>6000</v>
      </c>
      <c r="G73" s="20">
        <f t="shared" si="13"/>
        <v>10</v>
      </c>
      <c r="H73" s="20">
        <v>5990</v>
      </c>
      <c r="I73" s="20">
        <v>5956</v>
      </c>
      <c r="J73" s="20">
        <f t="shared" si="14"/>
        <v>34</v>
      </c>
      <c r="K73" s="20"/>
      <c r="L73" s="20"/>
      <c r="M73" s="46"/>
      <c r="N73" s="47"/>
      <c r="O73" s="35"/>
      <c r="P73" s="35"/>
      <c r="Q73" s="35"/>
      <c r="R73" s="20"/>
      <c r="S73" s="20"/>
      <c r="T73" s="20"/>
      <c r="U73" s="20"/>
      <c r="V73" s="20"/>
      <c r="W73" s="20"/>
      <c r="X73" s="20"/>
      <c r="Y73" s="46"/>
      <c r="Z73" s="47"/>
      <c r="AA73" s="35"/>
      <c r="AB73" s="35"/>
      <c r="AC73" s="35"/>
      <c r="AD73" s="20"/>
      <c r="AE73" s="20"/>
      <c r="AF73" s="20"/>
      <c r="AG73" s="20"/>
      <c r="AH73" s="20"/>
      <c r="AI73" s="20"/>
      <c r="AJ73" s="20"/>
      <c r="AK73" s="46"/>
      <c r="AL73" s="47"/>
      <c r="AM73" s="35"/>
      <c r="AN73" s="35"/>
      <c r="AO73" s="35"/>
      <c r="AP73" s="20"/>
      <c r="AQ73" s="20"/>
      <c r="AR73" s="20"/>
      <c r="AS73" s="20"/>
      <c r="AT73" s="20"/>
      <c r="AU73" s="20"/>
      <c r="AV73" s="20"/>
      <c r="AW73" s="46"/>
      <c r="AX73" s="47"/>
      <c r="AY73" s="35"/>
      <c r="AZ73" s="35"/>
      <c r="BA73" s="35"/>
    </row>
    <row r="74" spans="1:53" s="29" customFormat="1" ht="12.75">
      <c r="A74" s="45">
        <v>1998</v>
      </c>
      <c r="B74" s="48" t="s">
        <v>46</v>
      </c>
      <c r="C74" s="35">
        <f t="shared" si="15"/>
        <v>0.99195979899497488</v>
      </c>
      <c r="D74" s="35">
        <f t="shared" si="16"/>
        <v>0.99295774647887325</v>
      </c>
      <c r="E74" s="35">
        <f t="shared" si="17"/>
        <v>0.99899497487437183</v>
      </c>
      <c r="F74" s="20">
        <v>5970</v>
      </c>
      <c r="G74" s="20">
        <f t="shared" si="13"/>
        <v>6</v>
      </c>
      <c r="H74" s="20">
        <v>5964</v>
      </c>
      <c r="I74" s="20">
        <v>5922</v>
      </c>
      <c r="J74" s="20">
        <f t="shared" si="14"/>
        <v>42</v>
      </c>
      <c r="K74" s="20"/>
      <c r="L74" s="20"/>
      <c r="M74" s="45"/>
      <c r="N74" s="48"/>
      <c r="O74" s="35"/>
      <c r="P74" s="35"/>
      <c r="Q74" s="35"/>
      <c r="R74" s="20"/>
      <c r="S74" s="20"/>
      <c r="T74" s="20"/>
      <c r="U74" s="20"/>
      <c r="V74" s="20"/>
      <c r="W74" s="20"/>
      <c r="X74" s="20"/>
      <c r="Y74" s="45"/>
      <c r="Z74" s="48"/>
      <c r="AA74" s="35"/>
      <c r="AB74" s="35"/>
      <c r="AC74" s="35"/>
      <c r="AD74" s="20"/>
      <c r="AE74" s="20"/>
      <c r="AF74" s="20"/>
      <c r="AG74" s="20"/>
      <c r="AH74" s="20"/>
      <c r="AI74" s="20"/>
      <c r="AJ74" s="20"/>
      <c r="AK74" s="45"/>
      <c r="AL74" s="48"/>
      <c r="AM74" s="35"/>
      <c r="AN74" s="35"/>
      <c r="AO74" s="35"/>
      <c r="AP74" s="20"/>
      <c r="AQ74" s="20"/>
      <c r="AR74" s="20"/>
      <c r="AS74" s="20"/>
      <c r="AT74" s="20"/>
      <c r="AU74" s="20"/>
      <c r="AV74" s="20"/>
      <c r="AW74" s="45"/>
      <c r="AX74" s="48"/>
      <c r="AY74" s="35"/>
      <c r="AZ74" s="35"/>
      <c r="BA74" s="35"/>
    </row>
    <row r="75" spans="1:53" s="29" customFormat="1" ht="12.75">
      <c r="A75" s="46">
        <v>1998</v>
      </c>
      <c r="B75" s="47" t="s">
        <v>47</v>
      </c>
      <c r="C75" s="35">
        <f t="shared" si="15"/>
        <v>0.99422156182928845</v>
      </c>
      <c r="D75" s="35">
        <f t="shared" si="16"/>
        <v>0.99603043334435992</v>
      </c>
      <c r="E75" s="35">
        <f t="shared" si="17"/>
        <v>0.99818391943206208</v>
      </c>
      <c r="F75" s="20">
        <v>6057</v>
      </c>
      <c r="G75" s="20">
        <f t="shared" si="13"/>
        <v>11</v>
      </c>
      <c r="H75" s="20">
        <v>6046</v>
      </c>
      <c r="I75" s="20">
        <v>6022</v>
      </c>
      <c r="J75" s="20">
        <f t="shared" si="14"/>
        <v>24</v>
      </c>
      <c r="K75" s="20"/>
      <c r="L75" s="20"/>
      <c r="M75" s="46"/>
      <c r="N75" s="47"/>
      <c r="O75" s="35"/>
      <c r="P75" s="35"/>
      <c r="Q75" s="35"/>
      <c r="R75" s="20"/>
      <c r="S75" s="20"/>
      <c r="T75" s="20"/>
      <c r="U75" s="20"/>
      <c r="V75" s="20"/>
      <c r="W75" s="20"/>
      <c r="X75" s="20"/>
      <c r="Y75" s="46"/>
      <c r="Z75" s="47"/>
      <c r="AA75" s="35"/>
      <c r="AB75" s="35"/>
      <c r="AC75" s="35"/>
      <c r="AD75" s="20"/>
      <c r="AE75" s="20"/>
      <c r="AF75" s="20"/>
      <c r="AG75" s="20"/>
      <c r="AH75" s="20"/>
      <c r="AI75" s="20"/>
      <c r="AJ75" s="20"/>
      <c r="AK75" s="46"/>
      <c r="AL75" s="47"/>
      <c r="AM75" s="35"/>
      <c r="AN75" s="35"/>
      <c r="AO75" s="35"/>
      <c r="AP75" s="20"/>
      <c r="AQ75" s="20"/>
      <c r="AR75" s="20"/>
      <c r="AS75" s="20"/>
      <c r="AT75" s="20"/>
      <c r="AU75" s="20"/>
      <c r="AV75" s="20"/>
      <c r="AW75" s="46"/>
      <c r="AX75" s="47"/>
      <c r="AY75" s="35"/>
      <c r="AZ75" s="35"/>
      <c r="BA75" s="35"/>
    </row>
    <row r="76" spans="1:53" s="29" customFormat="1" ht="12.75">
      <c r="A76" s="45">
        <v>1998</v>
      </c>
      <c r="B76" s="48" t="s">
        <v>48</v>
      </c>
      <c r="C76" s="35">
        <f t="shared" si="15"/>
        <v>0.9947395214661463</v>
      </c>
      <c r="D76" s="35">
        <f t="shared" si="16"/>
        <v>0.9971083517605035</v>
      </c>
      <c r="E76" s="35">
        <f t="shared" si="17"/>
        <v>0.99762430001696933</v>
      </c>
      <c r="F76" s="20">
        <v>5893</v>
      </c>
      <c r="G76" s="20">
        <f t="shared" si="13"/>
        <v>14</v>
      </c>
      <c r="H76" s="20">
        <v>5879</v>
      </c>
      <c r="I76" s="20">
        <v>5862</v>
      </c>
      <c r="J76" s="20">
        <f t="shared" si="14"/>
        <v>17</v>
      </c>
      <c r="K76" s="20"/>
      <c r="L76" s="20"/>
      <c r="M76" s="45"/>
      <c r="N76" s="48"/>
      <c r="O76" s="35"/>
      <c r="P76" s="35"/>
      <c r="Q76" s="35"/>
      <c r="R76" s="20"/>
      <c r="S76" s="20"/>
      <c r="T76" s="20"/>
      <c r="U76" s="20"/>
      <c r="V76" s="20"/>
      <c r="W76" s="20"/>
      <c r="X76" s="20"/>
      <c r="Y76" s="45"/>
      <c r="Z76" s="48"/>
      <c r="AA76" s="35"/>
      <c r="AB76" s="35"/>
      <c r="AC76" s="35"/>
      <c r="AD76" s="20"/>
      <c r="AE76" s="20"/>
      <c r="AF76" s="20"/>
      <c r="AG76" s="20"/>
      <c r="AH76" s="20"/>
      <c r="AI76" s="20"/>
      <c r="AJ76" s="20"/>
      <c r="AK76" s="45"/>
      <c r="AL76" s="48"/>
      <c r="AM76" s="35"/>
      <c r="AN76" s="35"/>
      <c r="AO76" s="35"/>
      <c r="AP76" s="20"/>
      <c r="AQ76" s="20"/>
      <c r="AR76" s="20"/>
      <c r="AS76" s="20"/>
      <c r="AT76" s="20"/>
      <c r="AU76" s="20"/>
      <c r="AV76" s="20"/>
      <c r="AW76" s="45"/>
      <c r="AX76" s="48"/>
      <c r="AY76" s="35"/>
      <c r="AZ76" s="35"/>
      <c r="BA76" s="35"/>
    </row>
    <row r="77" spans="1:53" s="29" customFormat="1" ht="12.75">
      <c r="A77" s="46">
        <v>1998</v>
      </c>
      <c r="B77" s="47" t="s">
        <v>49</v>
      </c>
      <c r="C77" s="35">
        <f t="shared" si="15"/>
        <v>0.95027349577324716</v>
      </c>
      <c r="D77" s="35">
        <f t="shared" si="16"/>
        <v>0.98895980679661899</v>
      </c>
      <c r="E77" s="35">
        <f t="shared" si="17"/>
        <v>0.96088181667495443</v>
      </c>
      <c r="F77" s="20">
        <v>6033</v>
      </c>
      <c r="G77" s="20">
        <f t="shared" si="13"/>
        <v>236</v>
      </c>
      <c r="H77" s="20">
        <v>5797</v>
      </c>
      <c r="I77" s="20">
        <v>5733</v>
      </c>
      <c r="J77" s="20">
        <f t="shared" si="14"/>
        <v>64</v>
      </c>
      <c r="K77" s="20"/>
      <c r="L77" s="20"/>
      <c r="M77" s="46"/>
      <c r="N77" s="47"/>
      <c r="O77" s="35"/>
      <c r="P77" s="35"/>
      <c r="Q77" s="35"/>
      <c r="R77" s="20"/>
      <c r="S77" s="20"/>
      <c r="T77" s="20"/>
      <c r="U77" s="20"/>
      <c r="V77" s="20"/>
      <c r="W77" s="20"/>
      <c r="X77" s="20"/>
      <c r="Y77" s="46"/>
      <c r="Z77" s="47"/>
      <c r="AA77" s="35"/>
      <c r="AB77" s="35"/>
      <c r="AC77" s="35"/>
      <c r="AD77" s="20"/>
      <c r="AE77" s="20"/>
      <c r="AF77" s="20"/>
      <c r="AG77" s="20"/>
      <c r="AH77" s="20"/>
      <c r="AI77" s="20"/>
      <c r="AJ77" s="20"/>
      <c r="AK77" s="46"/>
      <c r="AL77" s="47"/>
      <c r="AM77" s="35"/>
      <c r="AN77" s="35"/>
      <c r="AO77" s="35"/>
      <c r="AP77" s="20"/>
      <c r="AQ77" s="20"/>
      <c r="AR77" s="20"/>
      <c r="AS77" s="20"/>
      <c r="AT77" s="20"/>
      <c r="AU77" s="20"/>
      <c r="AV77" s="20"/>
      <c r="AW77" s="46"/>
      <c r="AX77" s="47"/>
      <c r="AY77" s="35"/>
      <c r="AZ77" s="35"/>
      <c r="BA77" s="35"/>
    </row>
    <row r="78" spans="1:53" s="29" customFormat="1" ht="12.75">
      <c r="A78" s="45">
        <v>1999</v>
      </c>
      <c r="B78" s="48" t="s">
        <v>38</v>
      </c>
      <c r="C78" s="35">
        <f t="shared" si="15"/>
        <v>0.99531772575250832</v>
      </c>
      <c r="D78" s="35">
        <f t="shared" si="16"/>
        <v>0.99698492462311561</v>
      </c>
      <c r="E78" s="35">
        <f t="shared" si="17"/>
        <v>0.99832775919732442</v>
      </c>
      <c r="F78" s="20">
        <v>5980</v>
      </c>
      <c r="G78" s="20">
        <f t="shared" ref="G78:G89" si="18">F78-H78</f>
        <v>10</v>
      </c>
      <c r="H78" s="20">
        <v>5970</v>
      </c>
      <c r="I78" s="20">
        <v>5952</v>
      </c>
      <c r="J78" s="20">
        <f t="shared" ref="J78:J89" si="19">H78-I78</f>
        <v>18</v>
      </c>
      <c r="K78" s="20"/>
      <c r="L78" s="20"/>
      <c r="M78" s="45"/>
      <c r="N78" s="48"/>
      <c r="O78" s="35"/>
      <c r="P78" s="35"/>
      <c r="Q78" s="35"/>
      <c r="R78" s="20"/>
      <c r="S78" s="20"/>
      <c r="T78" s="20"/>
      <c r="U78" s="20"/>
      <c r="V78" s="20"/>
      <c r="W78" s="20"/>
      <c r="X78" s="20"/>
      <c r="Y78" s="45"/>
      <c r="Z78" s="48"/>
      <c r="AA78" s="35"/>
      <c r="AB78" s="35"/>
      <c r="AC78" s="35"/>
      <c r="AD78" s="20"/>
      <c r="AE78" s="20"/>
      <c r="AF78" s="20"/>
      <c r="AG78" s="20"/>
      <c r="AH78" s="20"/>
      <c r="AI78" s="20"/>
      <c r="AJ78" s="20"/>
      <c r="AK78" s="45"/>
      <c r="AL78" s="48"/>
      <c r="AM78" s="35"/>
      <c r="AN78" s="35"/>
      <c r="AO78" s="35"/>
      <c r="AP78" s="20"/>
      <c r="AQ78" s="20"/>
      <c r="AR78" s="20"/>
      <c r="AS78" s="20"/>
      <c r="AT78" s="20"/>
      <c r="AU78" s="20"/>
      <c r="AV78" s="20"/>
      <c r="AW78" s="45"/>
      <c r="AX78" s="48"/>
      <c r="AY78" s="35"/>
      <c r="AZ78" s="35"/>
      <c r="BA78" s="35"/>
    </row>
    <row r="79" spans="1:53" s="29" customFormat="1" ht="12.75">
      <c r="A79" s="46">
        <v>1999</v>
      </c>
      <c r="B79" s="47" t="s">
        <v>39</v>
      </c>
      <c r="C79" s="35">
        <f t="shared" si="15"/>
        <v>0.98863636363636365</v>
      </c>
      <c r="D79" s="35">
        <f t="shared" si="16"/>
        <v>0.99293478260869561</v>
      </c>
      <c r="E79" s="35">
        <f t="shared" si="17"/>
        <v>0.99567099567099571</v>
      </c>
      <c r="F79" s="20">
        <v>5544</v>
      </c>
      <c r="G79" s="20">
        <f t="shared" si="18"/>
        <v>24</v>
      </c>
      <c r="H79" s="20">
        <v>5520</v>
      </c>
      <c r="I79" s="20">
        <v>5481</v>
      </c>
      <c r="J79" s="20">
        <f t="shared" si="19"/>
        <v>39</v>
      </c>
      <c r="K79" s="20"/>
      <c r="L79" s="20"/>
      <c r="M79" s="46"/>
      <c r="N79" s="47"/>
      <c r="O79" s="35"/>
      <c r="P79" s="35"/>
      <c r="Q79" s="35"/>
      <c r="R79" s="20"/>
      <c r="S79" s="20"/>
      <c r="T79" s="20"/>
      <c r="U79" s="20"/>
      <c r="V79" s="20"/>
      <c r="W79" s="20"/>
      <c r="X79" s="20"/>
      <c r="Y79" s="46"/>
      <c r="Z79" s="47"/>
      <c r="AA79" s="35"/>
      <c r="AB79" s="35"/>
      <c r="AC79" s="35"/>
      <c r="AD79" s="20"/>
      <c r="AE79" s="20"/>
      <c r="AF79" s="20"/>
      <c r="AG79" s="20"/>
      <c r="AH79" s="20"/>
      <c r="AI79" s="20"/>
      <c r="AJ79" s="20"/>
      <c r="AK79" s="46"/>
      <c r="AL79" s="47"/>
      <c r="AM79" s="35"/>
      <c r="AN79" s="35"/>
      <c r="AO79" s="35"/>
      <c r="AP79" s="20"/>
      <c r="AQ79" s="20"/>
      <c r="AR79" s="20"/>
      <c r="AS79" s="20"/>
      <c r="AT79" s="20"/>
      <c r="AU79" s="20"/>
      <c r="AV79" s="20"/>
      <c r="AW79" s="46"/>
      <c r="AX79" s="47"/>
      <c r="AY79" s="35"/>
      <c r="AZ79" s="35"/>
      <c r="BA79" s="35"/>
    </row>
    <row r="80" spans="1:53" s="29" customFormat="1" ht="12.75">
      <c r="A80" s="45">
        <v>1999</v>
      </c>
      <c r="B80" s="48" t="s">
        <v>40</v>
      </c>
      <c r="C80" s="35">
        <f t="shared" si="15"/>
        <v>0.99074825515338416</v>
      </c>
      <c r="D80" s="35">
        <f t="shared" si="16"/>
        <v>0.99478487614080835</v>
      </c>
      <c r="E80" s="35">
        <f t="shared" si="17"/>
        <v>0.99594221717253695</v>
      </c>
      <c r="F80" s="20">
        <v>6161</v>
      </c>
      <c r="G80" s="20">
        <f t="shared" si="18"/>
        <v>25</v>
      </c>
      <c r="H80" s="20">
        <v>6136</v>
      </c>
      <c r="I80" s="20">
        <v>6104</v>
      </c>
      <c r="J80" s="20">
        <f t="shared" si="19"/>
        <v>32</v>
      </c>
      <c r="K80" s="20"/>
      <c r="L80" s="20"/>
      <c r="M80" s="45"/>
      <c r="N80" s="48"/>
      <c r="O80" s="35"/>
      <c r="P80" s="35"/>
      <c r="Q80" s="35"/>
      <c r="R80" s="20"/>
      <c r="S80" s="20"/>
      <c r="T80" s="20"/>
      <c r="U80" s="20"/>
      <c r="V80" s="20"/>
      <c r="W80" s="20"/>
      <c r="X80" s="20"/>
      <c r="Y80" s="45"/>
      <c r="Z80" s="48"/>
      <c r="AA80" s="35"/>
      <c r="AB80" s="35"/>
      <c r="AC80" s="35"/>
      <c r="AD80" s="20"/>
      <c r="AE80" s="20"/>
      <c r="AF80" s="20"/>
      <c r="AG80" s="20"/>
      <c r="AH80" s="20"/>
      <c r="AI80" s="20"/>
      <c r="AJ80" s="20"/>
      <c r="AK80" s="45"/>
      <c r="AL80" s="48"/>
      <c r="AM80" s="35"/>
      <c r="AN80" s="35"/>
      <c r="AO80" s="35"/>
      <c r="AP80" s="20"/>
      <c r="AQ80" s="20"/>
      <c r="AR80" s="20"/>
      <c r="AS80" s="20"/>
      <c r="AT80" s="20"/>
      <c r="AU80" s="20"/>
      <c r="AV80" s="20"/>
      <c r="AW80" s="45"/>
      <c r="AX80" s="48"/>
      <c r="AY80" s="35"/>
      <c r="AZ80" s="35"/>
      <c r="BA80" s="35"/>
    </row>
    <row r="81" spans="1:53" s="29" customFormat="1" ht="12.75">
      <c r="A81" s="46">
        <v>1999</v>
      </c>
      <c r="B81" s="47" t="s">
        <v>41</v>
      </c>
      <c r="C81" s="35">
        <f t="shared" si="15"/>
        <v>0.98990071893187259</v>
      </c>
      <c r="D81" s="35">
        <f t="shared" si="16"/>
        <v>0.99125814192663697</v>
      </c>
      <c r="E81" s="35">
        <f t="shared" si="17"/>
        <v>0.99863060595686404</v>
      </c>
      <c r="F81" s="20">
        <v>5842</v>
      </c>
      <c r="G81" s="20">
        <f t="shared" si="18"/>
        <v>8</v>
      </c>
      <c r="H81" s="20">
        <v>5834</v>
      </c>
      <c r="I81" s="20">
        <v>5783</v>
      </c>
      <c r="J81" s="20">
        <f t="shared" si="19"/>
        <v>51</v>
      </c>
      <c r="K81" s="20"/>
      <c r="L81" s="20"/>
      <c r="M81" s="46"/>
      <c r="N81" s="47"/>
      <c r="O81" s="35"/>
      <c r="P81" s="35"/>
      <c r="Q81" s="35"/>
      <c r="R81" s="20"/>
      <c r="S81" s="20"/>
      <c r="T81" s="20"/>
      <c r="U81" s="20"/>
      <c r="V81" s="20"/>
      <c r="W81" s="20"/>
      <c r="X81" s="20"/>
      <c r="Y81" s="46"/>
      <c r="Z81" s="47"/>
      <c r="AA81" s="35"/>
      <c r="AB81" s="35"/>
      <c r="AC81" s="35"/>
      <c r="AD81" s="20"/>
      <c r="AE81" s="20"/>
      <c r="AF81" s="20"/>
      <c r="AG81" s="20"/>
      <c r="AH81" s="20"/>
      <c r="AI81" s="20"/>
      <c r="AJ81" s="20"/>
      <c r="AK81" s="46"/>
      <c r="AL81" s="47"/>
      <c r="AM81" s="35"/>
      <c r="AN81" s="35"/>
      <c r="AO81" s="35"/>
      <c r="AP81" s="20"/>
      <c r="AQ81" s="20"/>
      <c r="AR81" s="20"/>
      <c r="AS81" s="20"/>
      <c r="AT81" s="20"/>
      <c r="AU81" s="20"/>
      <c r="AV81" s="20"/>
      <c r="AW81" s="46"/>
      <c r="AX81" s="47"/>
      <c r="AY81" s="35"/>
      <c r="AZ81" s="35"/>
      <c r="BA81" s="35"/>
    </row>
    <row r="82" spans="1:53" s="29" customFormat="1" ht="12.75">
      <c r="A82" s="45">
        <v>1999</v>
      </c>
      <c r="B82" s="48" t="s">
        <v>42</v>
      </c>
      <c r="C82" s="35">
        <f t="shared" si="15"/>
        <v>0.99208221024258758</v>
      </c>
      <c r="D82" s="35">
        <f t="shared" si="16"/>
        <v>0.99476351351351355</v>
      </c>
      <c r="E82" s="35">
        <f t="shared" si="17"/>
        <v>0.99730458221024254</v>
      </c>
      <c r="F82" s="20">
        <v>5936</v>
      </c>
      <c r="G82" s="20">
        <f t="shared" si="18"/>
        <v>16</v>
      </c>
      <c r="H82" s="20">
        <v>5920</v>
      </c>
      <c r="I82" s="20">
        <v>5889</v>
      </c>
      <c r="J82" s="20">
        <f t="shared" si="19"/>
        <v>31</v>
      </c>
      <c r="K82" s="20"/>
      <c r="L82" s="20"/>
      <c r="M82" s="45"/>
      <c r="N82" s="48"/>
      <c r="O82" s="35"/>
      <c r="P82" s="35"/>
      <c r="Q82" s="35"/>
      <c r="R82" s="20"/>
      <c r="S82" s="20"/>
      <c r="T82" s="20"/>
      <c r="U82" s="20"/>
      <c r="V82" s="20"/>
      <c r="W82" s="20"/>
      <c r="X82" s="20"/>
      <c r="Y82" s="45"/>
      <c r="Z82" s="48"/>
      <c r="AA82" s="35"/>
      <c r="AB82" s="35"/>
      <c r="AC82" s="35"/>
      <c r="AD82" s="20"/>
      <c r="AE82" s="20"/>
      <c r="AF82" s="20"/>
      <c r="AG82" s="20"/>
      <c r="AH82" s="20"/>
      <c r="AI82" s="20"/>
      <c r="AJ82" s="20"/>
      <c r="AK82" s="45"/>
      <c r="AL82" s="48"/>
      <c r="AM82" s="35"/>
      <c r="AN82" s="35"/>
      <c r="AO82" s="35"/>
      <c r="AP82" s="20"/>
      <c r="AQ82" s="20"/>
      <c r="AR82" s="20"/>
      <c r="AS82" s="20"/>
      <c r="AT82" s="20"/>
      <c r="AU82" s="20"/>
      <c r="AV82" s="20"/>
      <c r="AW82" s="45"/>
      <c r="AX82" s="48"/>
      <c r="AY82" s="35"/>
      <c r="AZ82" s="35"/>
      <c r="BA82" s="35"/>
    </row>
    <row r="83" spans="1:53" s="29" customFormat="1" ht="12.75">
      <c r="A83" s="46">
        <v>1999</v>
      </c>
      <c r="B83" s="47" t="s">
        <v>43</v>
      </c>
      <c r="C83" s="35">
        <f t="shared" si="15"/>
        <v>0.99431426602343209</v>
      </c>
      <c r="D83" s="35">
        <f t="shared" si="16"/>
        <v>0.995</v>
      </c>
      <c r="E83" s="35">
        <f t="shared" si="17"/>
        <v>0.99931082012405237</v>
      </c>
      <c r="F83" s="20">
        <v>5804</v>
      </c>
      <c r="G83" s="20">
        <f t="shared" si="18"/>
        <v>4</v>
      </c>
      <c r="H83" s="20">
        <v>5800</v>
      </c>
      <c r="I83" s="20">
        <v>5771</v>
      </c>
      <c r="J83" s="20">
        <f t="shared" si="19"/>
        <v>29</v>
      </c>
      <c r="K83" s="20"/>
      <c r="L83" s="20"/>
      <c r="M83" s="46"/>
      <c r="N83" s="47"/>
      <c r="O83" s="35"/>
      <c r="P83" s="35"/>
      <c r="Q83" s="35"/>
      <c r="R83" s="20"/>
      <c r="S83" s="20"/>
      <c r="T83" s="20"/>
      <c r="U83" s="20"/>
      <c r="V83" s="20"/>
      <c r="W83" s="20"/>
      <c r="X83" s="20"/>
      <c r="Y83" s="46"/>
      <c r="Z83" s="47"/>
      <c r="AA83" s="35"/>
      <c r="AB83" s="35"/>
      <c r="AC83" s="35"/>
      <c r="AD83" s="20"/>
      <c r="AE83" s="20"/>
      <c r="AF83" s="20"/>
      <c r="AG83" s="20"/>
      <c r="AH83" s="20"/>
      <c r="AI83" s="20"/>
      <c r="AJ83" s="20"/>
      <c r="AK83" s="46"/>
      <c r="AL83" s="47"/>
      <c r="AM83" s="35"/>
      <c r="AN83" s="35"/>
      <c r="AO83" s="35"/>
      <c r="AP83" s="20"/>
      <c r="AQ83" s="20"/>
      <c r="AR83" s="20"/>
      <c r="AS83" s="20"/>
      <c r="AT83" s="20"/>
      <c r="AU83" s="20"/>
      <c r="AV83" s="20"/>
      <c r="AW83" s="46"/>
      <c r="AX83" s="47"/>
      <c r="AY83" s="35"/>
      <c r="AZ83" s="35"/>
      <c r="BA83" s="35"/>
    </row>
    <row r="84" spans="1:53" s="29" customFormat="1" ht="12.75">
      <c r="A84" s="45">
        <v>1999</v>
      </c>
      <c r="B84" s="48" t="s">
        <v>44</v>
      </c>
      <c r="C84" s="35">
        <f t="shared" si="15"/>
        <v>0.98039825762289978</v>
      </c>
      <c r="D84" s="35">
        <f t="shared" si="16"/>
        <v>0.98932496075353216</v>
      </c>
      <c r="E84" s="35">
        <f t="shared" si="17"/>
        <v>0.99097697573117616</v>
      </c>
      <c r="F84" s="20">
        <v>6428</v>
      </c>
      <c r="G84" s="20">
        <f t="shared" si="18"/>
        <v>58</v>
      </c>
      <c r="H84" s="20">
        <v>6370</v>
      </c>
      <c r="I84" s="20">
        <v>6302</v>
      </c>
      <c r="J84" s="20">
        <f t="shared" si="19"/>
        <v>68</v>
      </c>
      <c r="K84" s="20"/>
      <c r="L84" s="20"/>
      <c r="M84" s="45"/>
      <c r="N84" s="48"/>
      <c r="O84" s="35"/>
      <c r="P84" s="35"/>
      <c r="Q84" s="35"/>
      <c r="R84" s="20"/>
      <c r="S84" s="20"/>
      <c r="T84" s="20"/>
      <c r="U84" s="20"/>
      <c r="V84" s="20"/>
      <c r="W84" s="20"/>
      <c r="X84" s="20"/>
      <c r="Y84" s="45"/>
      <c r="Z84" s="48"/>
      <c r="AA84" s="35"/>
      <c r="AB84" s="35"/>
      <c r="AC84" s="35"/>
      <c r="AD84" s="20"/>
      <c r="AE84" s="20"/>
      <c r="AF84" s="20"/>
      <c r="AG84" s="20"/>
      <c r="AH84" s="20"/>
      <c r="AI84" s="20"/>
      <c r="AJ84" s="20"/>
      <c r="AK84" s="45"/>
      <c r="AL84" s="48"/>
      <c r="AM84" s="35"/>
      <c r="AN84" s="35"/>
      <c r="AO84" s="35"/>
      <c r="AP84" s="20"/>
      <c r="AQ84" s="20"/>
      <c r="AR84" s="20"/>
      <c r="AS84" s="20"/>
      <c r="AT84" s="20"/>
      <c r="AU84" s="20"/>
      <c r="AV84" s="20"/>
      <c r="AW84" s="45"/>
      <c r="AX84" s="48"/>
      <c r="AY84" s="35"/>
      <c r="AZ84" s="35"/>
      <c r="BA84" s="35"/>
    </row>
    <row r="85" spans="1:53" s="29" customFormat="1" ht="12.75">
      <c r="A85" s="46">
        <v>1999</v>
      </c>
      <c r="B85" s="47" t="s">
        <v>45</v>
      </c>
      <c r="C85" s="35">
        <f t="shared" si="15"/>
        <v>0.96892612338156892</v>
      </c>
      <c r="D85" s="35">
        <f t="shared" si="16"/>
        <v>0.97561349693251531</v>
      </c>
      <c r="E85" s="35">
        <f t="shared" si="17"/>
        <v>0.99314546839299311</v>
      </c>
      <c r="F85" s="20">
        <v>6565</v>
      </c>
      <c r="G85" s="20">
        <f t="shared" si="18"/>
        <v>45</v>
      </c>
      <c r="H85" s="20">
        <v>6520</v>
      </c>
      <c r="I85" s="20">
        <v>6361</v>
      </c>
      <c r="J85" s="20">
        <f t="shared" si="19"/>
        <v>159</v>
      </c>
      <c r="K85" s="20"/>
      <c r="L85" s="20"/>
      <c r="M85" s="46"/>
      <c r="N85" s="47"/>
      <c r="O85" s="35"/>
      <c r="P85" s="35"/>
      <c r="Q85" s="35"/>
      <c r="R85" s="20"/>
      <c r="S85" s="20"/>
      <c r="T85" s="20"/>
      <c r="U85" s="20"/>
      <c r="V85" s="20"/>
      <c r="W85" s="20"/>
      <c r="X85" s="20"/>
      <c r="Y85" s="46"/>
      <c r="Z85" s="47"/>
      <c r="AA85" s="35"/>
      <c r="AB85" s="35"/>
      <c r="AC85" s="35"/>
      <c r="AD85" s="20"/>
      <c r="AE85" s="20"/>
      <c r="AF85" s="20"/>
      <c r="AG85" s="20"/>
      <c r="AH85" s="20"/>
      <c r="AI85" s="20"/>
      <c r="AJ85" s="20"/>
      <c r="AK85" s="46"/>
      <c r="AL85" s="47"/>
      <c r="AM85" s="35"/>
      <c r="AN85" s="35"/>
      <c r="AO85" s="35"/>
      <c r="AP85" s="20"/>
      <c r="AQ85" s="20"/>
      <c r="AR85" s="20"/>
      <c r="AS85" s="20"/>
      <c r="AT85" s="20"/>
      <c r="AU85" s="20"/>
      <c r="AV85" s="20"/>
      <c r="AW85" s="46"/>
      <c r="AX85" s="47"/>
      <c r="AY85" s="35"/>
      <c r="AZ85" s="35"/>
      <c r="BA85" s="35"/>
    </row>
    <row r="86" spans="1:53" s="29" customFormat="1" ht="12.75">
      <c r="A86" s="45">
        <v>1999</v>
      </c>
      <c r="B86" s="48" t="s">
        <v>46</v>
      </c>
      <c r="C86" s="35">
        <f t="shared" si="15"/>
        <v>0.99356420471958318</v>
      </c>
      <c r="D86" s="35">
        <f t="shared" si="16"/>
        <v>0.99478367597422523</v>
      </c>
      <c r="E86" s="35">
        <f t="shared" si="17"/>
        <v>0.99877413423230155</v>
      </c>
      <c r="F86" s="20">
        <v>6526</v>
      </c>
      <c r="G86" s="20">
        <f t="shared" si="18"/>
        <v>8</v>
      </c>
      <c r="H86" s="20">
        <v>6518</v>
      </c>
      <c r="I86" s="20">
        <v>6484</v>
      </c>
      <c r="J86" s="20">
        <f t="shared" si="19"/>
        <v>34</v>
      </c>
      <c r="K86" s="20"/>
      <c r="L86" s="20"/>
      <c r="M86" s="45"/>
      <c r="N86" s="48"/>
      <c r="O86" s="35"/>
      <c r="P86" s="35"/>
      <c r="Q86" s="35"/>
      <c r="R86" s="20"/>
      <c r="S86" s="20"/>
      <c r="T86" s="20"/>
      <c r="U86" s="20"/>
      <c r="V86" s="20"/>
      <c r="W86" s="20"/>
      <c r="X86" s="20"/>
      <c r="Y86" s="45"/>
      <c r="Z86" s="48"/>
      <c r="AA86" s="35"/>
      <c r="AB86" s="35"/>
      <c r="AC86" s="35"/>
      <c r="AD86" s="20"/>
      <c r="AE86" s="20"/>
      <c r="AF86" s="20"/>
      <c r="AG86" s="20"/>
      <c r="AH86" s="20"/>
      <c r="AI86" s="20"/>
      <c r="AJ86" s="20"/>
      <c r="AK86" s="45"/>
      <c r="AL86" s="48"/>
      <c r="AM86" s="35"/>
      <c r="AN86" s="35"/>
      <c r="AO86" s="35"/>
      <c r="AP86" s="20"/>
      <c r="AQ86" s="20"/>
      <c r="AR86" s="20"/>
      <c r="AS86" s="20"/>
      <c r="AT86" s="20"/>
      <c r="AU86" s="20"/>
      <c r="AV86" s="20"/>
      <c r="AW86" s="45"/>
      <c r="AX86" s="48"/>
      <c r="AY86" s="35"/>
      <c r="AZ86" s="35"/>
      <c r="BA86" s="35"/>
    </row>
    <row r="87" spans="1:53" s="29" customFormat="1" ht="12.75">
      <c r="A87" s="46">
        <v>1999</v>
      </c>
      <c r="B87" s="47" t="s">
        <v>47</v>
      </c>
      <c r="C87" s="35">
        <f t="shared" si="15"/>
        <v>0.99294694878871514</v>
      </c>
      <c r="D87" s="35">
        <f t="shared" si="16"/>
        <v>0.99462448164644446</v>
      </c>
      <c r="E87" s="35">
        <f t="shared" si="17"/>
        <v>0.99831340079730146</v>
      </c>
      <c r="F87" s="20">
        <v>6522</v>
      </c>
      <c r="G87" s="20">
        <f t="shared" si="18"/>
        <v>11</v>
      </c>
      <c r="H87" s="20">
        <v>6511</v>
      </c>
      <c r="I87" s="20">
        <v>6476</v>
      </c>
      <c r="J87" s="20">
        <f t="shared" si="19"/>
        <v>35</v>
      </c>
      <c r="K87" s="20"/>
      <c r="L87" s="20"/>
      <c r="M87" s="46"/>
      <c r="N87" s="47"/>
      <c r="O87" s="35"/>
      <c r="P87" s="35"/>
      <c r="Q87" s="35"/>
      <c r="R87" s="20"/>
      <c r="S87" s="20"/>
      <c r="T87" s="20"/>
      <c r="U87" s="20"/>
      <c r="V87" s="20"/>
      <c r="W87" s="20"/>
      <c r="X87" s="20"/>
      <c r="Y87" s="46"/>
      <c r="Z87" s="47"/>
      <c r="AA87" s="35"/>
      <c r="AB87" s="35"/>
      <c r="AC87" s="35"/>
      <c r="AD87" s="20"/>
      <c r="AE87" s="20"/>
      <c r="AF87" s="20"/>
      <c r="AG87" s="20"/>
      <c r="AH87" s="20"/>
      <c r="AI87" s="20"/>
      <c r="AJ87" s="20"/>
      <c r="AK87" s="46"/>
      <c r="AL87" s="47"/>
      <c r="AM87" s="35"/>
      <c r="AN87" s="35"/>
      <c r="AO87" s="35"/>
      <c r="AP87" s="20"/>
      <c r="AQ87" s="20"/>
      <c r="AR87" s="20"/>
      <c r="AS87" s="20"/>
      <c r="AT87" s="20"/>
      <c r="AU87" s="20"/>
      <c r="AV87" s="20"/>
      <c r="AW87" s="46"/>
      <c r="AX87" s="47"/>
      <c r="AY87" s="35"/>
      <c r="AZ87" s="35"/>
      <c r="BA87" s="35"/>
    </row>
    <row r="88" spans="1:53" s="29" customFormat="1" ht="12.75">
      <c r="A88" s="45">
        <v>1999</v>
      </c>
      <c r="B88" s="48" t="s">
        <v>48</v>
      </c>
      <c r="C88" s="35">
        <f t="shared" si="15"/>
        <v>0.9973942366646229</v>
      </c>
      <c r="D88" s="35">
        <f t="shared" si="16"/>
        <v>0.99846555163418749</v>
      </c>
      <c r="E88" s="35">
        <f t="shared" si="17"/>
        <v>0.99892703862660948</v>
      </c>
      <c r="F88" s="20">
        <v>6524</v>
      </c>
      <c r="G88" s="20">
        <f t="shared" si="18"/>
        <v>7</v>
      </c>
      <c r="H88" s="20">
        <v>6517</v>
      </c>
      <c r="I88" s="20">
        <v>6507</v>
      </c>
      <c r="J88" s="20">
        <f t="shared" si="19"/>
        <v>10</v>
      </c>
      <c r="K88" s="20"/>
      <c r="L88" s="20"/>
      <c r="M88" s="45"/>
      <c r="N88" s="48"/>
      <c r="O88" s="35"/>
      <c r="P88" s="35"/>
      <c r="Q88" s="35"/>
      <c r="R88" s="20"/>
      <c r="S88" s="20"/>
      <c r="T88" s="20"/>
      <c r="U88" s="20"/>
      <c r="V88" s="20"/>
      <c r="W88" s="20"/>
      <c r="X88" s="20"/>
      <c r="Y88" s="45"/>
      <c r="Z88" s="48"/>
      <c r="AA88" s="35"/>
      <c r="AB88" s="35"/>
      <c r="AC88" s="35"/>
      <c r="AD88" s="20"/>
      <c r="AE88" s="20"/>
      <c r="AF88" s="20"/>
      <c r="AG88" s="20"/>
      <c r="AH88" s="20"/>
      <c r="AI88" s="20"/>
      <c r="AJ88" s="20"/>
      <c r="AK88" s="45"/>
      <c r="AL88" s="48"/>
      <c r="AM88" s="35"/>
      <c r="AN88" s="35"/>
      <c r="AO88" s="35"/>
      <c r="AP88" s="20"/>
      <c r="AQ88" s="20"/>
      <c r="AR88" s="20"/>
      <c r="AS88" s="20"/>
      <c r="AT88" s="20"/>
      <c r="AU88" s="20"/>
      <c r="AV88" s="20"/>
      <c r="AW88" s="45"/>
      <c r="AX88" s="48"/>
      <c r="AY88" s="35"/>
      <c r="AZ88" s="35"/>
      <c r="BA88" s="35"/>
    </row>
    <row r="89" spans="1:53" s="29" customFormat="1" ht="12.75">
      <c r="A89" s="46">
        <v>1999</v>
      </c>
      <c r="B89" s="47" t="s">
        <v>49</v>
      </c>
      <c r="C89" s="35">
        <f t="shared" si="15"/>
        <v>0.98910741301059002</v>
      </c>
      <c r="D89" s="35">
        <f t="shared" si="16"/>
        <v>0.99195873160370207</v>
      </c>
      <c r="E89" s="35">
        <f t="shared" si="17"/>
        <v>0.997125567322239</v>
      </c>
      <c r="F89" s="20">
        <v>6610</v>
      </c>
      <c r="G89" s="20">
        <f t="shared" si="18"/>
        <v>19</v>
      </c>
      <c r="H89" s="20">
        <v>6591</v>
      </c>
      <c r="I89" s="20">
        <v>6538</v>
      </c>
      <c r="J89" s="20">
        <f t="shared" si="19"/>
        <v>53</v>
      </c>
      <c r="K89" s="20"/>
      <c r="L89" s="20"/>
      <c r="M89" s="46"/>
      <c r="N89" s="47"/>
      <c r="O89" s="35"/>
      <c r="P89" s="35"/>
      <c r="Q89" s="35"/>
      <c r="R89" s="20"/>
      <c r="S89" s="20"/>
      <c r="T89" s="20"/>
      <c r="U89" s="20"/>
      <c r="V89" s="20"/>
      <c r="W89" s="20"/>
      <c r="X89" s="20"/>
      <c r="Y89" s="46"/>
      <c r="Z89" s="47"/>
      <c r="AA89" s="35"/>
      <c r="AB89" s="35"/>
      <c r="AC89" s="35"/>
      <c r="AD89" s="20"/>
      <c r="AE89" s="20"/>
      <c r="AF89" s="20"/>
      <c r="AG89" s="20"/>
      <c r="AH89" s="20"/>
      <c r="AI89" s="20"/>
      <c r="AJ89" s="20"/>
      <c r="AK89" s="46"/>
      <c r="AL89" s="47"/>
      <c r="AM89" s="35"/>
      <c r="AN89" s="35"/>
      <c r="AO89" s="35"/>
      <c r="AP89" s="20"/>
      <c r="AQ89" s="20"/>
      <c r="AR89" s="20"/>
      <c r="AS89" s="20"/>
      <c r="AT89" s="20"/>
      <c r="AU89" s="20"/>
      <c r="AV89" s="20"/>
      <c r="AW89" s="46"/>
      <c r="AX89" s="47"/>
      <c r="AY89" s="35"/>
      <c r="AZ89" s="35"/>
      <c r="BA89" s="35"/>
    </row>
    <row r="90" spans="1:53" s="29" customFormat="1" ht="12.75">
      <c r="A90" s="45">
        <v>2000</v>
      </c>
      <c r="B90" s="48" t="s">
        <v>38</v>
      </c>
      <c r="C90" s="35">
        <f t="shared" si="15"/>
        <v>0.98400121895474635</v>
      </c>
      <c r="D90" s="35">
        <f t="shared" si="16"/>
        <v>0.98912544034308469</v>
      </c>
      <c r="E90" s="35">
        <f t="shared" si="17"/>
        <v>0.99481944232820352</v>
      </c>
      <c r="F90" s="20">
        <v>6563</v>
      </c>
      <c r="G90" s="20">
        <f t="shared" ref="G90:G101" si="20">F90-H90</f>
        <v>34</v>
      </c>
      <c r="H90" s="20">
        <v>6529</v>
      </c>
      <c r="I90" s="20">
        <v>6458</v>
      </c>
      <c r="J90" s="20">
        <f t="shared" ref="J90:J101" si="21">H90-I90</f>
        <v>71</v>
      </c>
      <c r="K90" s="20"/>
      <c r="L90" s="20"/>
      <c r="M90" s="45"/>
      <c r="N90" s="48"/>
      <c r="O90" s="35"/>
      <c r="P90" s="35"/>
      <c r="Q90" s="35"/>
      <c r="R90" s="20"/>
      <c r="S90" s="20"/>
      <c r="T90" s="20"/>
      <c r="U90" s="20"/>
      <c r="V90" s="20"/>
      <c r="W90" s="20"/>
      <c r="X90" s="20"/>
      <c r="Y90" s="45"/>
      <c r="Z90" s="48"/>
      <c r="AA90" s="35"/>
      <c r="AB90" s="35"/>
      <c r="AC90" s="35"/>
      <c r="AD90" s="20"/>
      <c r="AE90" s="20"/>
      <c r="AF90" s="20"/>
      <c r="AG90" s="20"/>
      <c r="AH90" s="20"/>
      <c r="AI90" s="20"/>
      <c r="AJ90" s="20"/>
      <c r="AK90" s="45"/>
      <c r="AL90" s="48"/>
      <c r="AM90" s="35"/>
      <c r="AN90" s="35"/>
      <c r="AO90" s="35"/>
      <c r="AP90" s="20"/>
      <c r="AQ90" s="20"/>
      <c r="AR90" s="20"/>
      <c r="AS90" s="20"/>
      <c r="AT90" s="20"/>
      <c r="AU90" s="20"/>
      <c r="AV90" s="20"/>
      <c r="AW90" s="45"/>
      <c r="AX90" s="48"/>
      <c r="AY90" s="35"/>
      <c r="AZ90" s="35"/>
      <c r="BA90" s="35"/>
    </row>
    <row r="91" spans="1:53" s="29" customFormat="1" ht="12.75">
      <c r="A91" s="46">
        <v>2000</v>
      </c>
      <c r="B91" s="47" t="s">
        <v>39</v>
      </c>
      <c r="C91" s="35">
        <f t="shared" si="15"/>
        <v>0.99809190650341861</v>
      </c>
      <c r="D91" s="35">
        <f t="shared" si="16"/>
        <v>0.99872712808273667</v>
      </c>
      <c r="E91" s="35">
        <f t="shared" si="17"/>
        <v>0.99936396883447287</v>
      </c>
      <c r="F91" s="20">
        <v>6289</v>
      </c>
      <c r="G91" s="20">
        <f t="shared" si="20"/>
        <v>4</v>
      </c>
      <c r="H91" s="20">
        <v>6285</v>
      </c>
      <c r="I91" s="20">
        <v>6277</v>
      </c>
      <c r="J91" s="20">
        <f t="shared" si="21"/>
        <v>8</v>
      </c>
      <c r="K91" s="20"/>
      <c r="L91" s="20"/>
      <c r="M91" s="46"/>
      <c r="N91" s="47"/>
      <c r="O91" s="35"/>
      <c r="P91" s="35"/>
      <c r="Q91" s="35"/>
      <c r="R91" s="20"/>
      <c r="S91" s="20"/>
      <c r="T91" s="20"/>
      <c r="U91" s="20"/>
      <c r="V91" s="20"/>
      <c r="W91" s="20"/>
      <c r="X91" s="20"/>
      <c r="Y91" s="46"/>
      <c r="Z91" s="47"/>
      <c r="AA91" s="35"/>
      <c r="AB91" s="35"/>
      <c r="AC91" s="35"/>
      <c r="AD91" s="20"/>
      <c r="AE91" s="20"/>
      <c r="AF91" s="20"/>
      <c r="AG91" s="20"/>
      <c r="AH91" s="20"/>
      <c r="AI91" s="20"/>
      <c r="AJ91" s="20"/>
      <c r="AK91" s="46"/>
      <c r="AL91" s="47"/>
      <c r="AM91" s="35"/>
      <c r="AN91" s="35"/>
      <c r="AO91" s="35"/>
      <c r="AP91" s="20"/>
      <c r="AQ91" s="20"/>
      <c r="AR91" s="20"/>
      <c r="AS91" s="20"/>
      <c r="AT91" s="20"/>
      <c r="AU91" s="20"/>
      <c r="AV91" s="20"/>
      <c r="AW91" s="46"/>
      <c r="AX91" s="47"/>
      <c r="AY91" s="35"/>
      <c r="AZ91" s="35"/>
      <c r="BA91" s="35"/>
    </row>
    <row r="92" spans="1:53" s="29" customFormat="1" ht="12.75">
      <c r="A92" s="45">
        <v>2000</v>
      </c>
      <c r="B92" s="48" t="s">
        <v>40</v>
      </c>
      <c r="C92" s="35">
        <f t="shared" si="15"/>
        <v>0.99024101730001479</v>
      </c>
      <c r="D92" s="35">
        <f t="shared" si="16"/>
        <v>0.99702248027393181</v>
      </c>
      <c r="E92" s="35">
        <f t="shared" si="17"/>
        <v>0.99319828478485883</v>
      </c>
      <c r="F92" s="20">
        <v>6763</v>
      </c>
      <c r="G92" s="20">
        <f t="shared" si="20"/>
        <v>46</v>
      </c>
      <c r="H92" s="20">
        <v>6717</v>
      </c>
      <c r="I92" s="20">
        <v>6697</v>
      </c>
      <c r="J92" s="20">
        <f t="shared" si="21"/>
        <v>20</v>
      </c>
      <c r="K92" s="20"/>
      <c r="L92" s="20"/>
      <c r="M92" s="45"/>
      <c r="N92" s="48"/>
      <c r="O92" s="35"/>
      <c r="P92" s="35"/>
      <c r="Q92" s="35"/>
      <c r="R92" s="20"/>
      <c r="S92" s="20"/>
      <c r="T92" s="20"/>
      <c r="U92" s="20"/>
      <c r="V92" s="20"/>
      <c r="W92" s="20"/>
      <c r="X92" s="20"/>
      <c r="Y92" s="45"/>
      <c r="Z92" s="48"/>
      <c r="AA92" s="35"/>
      <c r="AB92" s="35"/>
      <c r="AC92" s="35"/>
      <c r="AD92" s="20"/>
      <c r="AE92" s="20"/>
      <c r="AF92" s="20"/>
      <c r="AG92" s="20"/>
      <c r="AH92" s="20"/>
      <c r="AI92" s="20"/>
      <c r="AJ92" s="20"/>
      <c r="AK92" s="45"/>
      <c r="AL92" s="48"/>
      <c r="AM92" s="35"/>
      <c r="AN92" s="35"/>
      <c r="AO92" s="35"/>
      <c r="AP92" s="20"/>
      <c r="AQ92" s="20"/>
      <c r="AR92" s="20"/>
      <c r="AS92" s="20"/>
      <c r="AT92" s="20"/>
      <c r="AU92" s="20"/>
      <c r="AV92" s="20"/>
      <c r="AW92" s="45"/>
      <c r="AX92" s="48"/>
      <c r="AY92" s="35"/>
      <c r="AZ92" s="35"/>
      <c r="BA92" s="35"/>
    </row>
    <row r="93" spans="1:53" s="29" customFormat="1" ht="12.75">
      <c r="A93" s="46">
        <v>2000</v>
      </c>
      <c r="B93" s="47" t="s">
        <v>41</v>
      </c>
      <c r="C93" s="35">
        <f t="shared" si="15"/>
        <v>0.99807630650849632</v>
      </c>
      <c r="D93" s="35">
        <f t="shared" si="16"/>
        <v>0.99903722721437738</v>
      </c>
      <c r="E93" s="35">
        <f t="shared" si="17"/>
        <v>0.99903815325424816</v>
      </c>
      <c r="F93" s="20">
        <v>6238</v>
      </c>
      <c r="G93" s="20">
        <f t="shared" si="20"/>
        <v>6</v>
      </c>
      <c r="H93" s="20">
        <v>6232</v>
      </c>
      <c r="I93" s="20">
        <v>6226</v>
      </c>
      <c r="J93" s="20">
        <f t="shared" si="21"/>
        <v>6</v>
      </c>
      <c r="K93" s="20"/>
      <c r="L93" s="20"/>
      <c r="M93" s="46"/>
      <c r="N93" s="47"/>
      <c r="O93" s="35"/>
      <c r="P93" s="35"/>
      <c r="Q93" s="35"/>
      <c r="R93" s="20"/>
      <c r="S93" s="20"/>
      <c r="T93" s="20"/>
      <c r="U93" s="20"/>
      <c r="V93" s="20"/>
      <c r="W93" s="20"/>
      <c r="X93" s="20"/>
      <c r="Y93" s="46"/>
      <c r="Z93" s="47"/>
      <c r="AA93" s="35"/>
      <c r="AB93" s="35"/>
      <c r="AC93" s="35"/>
      <c r="AD93" s="20"/>
      <c r="AE93" s="20"/>
      <c r="AF93" s="20"/>
      <c r="AG93" s="20"/>
      <c r="AH93" s="20"/>
      <c r="AI93" s="20"/>
      <c r="AJ93" s="20"/>
      <c r="AK93" s="46"/>
      <c r="AL93" s="47"/>
      <c r="AM93" s="35"/>
      <c r="AN93" s="35"/>
      <c r="AO93" s="35"/>
      <c r="AP93" s="20"/>
      <c r="AQ93" s="20"/>
      <c r="AR93" s="20"/>
      <c r="AS93" s="20"/>
      <c r="AT93" s="20"/>
      <c r="AU93" s="20"/>
      <c r="AV93" s="20"/>
      <c r="AW93" s="46"/>
      <c r="AX93" s="47"/>
      <c r="AY93" s="35"/>
      <c r="AZ93" s="35"/>
      <c r="BA93" s="35"/>
    </row>
    <row r="94" spans="1:53" s="29" customFormat="1" ht="12.75">
      <c r="A94" s="45">
        <v>2000</v>
      </c>
      <c r="B94" s="48" t="s">
        <v>42</v>
      </c>
      <c r="C94" s="35">
        <f t="shared" si="15"/>
        <v>0.9782178217821782</v>
      </c>
      <c r="D94" s="35">
        <f t="shared" si="16"/>
        <v>0.98030834987024884</v>
      </c>
      <c r="E94" s="35">
        <f t="shared" si="17"/>
        <v>0.99786747905559792</v>
      </c>
      <c r="F94" s="20">
        <v>6565</v>
      </c>
      <c r="G94" s="20">
        <f t="shared" si="20"/>
        <v>14</v>
      </c>
      <c r="H94" s="20">
        <v>6551</v>
      </c>
      <c r="I94" s="20">
        <v>6422</v>
      </c>
      <c r="J94" s="20">
        <f t="shared" si="21"/>
        <v>129</v>
      </c>
      <c r="K94" s="20"/>
      <c r="L94" s="20"/>
      <c r="M94" s="45"/>
      <c r="N94" s="48"/>
      <c r="O94" s="35"/>
      <c r="P94" s="35"/>
      <c r="Q94" s="35"/>
      <c r="R94" s="20"/>
      <c r="S94" s="20"/>
      <c r="T94" s="20"/>
      <c r="U94" s="20"/>
      <c r="V94" s="20"/>
      <c r="W94" s="20"/>
      <c r="X94" s="20"/>
      <c r="Y94" s="45"/>
      <c r="Z94" s="48"/>
      <c r="AA94" s="35"/>
      <c r="AB94" s="35"/>
      <c r="AC94" s="35"/>
      <c r="AD94" s="20"/>
      <c r="AE94" s="20"/>
      <c r="AF94" s="20"/>
      <c r="AG94" s="20"/>
      <c r="AH94" s="20"/>
      <c r="AI94" s="20"/>
      <c r="AJ94" s="20"/>
      <c r="AK94" s="45"/>
      <c r="AL94" s="48"/>
      <c r="AM94" s="35"/>
      <c r="AN94" s="35"/>
      <c r="AO94" s="35"/>
      <c r="AP94" s="20"/>
      <c r="AQ94" s="20"/>
      <c r="AR94" s="20"/>
      <c r="AS94" s="20"/>
      <c r="AT94" s="20"/>
      <c r="AU94" s="20"/>
      <c r="AV94" s="20"/>
      <c r="AW94" s="45"/>
      <c r="AX94" s="48"/>
      <c r="AY94" s="35"/>
      <c r="AZ94" s="35"/>
      <c r="BA94" s="35"/>
    </row>
    <row r="95" spans="1:53" s="29" customFormat="1" ht="12.75">
      <c r="A95" s="46">
        <v>2000</v>
      </c>
      <c r="B95" s="47" t="s">
        <v>43</v>
      </c>
      <c r="C95" s="35">
        <f t="shared" si="15"/>
        <v>0.94028436018957351</v>
      </c>
      <c r="D95" s="35">
        <f t="shared" si="16"/>
        <v>0.9485258964143426</v>
      </c>
      <c r="E95" s="35">
        <f t="shared" si="17"/>
        <v>0.99131121642969988</v>
      </c>
      <c r="F95" s="20">
        <v>6330</v>
      </c>
      <c r="G95" s="20">
        <f t="shared" si="20"/>
        <v>55</v>
      </c>
      <c r="H95" s="20">
        <v>6275</v>
      </c>
      <c r="I95" s="20">
        <v>5952</v>
      </c>
      <c r="J95" s="20">
        <f t="shared" si="21"/>
        <v>323</v>
      </c>
      <c r="K95" s="20"/>
      <c r="L95" s="20"/>
      <c r="M95" s="46"/>
      <c r="N95" s="47"/>
      <c r="O95" s="35"/>
      <c r="P95" s="35"/>
      <c r="Q95" s="35"/>
      <c r="R95" s="20"/>
      <c r="S95" s="20"/>
      <c r="T95" s="20"/>
      <c r="U95" s="20"/>
      <c r="V95" s="20"/>
      <c r="W95" s="20"/>
      <c r="X95" s="20"/>
      <c r="Y95" s="46"/>
      <c r="Z95" s="47"/>
      <c r="AA95" s="35"/>
      <c r="AB95" s="35"/>
      <c r="AC95" s="35"/>
      <c r="AD95" s="20"/>
      <c r="AE95" s="20"/>
      <c r="AF95" s="20"/>
      <c r="AG95" s="20"/>
      <c r="AH95" s="20"/>
      <c r="AI95" s="20"/>
      <c r="AJ95" s="20"/>
      <c r="AK95" s="46"/>
      <c r="AL95" s="47"/>
      <c r="AM95" s="35"/>
      <c r="AN95" s="35"/>
      <c r="AO95" s="35"/>
      <c r="AP95" s="20"/>
      <c r="AQ95" s="20"/>
      <c r="AR95" s="20"/>
      <c r="AS95" s="20"/>
      <c r="AT95" s="20"/>
      <c r="AU95" s="20"/>
      <c r="AV95" s="20"/>
      <c r="AW95" s="46"/>
      <c r="AX95" s="47"/>
      <c r="AY95" s="35"/>
      <c r="AZ95" s="35"/>
      <c r="BA95" s="35"/>
    </row>
    <row r="96" spans="1:53" s="29" customFormat="1" ht="12.75">
      <c r="A96" s="45">
        <v>2000</v>
      </c>
      <c r="B96" s="48" t="s">
        <v>44</v>
      </c>
      <c r="C96" s="35">
        <f t="shared" si="15"/>
        <v>0.97309145880574455</v>
      </c>
      <c r="D96" s="35">
        <f t="shared" si="16"/>
        <v>0.98154925282098204</v>
      </c>
      <c r="E96" s="35">
        <f t="shared" si="17"/>
        <v>0.99138321995464851</v>
      </c>
      <c r="F96" s="20">
        <v>6615</v>
      </c>
      <c r="G96" s="20">
        <f t="shared" si="20"/>
        <v>57</v>
      </c>
      <c r="H96" s="20">
        <v>6558</v>
      </c>
      <c r="I96" s="20">
        <v>6437</v>
      </c>
      <c r="J96" s="20">
        <f t="shared" si="21"/>
        <v>121</v>
      </c>
      <c r="K96" s="20"/>
      <c r="L96" s="20"/>
      <c r="M96" s="45"/>
      <c r="N96" s="48"/>
      <c r="O96" s="35"/>
      <c r="P96" s="35"/>
      <c r="Q96" s="35"/>
      <c r="R96" s="20"/>
      <c r="S96" s="20"/>
      <c r="T96" s="20"/>
      <c r="U96" s="20"/>
      <c r="V96" s="20"/>
      <c r="W96" s="20"/>
      <c r="X96" s="20"/>
      <c r="Y96" s="45"/>
      <c r="Z96" s="48"/>
      <c r="AA96" s="35"/>
      <c r="AB96" s="35"/>
      <c r="AC96" s="35"/>
      <c r="AD96" s="20"/>
      <c r="AE96" s="20"/>
      <c r="AF96" s="20"/>
      <c r="AG96" s="20"/>
      <c r="AH96" s="20"/>
      <c r="AI96" s="20"/>
      <c r="AJ96" s="20"/>
      <c r="AK96" s="45"/>
      <c r="AL96" s="48"/>
      <c r="AM96" s="35"/>
      <c r="AN96" s="35"/>
      <c r="AO96" s="35"/>
      <c r="AP96" s="20"/>
      <c r="AQ96" s="20"/>
      <c r="AR96" s="20"/>
      <c r="AS96" s="20"/>
      <c r="AT96" s="20"/>
      <c r="AU96" s="20"/>
      <c r="AV96" s="20"/>
      <c r="AW96" s="45"/>
      <c r="AX96" s="48"/>
      <c r="AY96" s="35"/>
      <c r="AZ96" s="35"/>
      <c r="BA96" s="35"/>
    </row>
    <row r="97" spans="1:53" s="29" customFormat="1" ht="12.75">
      <c r="A97" s="46">
        <v>2000</v>
      </c>
      <c r="B97" s="47" t="s">
        <v>45</v>
      </c>
      <c r="C97" s="35">
        <f t="shared" si="15"/>
        <v>0.99505321540998348</v>
      </c>
      <c r="D97" s="35">
        <f t="shared" si="16"/>
        <v>0.99774537802495111</v>
      </c>
      <c r="E97" s="35">
        <f t="shared" si="17"/>
        <v>0.99730175385999098</v>
      </c>
      <c r="F97" s="20">
        <v>6671</v>
      </c>
      <c r="G97" s="20">
        <f t="shared" si="20"/>
        <v>18</v>
      </c>
      <c r="H97" s="20">
        <v>6653</v>
      </c>
      <c r="I97" s="20">
        <v>6638</v>
      </c>
      <c r="J97" s="20">
        <f t="shared" si="21"/>
        <v>15</v>
      </c>
      <c r="K97" s="20"/>
      <c r="L97" s="20"/>
      <c r="M97" s="46"/>
      <c r="N97" s="47"/>
      <c r="O97" s="35"/>
      <c r="P97" s="35"/>
      <c r="Q97" s="35"/>
      <c r="R97" s="20"/>
      <c r="S97" s="20"/>
      <c r="T97" s="20"/>
      <c r="U97" s="20"/>
      <c r="V97" s="20"/>
      <c r="W97" s="20"/>
      <c r="X97" s="20"/>
      <c r="Y97" s="46"/>
      <c r="Z97" s="47"/>
      <c r="AA97" s="35"/>
      <c r="AB97" s="35"/>
      <c r="AC97" s="35"/>
      <c r="AD97" s="20"/>
      <c r="AE97" s="20"/>
      <c r="AF97" s="20"/>
      <c r="AG97" s="20"/>
      <c r="AH97" s="20"/>
      <c r="AI97" s="20"/>
      <c r="AJ97" s="20"/>
      <c r="AK97" s="46"/>
      <c r="AL97" s="47"/>
      <c r="AM97" s="35"/>
      <c r="AN97" s="35"/>
      <c r="AO97" s="35"/>
      <c r="AP97" s="20"/>
      <c r="AQ97" s="20"/>
      <c r="AR97" s="20"/>
      <c r="AS97" s="20"/>
      <c r="AT97" s="20"/>
      <c r="AU97" s="20"/>
      <c r="AV97" s="20"/>
      <c r="AW97" s="46"/>
      <c r="AX97" s="47"/>
      <c r="AY97" s="35"/>
      <c r="AZ97" s="35"/>
      <c r="BA97" s="35"/>
    </row>
    <row r="98" spans="1:53" s="29" customFormat="1" ht="12.75">
      <c r="A98" s="45">
        <v>2000</v>
      </c>
      <c r="B98" s="48" t="s">
        <v>46</v>
      </c>
      <c r="C98" s="35">
        <f t="shared" si="15"/>
        <v>0.99105628373168853</v>
      </c>
      <c r="D98" s="35">
        <f t="shared" si="16"/>
        <v>0.99535387951060861</v>
      </c>
      <c r="E98" s="35">
        <f t="shared" si="17"/>
        <v>0.99568234387047028</v>
      </c>
      <c r="F98" s="20">
        <v>6485</v>
      </c>
      <c r="G98" s="20">
        <f t="shared" si="20"/>
        <v>28</v>
      </c>
      <c r="H98" s="20">
        <v>6457</v>
      </c>
      <c r="I98" s="20">
        <v>6427</v>
      </c>
      <c r="J98" s="20">
        <f t="shared" si="21"/>
        <v>30</v>
      </c>
      <c r="K98" s="20"/>
      <c r="L98" s="20"/>
      <c r="M98" s="45"/>
      <c r="N98" s="48"/>
      <c r="O98" s="35"/>
      <c r="P98" s="35"/>
      <c r="Q98" s="35"/>
      <c r="R98" s="20"/>
      <c r="S98" s="20"/>
      <c r="T98" s="20"/>
      <c r="U98" s="20"/>
      <c r="V98" s="20"/>
      <c r="W98" s="20"/>
      <c r="X98" s="20"/>
      <c r="Y98" s="45"/>
      <c r="Z98" s="48"/>
      <c r="AA98" s="35"/>
      <c r="AB98" s="35"/>
      <c r="AC98" s="35"/>
      <c r="AD98" s="20"/>
      <c r="AE98" s="20"/>
      <c r="AF98" s="20"/>
      <c r="AG98" s="20"/>
      <c r="AH98" s="20"/>
      <c r="AI98" s="20"/>
      <c r="AJ98" s="20"/>
      <c r="AK98" s="45"/>
      <c r="AL98" s="48"/>
      <c r="AM98" s="35"/>
      <c r="AN98" s="35"/>
      <c r="AO98" s="35"/>
      <c r="AP98" s="20"/>
      <c r="AQ98" s="20"/>
      <c r="AR98" s="20"/>
      <c r="AS98" s="20"/>
      <c r="AT98" s="20"/>
      <c r="AU98" s="20"/>
      <c r="AV98" s="20"/>
      <c r="AW98" s="45"/>
      <c r="AX98" s="48"/>
      <c r="AY98" s="35"/>
      <c r="AZ98" s="35"/>
      <c r="BA98" s="35"/>
    </row>
    <row r="99" spans="1:53" s="29" customFormat="1" ht="12.75">
      <c r="A99" s="46">
        <v>2000</v>
      </c>
      <c r="B99" s="47" t="s">
        <v>47</v>
      </c>
      <c r="C99" s="35">
        <f t="shared" si="15"/>
        <v>0.97686805661238774</v>
      </c>
      <c r="D99" s="35">
        <f t="shared" si="16"/>
        <v>0.99704877291084193</v>
      </c>
      <c r="E99" s="35">
        <f t="shared" si="17"/>
        <v>0.97975954953583932</v>
      </c>
      <c r="F99" s="20">
        <v>6571</v>
      </c>
      <c r="G99" s="20">
        <f t="shared" si="20"/>
        <v>133</v>
      </c>
      <c r="H99" s="20">
        <v>6438</v>
      </c>
      <c r="I99" s="20">
        <v>6419</v>
      </c>
      <c r="J99" s="20">
        <f t="shared" si="21"/>
        <v>19</v>
      </c>
      <c r="K99" s="20"/>
      <c r="L99" s="20"/>
      <c r="M99" s="46"/>
      <c r="N99" s="47"/>
      <c r="O99" s="35"/>
      <c r="P99" s="35"/>
      <c r="Q99" s="35"/>
      <c r="R99" s="20"/>
      <c r="S99" s="20"/>
      <c r="T99" s="20"/>
      <c r="U99" s="20"/>
      <c r="V99" s="20"/>
      <c r="W99" s="20"/>
      <c r="X99" s="20"/>
      <c r="Y99" s="46"/>
      <c r="Z99" s="47"/>
      <c r="AA99" s="35"/>
      <c r="AB99" s="35"/>
      <c r="AC99" s="35"/>
      <c r="AD99" s="20"/>
      <c r="AE99" s="20"/>
      <c r="AF99" s="20"/>
      <c r="AG99" s="20"/>
      <c r="AH99" s="20"/>
      <c r="AI99" s="20"/>
      <c r="AJ99" s="20"/>
      <c r="AK99" s="46"/>
      <c r="AL99" s="47"/>
      <c r="AM99" s="35"/>
      <c r="AN99" s="35"/>
      <c r="AO99" s="35"/>
      <c r="AP99" s="20"/>
      <c r="AQ99" s="20"/>
      <c r="AR99" s="20"/>
      <c r="AS99" s="20"/>
      <c r="AT99" s="20"/>
      <c r="AU99" s="20"/>
      <c r="AV99" s="20"/>
      <c r="AW99" s="46"/>
      <c r="AX99" s="47"/>
      <c r="AY99" s="35"/>
      <c r="AZ99" s="35"/>
      <c r="BA99" s="35"/>
    </row>
    <row r="100" spans="1:53" s="29" customFormat="1" ht="12.75">
      <c r="A100" s="45">
        <v>2000</v>
      </c>
      <c r="B100" s="48" t="s">
        <v>48</v>
      </c>
      <c r="C100" s="35">
        <f t="shared" si="15"/>
        <v>0.92679938744257273</v>
      </c>
      <c r="D100" s="35">
        <f t="shared" si="16"/>
        <v>0.99245654312889475</v>
      </c>
      <c r="E100" s="35">
        <f t="shared" si="17"/>
        <v>0.93384379785604898</v>
      </c>
      <c r="F100" s="20">
        <v>6530</v>
      </c>
      <c r="G100" s="20">
        <f t="shared" si="20"/>
        <v>432</v>
      </c>
      <c r="H100" s="20">
        <v>6098</v>
      </c>
      <c r="I100" s="20">
        <v>6052</v>
      </c>
      <c r="J100" s="20">
        <f t="shared" si="21"/>
        <v>46</v>
      </c>
      <c r="K100" s="20"/>
      <c r="L100" s="20"/>
      <c r="M100" s="45"/>
      <c r="N100" s="48"/>
      <c r="O100" s="35"/>
      <c r="P100" s="35"/>
      <c r="Q100" s="35"/>
      <c r="R100" s="20"/>
      <c r="S100" s="20"/>
      <c r="T100" s="20"/>
      <c r="U100" s="20"/>
      <c r="V100" s="20"/>
      <c r="W100" s="20"/>
      <c r="X100" s="20"/>
      <c r="Y100" s="45"/>
      <c r="Z100" s="48"/>
      <c r="AA100" s="35"/>
      <c r="AB100" s="35"/>
      <c r="AC100" s="35"/>
      <c r="AD100" s="20"/>
      <c r="AE100" s="20"/>
      <c r="AF100" s="20"/>
      <c r="AG100" s="20"/>
      <c r="AH100" s="20"/>
      <c r="AI100" s="20"/>
      <c r="AJ100" s="20"/>
      <c r="AK100" s="45"/>
      <c r="AL100" s="48"/>
      <c r="AM100" s="35"/>
      <c r="AN100" s="35"/>
      <c r="AO100" s="35"/>
      <c r="AP100" s="20"/>
      <c r="AQ100" s="20"/>
      <c r="AR100" s="20"/>
      <c r="AS100" s="20"/>
      <c r="AT100" s="20"/>
      <c r="AU100" s="20"/>
      <c r="AV100" s="20"/>
      <c r="AW100" s="45"/>
      <c r="AX100" s="48"/>
      <c r="AY100" s="35"/>
      <c r="AZ100" s="35"/>
      <c r="BA100" s="35"/>
    </row>
    <row r="101" spans="1:53" s="29" customFormat="1" ht="12.75">
      <c r="A101" s="46">
        <v>2000</v>
      </c>
      <c r="B101" s="47" t="s">
        <v>49</v>
      </c>
      <c r="C101" s="35">
        <f t="shared" si="15"/>
        <v>0.96706495098039214</v>
      </c>
      <c r="D101" s="35">
        <f t="shared" si="16"/>
        <v>0.98779533719292756</v>
      </c>
      <c r="E101" s="35">
        <f t="shared" si="17"/>
        <v>0.97901348039215685</v>
      </c>
      <c r="F101" s="20">
        <v>6528</v>
      </c>
      <c r="G101" s="20">
        <f t="shared" si="20"/>
        <v>137</v>
      </c>
      <c r="H101" s="20">
        <v>6391</v>
      </c>
      <c r="I101" s="20">
        <v>6313</v>
      </c>
      <c r="J101" s="20">
        <f t="shared" si="21"/>
        <v>78</v>
      </c>
      <c r="K101" s="20"/>
      <c r="L101" s="20"/>
      <c r="M101" s="46"/>
      <c r="N101" s="47"/>
      <c r="O101" s="35"/>
      <c r="P101" s="35"/>
      <c r="Q101" s="35"/>
      <c r="R101" s="20"/>
      <c r="S101" s="20"/>
      <c r="T101" s="20"/>
      <c r="U101" s="20"/>
      <c r="V101" s="20"/>
      <c r="W101" s="20"/>
      <c r="X101" s="20"/>
      <c r="Y101" s="46"/>
      <c r="Z101" s="47"/>
      <c r="AA101" s="35"/>
      <c r="AB101" s="35"/>
      <c r="AC101" s="35"/>
      <c r="AD101" s="20"/>
      <c r="AE101" s="20"/>
      <c r="AF101" s="20"/>
      <c r="AG101" s="20"/>
      <c r="AH101" s="20"/>
      <c r="AI101" s="20"/>
      <c r="AJ101" s="20"/>
      <c r="AK101" s="46"/>
      <c r="AL101" s="47"/>
      <c r="AM101" s="35"/>
      <c r="AN101" s="35"/>
      <c r="AO101" s="35"/>
      <c r="AP101" s="20"/>
      <c r="AQ101" s="20"/>
      <c r="AR101" s="20"/>
      <c r="AS101" s="20"/>
      <c r="AT101" s="20"/>
      <c r="AU101" s="20"/>
      <c r="AV101" s="20"/>
      <c r="AW101" s="46"/>
      <c r="AX101" s="47"/>
      <c r="AY101" s="35"/>
      <c r="AZ101" s="35"/>
      <c r="BA101" s="35"/>
    </row>
    <row r="102" spans="1:53" s="29" customFormat="1" ht="12.75">
      <c r="A102" s="45">
        <v>2001</v>
      </c>
      <c r="B102" s="48" t="s">
        <v>38</v>
      </c>
      <c r="C102" s="35">
        <f t="shared" si="15"/>
        <v>0.98735119047619047</v>
      </c>
      <c r="D102" s="35">
        <f t="shared" si="16"/>
        <v>0.99505098980203954</v>
      </c>
      <c r="E102" s="35">
        <f t="shared" si="17"/>
        <v>0.99226190476190479</v>
      </c>
      <c r="F102" s="20">
        <v>6720</v>
      </c>
      <c r="G102" s="20">
        <f t="shared" ref="G102:G113" si="22">F102-H102</f>
        <v>52</v>
      </c>
      <c r="H102" s="20">
        <v>6668</v>
      </c>
      <c r="I102" s="20">
        <v>6635</v>
      </c>
      <c r="J102" s="20">
        <f t="shared" ref="J102:J113" si="23">H102-I102</f>
        <v>33</v>
      </c>
      <c r="K102" s="20"/>
      <c r="L102" s="20"/>
      <c r="M102" s="45"/>
      <c r="N102" s="48"/>
      <c r="O102" s="35"/>
      <c r="P102" s="35"/>
      <c r="Q102" s="35"/>
      <c r="R102" s="20"/>
      <c r="S102" s="20"/>
      <c r="T102" s="20"/>
      <c r="U102" s="20"/>
      <c r="V102" s="20"/>
      <c r="W102" s="20"/>
      <c r="X102" s="20"/>
      <c r="Y102" s="45"/>
      <c r="Z102" s="48"/>
      <c r="AA102" s="35"/>
      <c r="AB102" s="35"/>
      <c r="AC102" s="35"/>
      <c r="AD102" s="20"/>
      <c r="AE102" s="20"/>
      <c r="AF102" s="20"/>
      <c r="AG102" s="20"/>
      <c r="AH102" s="20"/>
      <c r="AI102" s="20"/>
      <c r="AJ102" s="20"/>
      <c r="AK102" s="45"/>
      <c r="AL102" s="48"/>
      <c r="AM102" s="35"/>
      <c r="AN102" s="35"/>
      <c r="AO102" s="35"/>
      <c r="AP102" s="20"/>
      <c r="AQ102" s="20"/>
      <c r="AR102" s="20"/>
      <c r="AS102" s="20"/>
      <c r="AT102" s="20"/>
      <c r="AU102" s="20"/>
      <c r="AV102" s="20"/>
      <c r="AW102" s="45"/>
      <c r="AX102" s="48"/>
      <c r="AY102" s="35"/>
      <c r="AZ102" s="35"/>
      <c r="BA102" s="35"/>
    </row>
    <row r="103" spans="1:53" s="29" customFormat="1" ht="12.75">
      <c r="A103" s="46">
        <v>2001</v>
      </c>
      <c r="B103" s="47" t="s">
        <v>39</v>
      </c>
      <c r="C103" s="35">
        <f t="shared" si="15"/>
        <v>0.99056311881188119</v>
      </c>
      <c r="D103" s="35">
        <f t="shared" si="16"/>
        <v>0.99487259167184583</v>
      </c>
      <c r="E103" s="35">
        <f t="shared" si="17"/>
        <v>0.99566831683168322</v>
      </c>
      <c r="F103" s="20">
        <v>6464</v>
      </c>
      <c r="G103" s="20">
        <f t="shared" si="22"/>
        <v>28</v>
      </c>
      <c r="H103" s="20">
        <v>6436</v>
      </c>
      <c r="I103" s="20">
        <v>6403</v>
      </c>
      <c r="J103" s="20">
        <f t="shared" si="23"/>
        <v>33</v>
      </c>
      <c r="K103" s="20"/>
      <c r="L103" s="20"/>
      <c r="M103" s="46"/>
      <c r="N103" s="47"/>
      <c r="O103" s="35"/>
      <c r="P103" s="35"/>
      <c r="Q103" s="35"/>
      <c r="R103" s="20"/>
      <c r="S103" s="20"/>
      <c r="T103" s="20"/>
      <c r="U103" s="20"/>
      <c r="V103" s="20"/>
      <c r="W103" s="20"/>
      <c r="X103" s="20"/>
      <c r="Y103" s="46"/>
      <c r="Z103" s="47"/>
      <c r="AA103" s="35"/>
      <c r="AB103" s="35"/>
      <c r="AC103" s="35"/>
      <c r="AD103" s="20"/>
      <c r="AE103" s="20"/>
      <c r="AF103" s="20"/>
      <c r="AG103" s="20"/>
      <c r="AH103" s="20"/>
      <c r="AI103" s="20"/>
      <c r="AJ103" s="20"/>
      <c r="AK103" s="46"/>
      <c r="AL103" s="47"/>
      <c r="AM103" s="35"/>
      <c r="AN103" s="35"/>
      <c r="AO103" s="35"/>
      <c r="AP103" s="20"/>
      <c r="AQ103" s="20"/>
      <c r="AR103" s="20"/>
      <c r="AS103" s="20"/>
      <c r="AT103" s="20"/>
      <c r="AU103" s="20"/>
      <c r="AV103" s="20"/>
      <c r="AW103" s="46"/>
      <c r="AX103" s="47"/>
      <c r="AY103" s="35"/>
      <c r="AZ103" s="35"/>
      <c r="BA103" s="35"/>
    </row>
    <row r="104" spans="1:53" s="29" customFormat="1" ht="12.75">
      <c r="A104" s="45">
        <v>2001</v>
      </c>
      <c r="B104" s="48" t="s">
        <v>40</v>
      </c>
      <c r="C104" s="35">
        <f t="shared" si="15"/>
        <v>0.96154382053782916</v>
      </c>
      <c r="D104" s="35">
        <f t="shared" si="16"/>
        <v>0.98095238095238091</v>
      </c>
      <c r="E104" s="35">
        <f t="shared" si="17"/>
        <v>0.98021457433468018</v>
      </c>
      <c r="F104" s="20">
        <v>7177</v>
      </c>
      <c r="G104" s="20">
        <f t="shared" si="22"/>
        <v>142</v>
      </c>
      <c r="H104" s="20">
        <v>7035</v>
      </c>
      <c r="I104" s="20">
        <v>6901</v>
      </c>
      <c r="J104" s="20">
        <f t="shared" si="23"/>
        <v>134</v>
      </c>
      <c r="K104" s="20"/>
      <c r="L104" s="20"/>
      <c r="M104" s="45"/>
      <c r="N104" s="48"/>
      <c r="O104" s="35"/>
      <c r="P104" s="35"/>
      <c r="Q104" s="35"/>
      <c r="R104" s="20"/>
      <c r="S104" s="20"/>
      <c r="T104" s="20"/>
      <c r="U104" s="20"/>
      <c r="V104" s="20"/>
      <c r="W104" s="20"/>
      <c r="X104" s="20"/>
      <c r="Y104" s="45"/>
      <c r="Z104" s="48"/>
      <c r="AA104" s="35"/>
      <c r="AB104" s="35"/>
      <c r="AC104" s="35"/>
      <c r="AD104" s="20"/>
      <c r="AE104" s="20"/>
      <c r="AF104" s="20"/>
      <c r="AG104" s="20"/>
      <c r="AH104" s="20"/>
      <c r="AI104" s="20"/>
      <c r="AJ104" s="20"/>
      <c r="AK104" s="45"/>
      <c r="AL104" s="48"/>
      <c r="AM104" s="35"/>
      <c r="AN104" s="35"/>
      <c r="AO104" s="35"/>
      <c r="AP104" s="20"/>
      <c r="AQ104" s="20"/>
      <c r="AR104" s="20"/>
      <c r="AS104" s="20"/>
      <c r="AT104" s="20"/>
      <c r="AU104" s="20"/>
      <c r="AV104" s="20"/>
      <c r="AW104" s="45"/>
      <c r="AX104" s="48"/>
      <c r="AY104" s="35"/>
      <c r="AZ104" s="35"/>
      <c r="BA104" s="35"/>
    </row>
    <row r="105" spans="1:53" s="29" customFormat="1" ht="12.75">
      <c r="A105" s="46">
        <v>2001</v>
      </c>
      <c r="B105" s="47" t="s">
        <v>41</v>
      </c>
      <c r="C105" s="35">
        <f t="shared" si="15"/>
        <v>0.94756724085826538</v>
      </c>
      <c r="D105" s="35">
        <f t="shared" si="16"/>
        <v>0.98368627450980395</v>
      </c>
      <c r="E105" s="35">
        <f t="shared" si="17"/>
        <v>0.96328195829555752</v>
      </c>
      <c r="F105" s="20">
        <v>6618</v>
      </c>
      <c r="G105" s="20">
        <f t="shared" si="22"/>
        <v>243</v>
      </c>
      <c r="H105" s="20">
        <v>6375</v>
      </c>
      <c r="I105" s="20">
        <v>6271</v>
      </c>
      <c r="J105" s="20">
        <f t="shared" si="23"/>
        <v>104</v>
      </c>
      <c r="K105" s="20"/>
      <c r="L105" s="20"/>
      <c r="M105" s="46"/>
      <c r="N105" s="47"/>
      <c r="O105" s="35"/>
      <c r="P105" s="35"/>
      <c r="Q105" s="35"/>
      <c r="R105" s="20"/>
      <c r="S105" s="20"/>
      <c r="T105" s="20"/>
      <c r="U105" s="20"/>
      <c r="V105" s="20"/>
      <c r="W105" s="20"/>
      <c r="X105" s="20"/>
      <c r="Y105" s="46"/>
      <c r="Z105" s="47"/>
      <c r="AA105" s="35"/>
      <c r="AB105" s="35"/>
      <c r="AC105" s="35"/>
      <c r="AD105" s="20"/>
      <c r="AE105" s="20"/>
      <c r="AF105" s="20"/>
      <c r="AG105" s="20"/>
      <c r="AH105" s="20"/>
      <c r="AI105" s="20"/>
      <c r="AJ105" s="20"/>
      <c r="AK105" s="46"/>
      <c r="AL105" s="47"/>
      <c r="AM105" s="35"/>
      <c r="AN105" s="35"/>
      <c r="AO105" s="35"/>
      <c r="AP105" s="20"/>
      <c r="AQ105" s="20"/>
      <c r="AR105" s="20"/>
      <c r="AS105" s="20"/>
      <c r="AT105" s="20"/>
      <c r="AU105" s="20"/>
      <c r="AV105" s="20"/>
      <c r="AW105" s="46"/>
      <c r="AX105" s="47"/>
      <c r="AY105" s="35"/>
      <c r="AZ105" s="35"/>
      <c r="BA105" s="35"/>
    </row>
    <row r="106" spans="1:53" s="29" customFormat="1" ht="12.75">
      <c r="A106" s="45">
        <v>2001</v>
      </c>
      <c r="B106" s="48" t="s">
        <v>42</v>
      </c>
      <c r="C106" s="35">
        <f t="shared" si="15"/>
        <v>0.79686162624821688</v>
      </c>
      <c r="D106" s="35">
        <f t="shared" si="16"/>
        <v>0.99218472468916519</v>
      </c>
      <c r="E106" s="35">
        <f t="shared" si="17"/>
        <v>0.80313837375178321</v>
      </c>
      <c r="F106" s="20">
        <v>7010</v>
      </c>
      <c r="G106" s="20">
        <f t="shared" si="22"/>
        <v>1380</v>
      </c>
      <c r="H106" s="20">
        <v>5630</v>
      </c>
      <c r="I106" s="20">
        <v>5586</v>
      </c>
      <c r="J106" s="20">
        <f t="shared" si="23"/>
        <v>44</v>
      </c>
      <c r="K106" s="20"/>
      <c r="L106" s="20"/>
      <c r="M106" s="45"/>
      <c r="N106" s="48"/>
      <c r="O106" s="35"/>
      <c r="P106" s="35"/>
      <c r="Q106" s="35"/>
      <c r="R106" s="20"/>
      <c r="S106" s="20"/>
      <c r="T106" s="20"/>
      <c r="U106" s="20"/>
      <c r="V106" s="20"/>
      <c r="W106" s="20"/>
      <c r="X106" s="20"/>
      <c r="Y106" s="45"/>
      <c r="Z106" s="48"/>
      <c r="AA106" s="35"/>
      <c r="AB106" s="35"/>
      <c r="AC106" s="35"/>
      <c r="AD106" s="20"/>
      <c r="AE106" s="20"/>
      <c r="AF106" s="20"/>
      <c r="AG106" s="20"/>
      <c r="AH106" s="20"/>
      <c r="AI106" s="20"/>
      <c r="AJ106" s="20"/>
      <c r="AK106" s="45"/>
      <c r="AL106" s="48"/>
      <c r="AM106" s="35"/>
      <c r="AN106" s="35"/>
      <c r="AO106" s="35"/>
      <c r="AP106" s="20"/>
      <c r="AQ106" s="20"/>
      <c r="AR106" s="20"/>
      <c r="AS106" s="20"/>
      <c r="AT106" s="20"/>
      <c r="AU106" s="20"/>
      <c r="AV106" s="20"/>
      <c r="AW106" s="45"/>
      <c r="AX106" s="48"/>
      <c r="AY106" s="35"/>
      <c r="AZ106" s="35"/>
      <c r="BA106" s="35"/>
    </row>
    <row r="107" spans="1:53" s="29" customFormat="1" ht="12.75">
      <c r="A107" s="46">
        <v>2001</v>
      </c>
      <c r="B107" s="47" t="s">
        <v>43</v>
      </c>
      <c r="C107" s="35">
        <f t="shared" si="15"/>
        <v>0.95606326889279436</v>
      </c>
      <c r="D107" s="35">
        <f t="shared" si="16"/>
        <v>0.97099509147701923</v>
      </c>
      <c r="E107" s="35">
        <f t="shared" si="17"/>
        <v>0.98462214411247806</v>
      </c>
      <c r="F107" s="20">
        <v>6828</v>
      </c>
      <c r="G107" s="20">
        <f t="shared" si="22"/>
        <v>105</v>
      </c>
      <c r="H107" s="20">
        <v>6723</v>
      </c>
      <c r="I107" s="20">
        <v>6528</v>
      </c>
      <c r="J107" s="20">
        <f t="shared" si="23"/>
        <v>195</v>
      </c>
      <c r="K107" s="20"/>
      <c r="L107" s="20"/>
      <c r="M107" s="46"/>
      <c r="N107" s="47"/>
      <c r="O107" s="35"/>
      <c r="P107" s="35"/>
      <c r="Q107" s="35"/>
      <c r="R107" s="20"/>
      <c r="S107" s="20"/>
      <c r="T107" s="20"/>
      <c r="U107" s="20"/>
      <c r="V107" s="20"/>
      <c r="W107" s="20"/>
      <c r="X107" s="20"/>
      <c r="Y107" s="46"/>
      <c r="Z107" s="47"/>
      <c r="AA107" s="35"/>
      <c r="AB107" s="35"/>
      <c r="AC107" s="35"/>
      <c r="AD107" s="20"/>
      <c r="AE107" s="20"/>
      <c r="AF107" s="20"/>
      <c r="AG107" s="20"/>
      <c r="AH107" s="20"/>
      <c r="AI107" s="20"/>
      <c r="AJ107" s="20"/>
      <c r="AK107" s="46"/>
      <c r="AL107" s="47"/>
      <c r="AM107" s="35"/>
      <c r="AN107" s="35"/>
      <c r="AO107" s="35"/>
      <c r="AP107" s="20"/>
      <c r="AQ107" s="20"/>
      <c r="AR107" s="20"/>
      <c r="AS107" s="20"/>
      <c r="AT107" s="20"/>
      <c r="AU107" s="20"/>
      <c r="AV107" s="20"/>
      <c r="AW107" s="46"/>
      <c r="AX107" s="47"/>
      <c r="AY107" s="35"/>
      <c r="AZ107" s="35"/>
      <c r="BA107" s="35"/>
    </row>
    <row r="108" spans="1:53" s="29" customFormat="1" ht="12.75">
      <c r="A108" s="45">
        <v>2001</v>
      </c>
      <c r="B108" s="48" t="s">
        <v>44</v>
      </c>
      <c r="C108" s="35">
        <f t="shared" si="15"/>
        <v>0.932744371615845</v>
      </c>
      <c r="D108" s="35">
        <f t="shared" si="16"/>
        <v>0.99121744397334943</v>
      </c>
      <c r="E108" s="35">
        <f t="shared" si="17"/>
        <v>0.94100883442576233</v>
      </c>
      <c r="F108" s="20">
        <v>7018</v>
      </c>
      <c r="G108" s="20">
        <f t="shared" si="22"/>
        <v>414</v>
      </c>
      <c r="H108" s="20">
        <v>6604</v>
      </c>
      <c r="I108" s="20">
        <v>6546</v>
      </c>
      <c r="J108" s="20">
        <f t="shared" si="23"/>
        <v>58</v>
      </c>
      <c r="K108" s="20"/>
      <c r="L108" s="20"/>
      <c r="M108" s="45"/>
      <c r="N108" s="48"/>
      <c r="O108" s="35"/>
      <c r="P108" s="35"/>
      <c r="Q108" s="35"/>
      <c r="R108" s="20"/>
      <c r="S108" s="20"/>
      <c r="T108" s="20"/>
      <c r="U108" s="20"/>
      <c r="V108" s="20"/>
      <c r="W108" s="20"/>
      <c r="X108" s="20"/>
      <c r="Y108" s="45"/>
      <c r="Z108" s="48"/>
      <c r="AA108" s="35"/>
      <c r="AB108" s="35"/>
      <c r="AC108" s="35"/>
      <c r="AD108" s="20"/>
      <c r="AE108" s="20"/>
      <c r="AF108" s="20"/>
      <c r="AG108" s="20"/>
      <c r="AH108" s="20"/>
      <c r="AI108" s="20"/>
      <c r="AJ108" s="20"/>
      <c r="AK108" s="45"/>
      <c r="AL108" s="48"/>
      <c r="AM108" s="35"/>
      <c r="AN108" s="35"/>
      <c r="AO108" s="35"/>
      <c r="AP108" s="20"/>
      <c r="AQ108" s="20"/>
      <c r="AR108" s="20"/>
      <c r="AS108" s="20"/>
      <c r="AT108" s="20"/>
      <c r="AU108" s="20"/>
      <c r="AV108" s="20"/>
      <c r="AW108" s="45"/>
      <c r="AX108" s="48"/>
      <c r="AY108" s="35"/>
      <c r="AZ108" s="35"/>
      <c r="BA108" s="35"/>
    </row>
    <row r="109" spans="1:53" s="29" customFormat="1" ht="12.75">
      <c r="A109" s="46">
        <v>2001</v>
      </c>
      <c r="B109" s="47" t="s">
        <v>45</v>
      </c>
      <c r="C109" s="35">
        <f t="shared" si="15"/>
        <v>0.9345964912280702</v>
      </c>
      <c r="D109" s="35">
        <f t="shared" si="16"/>
        <v>0.97112439842496723</v>
      </c>
      <c r="E109" s="35">
        <f t="shared" si="17"/>
        <v>0.96238596491228068</v>
      </c>
      <c r="F109" s="20">
        <v>7125</v>
      </c>
      <c r="G109" s="20">
        <f t="shared" si="22"/>
        <v>268</v>
      </c>
      <c r="H109" s="20">
        <v>6857</v>
      </c>
      <c r="I109" s="20">
        <v>6659</v>
      </c>
      <c r="J109" s="20">
        <f t="shared" si="23"/>
        <v>198</v>
      </c>
      <c r="K109" s="20"/>
      <c r="L109" s="20"/>
      <c r="M109" s="46"/>
      <c r="N109" s="47"/>
      <c r="O109" s="35"/>
      <c r="P109" s="35"/>
      <c r="Q109" s="35"/>
      <c r="R109" s="20"/>
      <c r="S109" s="20"/>
      <c r="T109" s="20"/>
      <c r="U109" s="20"/>
      <c r="V109" s="20"/>
      <c r="W109" s="20"/>
      <c r="X109" s="20"/>
      <c r="Y109" s="46"/>
      <c r="Z109" s="47"/>
      <c r="AA109" s="35"/>
      <c r="AB109" s="35"/>
      <c r="AC109" s="35"/>
      <c r="AD109" s="20"/>
      <c r="AE109" s="20"/>
      <c r="AF109" s="20"/>
      <c r="AG109" s="20"/>
      <c r="AH109" s="20"/>
      <c r="AI109" s="20"/>
      <c r="AJ109" s="20"/>
      <c r="AK109" s="46"/>
      <c r="AL109" s="47"/>
      <c r="AM109" s="35"/>
      <c r="AN109" s="35"/>
      <c r="AO109" s="35"/>
      <c r="AP109" s="20"/>
      <c r="AQ109" s="20"/>
      <c r="AR109" s="20"/>
      <c r="AS109" s="20"/>
      <c r="AT109" s="20"/>
      <c r="AU109" s="20"/>
      <c r="AV109" s="20"/>
      <c r="AW109" s="46"/>
      <c r="AX109" s="47"/>
      <c r="AY109" s="35"/>
      <c r="AZ109" s="35"/>
      <c r="BA109" s="35"/>
    </row>
    <row r="110" spans="1:53" s="29" customFormat="1" ht="12.75">
      <c r="A110" s="45">
        <v>2001</v>
      </c>
      <c r="B110" s="48" t="s">
        <v>46</v>
      </c>
      <c r="C110" s="35">
        <f t="shared" si="15"/>
        <v>0.93976429506765602</v>
      </c>
      <c r="D110" s="35">
        <f t="shared" si="16"/>
        <v>0.97098616957306072</v>
      </c>
      <c r="E110" s="35">
        <f t="shared" si="17"/>
        <v>0.96784519132838642</v>
      </c>
      <c r="F110" s="20">
        <v>6873</v>
      </c>
      <c r="G110" s="20">
        <f t="shared" si="22"/>
        <v>221</v>
      </c>
      <c r="H110" s="20">
        <v>6652</v>
      </c>
      <c r="I110" s="20">
        <v>6459</v>
      </c>
      <c r="J110" s="20">
        <f t="shared" si="23"/>
        <v>193</v>
      </c>
      <c r="K110" s="20"/>
      <c r="L110" s="20"/>
      <c r="M110" s="45"/>
      <c r="N110" s="48"/>
      <c r="O110" s="35"/>
      <c r="P110" s="35"/>
      <c r="Q110" s="35"/>
      <c r="R110" s="20"/>
      <c r="S110" s="20"/>
      <c r="T110" s="20"/>
      <c r="U110" s="20"/>
      <c r="V110" s="20"/>
      <c r="W110" s="20"/>
      <c r="X110" s="20"/>
      <c r="Y110" s="45"/>
      <c r="Z110" s="48"/>
      <c r="AA110" s="35"/>
      <c r="AB110" s="35"/>
      <c r="AC110" s="35"/>
      <c r="AD110" s="20"/>
      <c r="AE110" s="20"/>
      <c r="AF110" s="20"/>
      <c r="AG110" s="20"/>
      <c r="AH110" s="20"/>
      <c r="AI110" s="20"/>
      <c r="AJ110" s="20"/>
      <c r="AK110" s="45"/>
      <c r="AL110" s="48"/>
      <c r="AM110" s="35"/>
      <c r="AN110" s="35"/>
      <c r="AO110" s="35"/>
      <c r="AP110" s="20"/>
      <c r="AQ110" s="20"/>
      <c r="AR110" s="20"/>
      <c r="AS110" s="20"/>
      <c r="AT110" s="20"/>
      <c r="AU110" s="20"/>
      <c r="AV110" s="20"/>
      <c r="AW110" s="45"/>
      <c r="AX110" s="48"/>
      <c r="AY110" s="35"/>
      <c r="AZ110" s="35"/>
      <c r="BA110" s="35"/>
    </row>
    <row r="111" spans="1:53" s="29" customFormat="1" ht="12.75">
      <c r="A111" s="46">
        <v>2001</v>
      </c>
      <c r="B111" s="47" t="s">
        <v>47</v>
      </c>
      <c r="C111" s="35">
        <f t="shared" si="15"/>
        <v>0.89726315789473687</v>
      </c>
      <c r="D111" s="35">
        <f t="shared" si="16"/>
        <v>0.97069541451563923</v>
      </c>
      <c r="E111" s="35">
        <f t="shared" si="17"/>
        <v>0.92435087719298248</v>
      </c>
      <c r="F111" s="20">
        <v>7125</v>
      </c>
      <c r="G111" s="20">
        <f t="shared" si="22"/>
        <v>539</v>
      </c>
      <c r="H111" s="20">
        <v>6586</v>
      </c>
      <c r="I111" s="20">
        <v>6393</v>
      </c>
      <c r="J111" s="20">
        <f t="shared" si="23"/>
        <v>193</v>
      </c>
      <c r="K111" s="20"/>
      <c r="L111" s="20"/>
      <c r="M111" s="46"/>
      <c r="N111" s="47"/>
      <c r="O111" s="35"/>
      <c r="P111" s="35"/>
      <c r="Q111" s="35"/>
      <c r="R111" s="20"/>
      <c r="S111" s="20"/>
      <c r="T111" s="20"/>
      <c r="U111" s="20"/>
      <c r="V111" s="20"/>
      <c r="W111" s="20"/>
      <c r="X111" s="20"/>
      <c r="Y111" s="46"/>
      <c r="Z111" s="47"/>
      <c r="AA111" s="35"/>
      <c r="AB111" s="35"/>
      <c r="AC111" s="35"/>
      <c r="AD111" s="20"/>
      <c r="AE111" s="20"/>
      <c r="AF111" s="20"/>
      <c r="AG111" s="20"/>
      <c r="AH111" s="20"/>
      <c r="AI111" s="20"/>
      <c r="AJ111" s="20"/>
      <c r="AK111" s="46"/>
      <c r="AL111" s="47"/>
      <c r="AM111" s="35"/>
      <c r="AN111" s="35"/>
      <c r="AO111" s="35"/>
      <c r="AP111" s="20"/>
      <c r="AQ111" s="20"/>
      <c r="AR111" s="20"/>
      <c r="AS111" s="20"/>
      <c r="AT111" s="20"/>
      <c r="AU111" s="20"/>
      <c r="AV111" s="20"/>
      <c r="AW111" s="46"/>
      <c r="AX111" s="47"/>
      <c r="AY111" s="35"/>
      <c r="AZ111" s="35"/>
      <c r="BA111" s="35"/>
    </row>
    <row r="112" spans="1:53" s="29" customFormat="1" ht="12.75">
      <c r="A112" s="45">
        <v>2001</v>
      </c>
      <c r="B112" s="48" t="s">
        <v>48</v>
      </c>
      <c r="C112" s="35">
        <f t="shared" si="15"/>
        <v>0.94820311363305687</v>
      </c>
      <c r="D112" s="35">
        <f t="shared" si="16"/>
        <v>0.97210620525059666</v>
      </c>
      <c r="E112" s="35">
        <f t="shared" si="17"/>
        <v>0.97541102866288376</v>
      </c>
      <c r="F112" s="20">
        <v>6873</v>
      </c>
      <c r="G112" s="20">
        <f t="shared" si="22"/>
        <v>169</v>
      </c>
      <c r="H112" s="20">
        <v>6704</v>
      </c>
      <c r="I112" s="20">
        <v>6517</v>
      </c>
      <c r="J112" s="20">
        <f t="shared" si="23"/>
        <v>187</v>
      </c>
      <c r="K112" s="20"/>
      <c r="L112" s="20"/>
      <c r="M112" s="45"/>
      <c r="N112" s="48"/>
      <c r="O112" s="35"/>
      <c r="P112" s="35"/>
      <c r="Q112" s="35"/>
      <c r="R112" s="20"/>
      <c r="S112" s="20"/>
      <c r="T112" s="20"/>
      <c r="U112" s="20"/>
      <c r="V112" s="20"/>
      <c r="W112" s="20"/>
      <c r="X112" s="20"/>
      <c r="Y112" s="45"/>
      <c r="Z112" s="48"/>
      <c r="AA112" s="35"/>
      <c r="AB112" s="35"/>
      <c r="AC112" s="35"/>
      <c r="AD112" s="20"/>
      <c r="AE112" s="20"/>
      <c r="AF112" s="20"/>
      <c r="AG112" s="20"/>
      <c r="AH112" s="20"/>
      <c r="AI112" s="20"/>
      <c r="AJ112" s="20"/>
      <c r="AK112" s="45"/>
      <c r="AL112" s="48"/>
      <c r="AM112" s="35"/>
      <c r="AN112" s="35"/>
      <c r="AO112" s="35"/>
      <c r="AP112" s="20"/>
      <c r="AQ112" s="20"/>
      <c r="AR112" s="20"/>
      <c r="AS112" s="20"/>
      <c r="AT112" s="20"/>
      <c r="AU112" s="20"/>
      <c r="AV112" s="20"/>
      <c r="AW112" s="45"/>
      <c r="AX112" s="48"/>
      <c r="AY112" s="35"/>
      <c r="AZ112" s="35"/>
      <c r="BA112" s="35"/>
    </row>
    <row r="113" spans="1:53" s="29" customFormat="1" ht="12.75">
      <c r="A113" s="46">
        <v>2001</v>
      </c>
      <c r="B113" s="47" t="s">
        <v>49</v>
      </c>
      <c r="C113" s="35">
        <f t="shared" si="15"/>
        <v>0.89202418658220561</v>
      </c>
      <c r="D113" s="35">
        <f t="shared" si="16"/>
        <v>0.96390790292470441</v>
      </c>
      <c r="E113" s="35">
        <f t="shared" si="17"/>
        <v>0.92542470486610995</v>
      </c>
      <c r="F113" s="20">
        <v>6946</v>
      </c>
      <c r="G113" s="20">
        <f t="shared" si="22"/>
        <v>518</v>
      </c>
      <c r="H113" s="20">
        <v>6428</v>
      </c>
      <c r="I113" s="20">
        <v>6196</v>
      </c>
      <c r="J113" s="20">
        <f t="shared" si="23"/>
        <v>232</v>
      </c>
      <c r="K113" s="20"/>
      <c r="L113" s="20"/>
      <c r="M113" s="46"/>
      <c r="N113" s="47"/>
      <c r="O113" s="35"/>
      <c r="P113" s="35"/>
      <c r="Q113" s="35"/>
      <c r="R113" s="20"/>
      <c r="S113" s="20"/>
      <c r="T113" s="20"/>
      <c r="U113" s="20"/>
      <c r="V113" s="20"/>
      <c r="W113" s="20"/>
      <c r="X113" s="20"/>
      <c r="Y113" s="46"/>
      <c r="Z113" s="47"/>
      <c r="AA113" s="35"/>
      <c r="AB113" s="35"/>
      <c r="AC113" s="35"/>
      <c r="AD113" s="20"/>
      <c r="AE113" s="20"/>
      <c r="AF113" s="20"/>
      <c r="AG113" s="20"/>
      <c r="AH113" s="20"/>
      <c r="AI113" s="20"/>
      <c r="AJ113" s="20"/>
      <c r="AK113" s="46"/>
      <c r="AL113" s="47"/>
      <c r="AM113" s="35"/>
      <c r="AN113" s="35"/>
      <c r="AO113" s="35"/>
      <c r="AP113" s="20"/>
      <c r="AQ113" s="20"/>
      <c r="AR113" s="20"/>
      <c r="AS113" s="20"/>
      <c r="AT113" s="20"/>
      <c r="AU113" s="20"/>
      <c r="AV113" s="20"/>
      <c r="AW113" s="46"/>
      <c r="AX113" s="47"/>
      <c r="AY113" s="35"/>
      <c r="AZ113" s="35"/>
      <c r="BA113" s="35"/>
    </row>
    <row r="114" spans="1:53" s="29" customFormat="1" ht="12.75">
      <c r="A114" s="45">
        <v>2002</v>
      </c>
      <c r="B114" s="48" t="s">
        <v>38</v>
      </c>
      <c r="C114" s="35">
        <f t="shared" si="15"/>
        <v>0.79716252282623967</v>
      </c>
      <c r="D114" s="35">
        <f t="shared" si="16"/>
        <v>0.97946151190887121</v>
      </c>
      <c r="E114" s="35">
        <f t="shared" si="17"/>
        <v>0.81387835370136252</v>
      </c>
      <c r="F114" s="20">
        <v>7119</v>
      </c>
      <c r="G114" s="20">
        <f>F114-H114</f>
        <v>1325</v>
      </c>
      <c r="H114" s="20">
        <v>5794</v>
      </c>
      <c r="I114" s="20">
        <v>5675</v>
      </c>
      <c r="J114" s="20">
        <f>H114-I114</f>
        <v>119</v>
      </c>
      <c r="K114" s="20"/>
      <c r="L114" s="20"/>
      <c r="M114" s="45"/>
      <c r="N114" s="48"/>
      <c r="O114" s="35"/>
      <c r="P114" s="35"/>
      <c r="Q114" s="35"/>
      <c r="R114" s="20"/>
      <c r="S114" s="20"/>
      <c r="T114" s="20"/>
      <c r="U114" s="20"/>
      <c r="V114" s="20"/>
      <c r="W114" s="20"/>
      <c r="X114" s="20"/>
      <c r="Y114" s="45"/>
      <c r="Z114" s="48"/>
      <c r="AA114" s="35"/>
      <c r="AB114" s="35"/>
      <c r="AC114" s="35"/>
      <c r="AD114" s="20"/>
      <c r="AE114" s="20"/>
      <c r="AF114" s="20"/>
      <c r="AG114" s="20"/>
      <c r="AH114" s="20"/>
      <c r="AI114" s="20"/>
      <c r="AJ114" s="20"/>
      <c r="AK114" s="45"/>
      <c r="AL114" s="48"/>
      <c r="AM114" s="35"/>
      <c r="AN114" s="35"/>
      <c r="AO114" s="35"/>
      <c r="AP114" s="20"/>
      <c r="AQ114" s="20"/>
      <c r="AR114" s="20"/>
      <c r="AS114" s="20"/>
      <c r="AT114" s="20"/>
      <c r="AU114" s="20"/>
      <c r="AV114" s="20"/>
      <c r="AW114" s="45"/>
      <c r="AX114" s="48"/>
      <c r="AY114" s="35"/>
      <c r="AZ114" s="35"/>
      <c r="BA114" s="35"/>
    </row>
    <row r="115" spans="1:53" s="29" customFormat="1" ht="12.75">
      <c r="A115" s="46">
        <v>2002</v>
      </c>
      <c r="B115" s="47" t="s">
        <v>39</v>
      </c>
      <c r="C115" s="35">
        <f t="shared" si="15"/>
        <v>0.7485307763686978</v>
      </c>
      <c r="D115" s="35">
        <f t="shared" si="16"/>
        <v>0.98694942903752036</v>
      </c>
      <c r="E115" s="35">
        <f t="shared" si="17"/>
        <v>0.75842870399010209</v>
      </c>
      <c r="F115" s="20">
        <v>6466</v>
      </c>
      <c r="G115" s="20">
        <f>F115-H115</f>
        <v>1562</v>
      </c>
      <c r="H115" s="20">
        <v>4904</v>
      </c>
      <c r="I115" s="20">
        <v>4840</v>
      </c>
      <c r="J115" s="20">
        <f>H115-I115</f>
        <v>64</v>
      </c>
      <c r="K115" s="20"/>
      <c r="L115" s="20"/>
      <c r="M115" s="46"/>
      <c r="N115" s="47"/>
      <c r="O115" s="35"/>
      <c r="P115" s="35"/>
      <c r="Q115" s="35"/>
      <c r="R115" s="20"/>
      <c r="S115" s="20"/>
      <c r="T115" s="20"/>
      <c r="U115" s="20"/>
      <c r="V115" s="20"/>
      <c r="W115" s="20"/>
      <c r="X115" s="20"/>
      <c r="Y115" s="46"/>
      <c r="Z115" s="47"/>
      <c r="AA115" s="35"/>
      <c r="AB115" s="35"/>
      <c r="AC115" s="35"/>
      <c r="AD115" s="20"/>
      <c r="AE115" s="20"/>
      <c r="AF115" s="20"/>
      <c r="AG115" s="20"/>
      <c r="AH115" s="20"/>
      <c r="AI115" s="20"/>
      <c r="AJ115" s="20"/>
      <c r="AK115" s="46"/>
      <c r="AL115" s="47"/>
      <c r="AM115" s="35"/>
      <c r="AN115" s="35"/>
      <c r="AO115" s="35"/>
      <c r="AP115" s="20"/>
      <c r="AQ115" s="20"/>
      <c r="AR115" s="20"/>
      <c r="AS115" s="20"/>
      <c r="AT115" s="20"/>
      <c r="AU115" s="20"/>
      <c r="AV115" s="20"/>
      <c r="AW115" s="46"/>
      <c r="AX115" s="47"/>
      <c r="AY115" s="35"/>
      <c r="AZ115" s="35"/>
      <c r="BA115" s="35"/>
    </row>
    <row r="116" spans="1:53" s="29" customFormat="1" ht="12.75">
      <c r="A116" s="45">
        <v>2002</v>
      </c>
      <c r="B116" s="48" t="s">
        <v>40</v>
      </c>
      <c r="C116" s="35">
        <f t="shared" si="15"/>
        <v>0.68735632183908046</v>
      </c>
      <c r="D116" s="35">
        <f t="shared" si="16"/>
        <v>0.9781230832140666</v>
      </c>
      <c r="E116" s="35">
        <f t="shared" si="17"/>
        <v>0.70272988505747125</v>
      </c>
      <c r="F116" s="20">
        <v>6960</v>
      </c>
      <c r="G116" s="20">
        <f>F116-H116</f>
        <v>2069</v>
      </c>
      <c r="H116" s="20">
        <v>4891</v>
      </c>
      <c r="I116" s="20">
        <v>4784</v>
      </c>
      <c r="J116" s="20">
        <f>H116-I116</f>
        <v>107</v>
      </c>
      <c r="K116" s="20"/>
      <c r="L116" s="20"/>
      <c r="M116" s="45"/>
      <c r="N116" s="48"/>
      <c r="O116" s="35"/>
      <c r="P116" s="35"/>
      <c r="Q116" s="35"/>
      <c r="R116" s="20"/>
      <c r="S116" s="20"/>
      <c r="T116" s="20"/>
      <c r="U116" s="20"/>
      <c r="V116" s="20"/>
      <c r="W116" s="20"/>
      <c r="X116" s="20"/>
      <c r="Y116" s="45"/>
      <c r="Z116" s="48"/>
      <c r="AA116" s="35"/>
      <c r="AB116" s="35"/>
      <c r="AC116" s="35"/>
      <c r="AD116" s="20"/>
      <c r="AE116" s="20"/>
      <c r="AF116" s="20"/>
      <c r="AG116" s="20"/>
      <c r="AH116" s="20"/>
      <c r="AI116" s="20"/>
      <c r="AJ116" s="20"/>
      <c r="AK116" s="45"/>
      <c r="AL116" s="48"/>
      <c r="AM116" s="35"/>
      <c r="AN116" s="35"/>
      <c r="AO116" s="35"/>
      <c r="AP116" s="20"/>
      <c r="AQ116" s="20"/>
      <c r="AR116" s="20"/>
      <c r="AS116" s="20"/>
      <c r="AT116" s="20"/>
      <c r="AU116" s="20"/>
      <c r="AV116" s="20"/>
      <c r="AW116" s="45"/>
      <c r="AX116" s="48"/>
      <c r="AY116" s="35"/>
      <c r="AZ116" s="35"/>
      <c r="BA116" s="35"/>
    </row>
    <row r="117" spans="1:53" s="29" customFormat="1" ht="12.75">
      <c r="A117" s="46">
        <v>2002</v>
      </c>
      <c r="B117" s="47" t="s">
        <v>41</v>
      </c>
      <c r="C117" s="35">
        <f t="shared" si="15"/>
        <v>0.27994772760272979</v>
      </c>
      <c r="D117" s="35">
        <f t="shared" si="16"/>
        <v>0.98317185109637939</v>
      </c>
      <c r="E117" s="35">
        <f t="shared" si="17"/>
        <v>0.28473936401916655</v>
      </c>
      <c r="F117" s="20">
        <v>6887</v>
      </c>
      <c r="G117" s="20">
        <f>F117-H117</f>
        <v>4926</v>
      </c>
      <c r="H117" s="20">
        <v>1961</v>
      </c>
      <c r="I117" s="20">
        <v>1928</v>
      </c>
      <c r="J117" s="20">
        <f>H117-I117</f>
        <v>33</v>
      </c>
      <c r="K117" s="20"/>
      <c r="L117" s="20"/>
      <c r="M117" s="46"/>
      <c r="N117" s="47"/>
      <c r="O117" s="35"/>
      <c r="P117" s="35"/>
      <c r="Q117" s="35"/>
      <c r="R117" s="20"/>
      <c r="S117" s="20"/>
      <c r="T117" s="20"/>
      <c r="U117" s="20"/>
      <c r="V117" s="20"/>
      <c r="W117" s="20"/>
      <c r="X117" s="20"/>
      <c r="Y117" s="46"/>
      <c r="Z117" s="47"/>
      <c r="AA117" s="35"/>
      <c r="AB117" s="35"/>
      <c r="AC117" s="35"/>
      <c r="AD117" s="20"/>
      <c r="AE117" s="20"/>
      <c r="AF117" s="20"/>
      <c r="AG117" s="20"/>
      <c r="AH117" s="20"/>
      <c r="AI117" s="20"/>
      <c r="AJ117" s="20"/>
      <c r="AK117" s="46"/>
      <c r="AL117" s="47"/>
      <c r="AM117" s="35"/>
      <c r="AN117" s="35"/>
      <c r="AO117" s="35"/>
      <c r="AP117" s="20"/>
      <c r="AQ117" s="20"/>
      <c r="AR117" s="20"/>
      <c r="AS117" s="20"/>
      <c r="AT117" s="20"/>
      <c r="AU117" s="20"/>
      <c r="AV117" s="20"/>
      <c r="AW117" s="46"/>
      <c r="AX117" s="47"/>
      <c r="AY117" s="35"/>
      <c r="AZ117" s="35"/>
      <c r="BA117" s="35"/>
    </row>
    <row r="118" spans="1:53" s="29" customFormat="1" ht="12.75">
      <c r="A118" s="45">
        <v>2002</v>
      </c>
      <c r="B118" s="48" t="s">
        <v>42</v>
      </c>
      <c r="C118" s="35">
        <f t="shared" si="15"/>
        <v>0.73972602739726023</v>
      </c>
      <c r="D118" s="35">
        <f t="shared" si="16"/>
        <v>0.98314933178384656</v>
      </c>
      <c r="E118" s="35">
        <f t="shared" si="17"/>
        <v>0.75240454677936464</v>
      </c>
      <c r="F118" s="20">
        <f>3399+875+2588</f>
        <v>6862</v>
      </c>
      <c r="G118" s="20">
        <f t="shared" ref="G118:G125" si="24">F118-H118</f>
        <v>1699</v>
      </c>
      <c r="H118" s="20">
        <f>1895+248+3020</f>
        <v>5163</v>
      </c>
      <c r="I118" s="20">
        <f>1872+248+2956</f>
        <v>5076</v>
      </c>
      <c r="J118" s="20">
        <f>H118-I118</f>
        <v>87</v>
      </c>
      <c r="K118" s="20"/>
      <c r="L118" s="20"/>
      <c r="M118" s="45"/>
      <c r="N118" s="48"/>
      <c r="O118" s="35"/>
      <c r="P118" s="35"/>
      <c r="Q118" s="35"/>
      <c r="R118" s="20"/>
      <c r="S118" s="20"/>
      <c r="T118" s="20"/>
      <c r="U118" s="20"/>
      <c r="V118" s="20"/>
      <c r="W118" s="20"/>
      <c r="X118" s="20"/>
      <c r="Y118" s="45"/>
      <c r="Z118" s="48"/>
      <c r="AA118" s="35"/>
      <c r="AB118" s="35"/>
      <c r="AC118" s="35"/>
      <c r="AD118" s="20"/>
      <c r="AE118" s="20"/>
      <c r="AF118" s="20"/>
      <c r="AG118" s="20"/>
      <c r="AH118" s="20"/>
      <c r="AI118" s="20"/>
      <c r="AJ118" s="20"/>
      <c r="AK118" s="45"/>
      <c r="AL118" s="48"/>
      <c r="AM118" s="35"/>
      <c r="AN118" s="35"/>
      <c r="AO118" s="35"/>
      <c r="AP118" s="20"/>
      <c r="AQ118" s="20"/>
      <c r="AR118" s="20"/>
      <c r="AS118" s="20"/>
      <c r="AT118" s="20"/>
      <c r="AU118" s="20"/>
      <c r="AV118" s="20"/>
      <c r="AW118" s="45"/>
      <c r="AX118" s="48"/>
      <c r="AY118" s="35"/>
      <c r="AZ118" s="35"/>
      <c r="BA118" s="35"/>
    </row>
    <row r="119" spans="1:53" s="29" customFormat="1" ht="12.75">
      <c r="A119" s="46">
        <v>2002</v>
      </c>
      <c r="B119" s="47" t="s">
        <v>43</v>
      </c>
      <c r="C119" s="35">
        <f t="shared" si="15"/>
        <v>0.65923862581244197</v>
      </c>
      <c r="D119" s="35">
        <f t="shared" si="16"/>
        <v>1</v>
      </c>
      <c r="E119" s="35">
        <f t="shared" si="17"/>
        <v>0.65923862581244197</v>
      </c>
      <c r="F119" s="20">
        <f>3204+834+2424</f>
        <v>6462</v>
      </c>
      <c r="G119" s="20">
        <f t="shared" si="24"/>
        <v>2202</v>
      </c>
      <c r="H119" s="20">
        <f>1525+240+2495</f>
        <v>4260</v>
      </c>
      <c r="I119" s="20">
        <f>1525+240+2495</f>
        <v>4260</v>
      </c>
      <c r="J119" s="20">
        <f t="shared" ref="J119:J124" si="25">H119-I119</f>
        <v>0</v>
      </c>
      <c r="K119" s="20"/>
      <c r="L119" s="20"/>
      <c r="M119" s="46"/>
      <c r="N119" s="47"/>
      <c r="O119" s="35"/>
      <c r="P119" s="35"/>
      <c r="Q119" s="35"/>
      <c r="R119" s="20"/>
      <c r="S119" s="20"/>
      <c r="T119" s="20"/>
      <c r="U119" s="20"/>
      <c r="V119" s="20"/>
      <c r="W119" s="20"/>
      <c r="X119" s="20"/>
      <c r="Y119" s="46"/>
      <c r="Z119" s="47"/>
      <c r="AA119" s="35"/>
      <c r="AB119" s="35"/>
      <c r="AC119" s="35"/>
      <c r="AD119" s="20"/>
      <c r="AE119" s="20"/>
      <c r="AF119" s="20"/>
      <c r="AG119" s="20"/>
      <c r="AH119" s="20"/>
      <c r="AI119" s="20"/>
      <c r="AJ119" s="20"/>
      <c r="AK119" s="46"/>
      <c r="AL119" s="47"/>
      <c r="AM119" s="35"/>
      <c r="AN119" s="35"/>
      <c r="AO119" s="35"/>
      <c r="AP119" s="20"/>
      <c r="AQ119" s="20"/>
      <c r="AR119" s="20"/>
      <c r="AS119" s="20"/>
      <c r="AT119" s="20"/>
      <c r="AU119" s="20"/>
      <c r="AV119" s="20"/>
      <c r="AW119" s="46"/>
      <c r="AX119" s="47"/>
      <c r="AY119" s="35"/>
      <c r="AZ119" s="35"/>
      <c r="BA119" s="35"/>
    </row>
    <row r="120" spans="1:53" s="29" customFormat="1" ht="12.75">
      <c r="A120" s="45">
        <v>2002</v>
      </c>
      <c r="B120" s="48" t="s">
        <v>44</v>
      </c>
      <c r="C120" s="35">
        <f t="shared" si="15"/>
        <v>0.639848418597872</v>
      </c>
      <c r="D120" s="35">
        <f t="shared" si="16"/>
        <v>1</v>
      </c>
      <c r="E120" s="35">
        <f t="shared" si="17"/>
        <v>0.639848418597872</v>
      </c>
      <c r="F120" s="20">
        <f>3398+875+2588</f>
        <v>6861</v>
      </c>
      <c r="G120" s="20">
        <f t="shared" si="24"/>
        <v>2471</v>
      </c>
      <c r="H120" s="20">
        <f>1556+248+2586</f>
        <v>4390</v>
      </c>
      <c r="I120" s="20">
        <f>1556+248+2586</f>
        <v>4390</v>
      </c>
      <c r="J120" s="20">
        <f t="shared" si="25"/>
        <v>0</v>
      </c>
      <c r="K120" s="20"/>
      <c r="L120" s="20"/>
      <c r="M120" s="45"/>
      <c r="N120" s="48"/>
      <c r="O120" s="35"/>
      <c r="P120" s="35"/>
      <c r="Q120" s="35"/>
      <c r="R120" s="20"/>
      <c r="S120" s="20"/>
      <c r="T120" s="20"/>
      <c r="U120" s="20"/>
      <c r="V120" s="20"/>
      <c r="W120" s="20"/>
      <c r="X120" s="20"/>
      <c r="Y120" s="45"/>
      <c r="Z120" s="48"/>
      <c r="AA120" s="35"/>
      <c r="AB120" s="35"/>
      <c r="AC120" s="35"/>
      <c r="AD120" s="20"/>
      <c r="AE120" s="20"/>
      <c r="AF120" s="20"/>
      <c r="AG120" s="20"/>
      <c r="AH120" s="20"/>
      <c r="AI120" s="20"/>
      <c r="AJ120" s="20"/>
      <c r="AK120" s="45"/>
      <c r="AL120" s="48"/>
      <c r="AM120" s="35"/>
      <c r="AN120" s="35"/>
      <c r="AO120" s="35"/>
      <c r="AP120" s="20"/>
      <c r="AQ120" s="20"/>
      <c r="AR120" s="20"/>
      <c r="AS120" s="20"/>
      <c r="AT120" s="20"/>
      <c r="AU120" s="20"/>
      <c r="AV120" s="20"/>
      <c r="AW120" s="45"/>
      <c r="AX120" s="48"/>
      <c r="AY120" s="35"/>
      <c r="AZ120" s="35"/>
      <c r="BA120" s="35"/>
    </row>
    <row r="121" spans="1:53" s="29" customFormat="1" ht="12.75">
      <c r="A121" s="46">
        <v>2002</v>
      </c>
      <c r="B121" s="47" t="s">
        <v>45</v>
      </c>
      <c r="C121" s="35">
        <f t="shared" si="15"/>
        <v>0.64782736347621839</v>
      </c>
      <c r="D121" s="35">
        <f t="shared" si="16"/>
        <v>1</v>
      </c>
      <c r="E121" s="35">
        <f t="shared" si="17"/>
        <v>0.64782736347621839</v>
      </c>
      <c r="F121" s="20">
        <f>3373+875+2564</f>
        <v>6812</v>
      </c>
      <c r="G121" s="20">
        <f t="shared" si="24"/>
        <v>2399</v>
      </c>
      <c r="H121" s="20">
        <f>1573+248+2592</f>
        <v>4413</v>
      </c>
      <c r="I121" s="20">
        <f>1573+248+2592</f>
        <v>4413</v>
      </c>
      <c r="J121" s="20">
        <f t="shared" si="25"/>
        <v>0</v>
      </c>
      <c r="K121" s="20"/>
      <c r="L121" s="20"/>
      <c r="M121" s="46"/>
      <c r="N121" s="47"/>
      <c r="O121" s="35"/>
      <c r="P121" s="35"/>
      <c r="Q121" s="35"/>
      <c r="R121" s="20"/>
      <c r="S121" s="20"/>
      <c r="T121" s="20"/>
      <c r="U121" s="20"/>
      <c r="V121" s="20"/>
      <c r="W121" s="20"/>
      <c r="X121" s="20"/>
      <c r="Y121" s="46"/>
      <c r="Z121" s="47"/>
      <c r="AA121" s="35"/>
      <c r="AB121" s="35"/>
      <c r="AC121" s="35"/>
      <c r="AD121" s="20"/>
      <c r="AE121" s="20"/>
      <c r="AF121" s="20"/>
      <c r="AG121" s="20"/>
      <c r="AH121" s="20"/>
      <c r="AI121" s="20"/>
      <c r="AJ121" s="20"/>
      <c r="AK121" s="46"/>
      <c r="AL121" s="47"/>
      <c r="AM121" s="35"/>
      <c r="AN121" s="35"/>
      <c r="AO121" s="35"/>
      <c r="AP121" s="20"/>
      <c r="AQ121" s="20"/>
      <c r="AR121" s="20"/>
      <c r="AS121" s="20"/>
      <c r="AT121" s="20"/>
      <c r="AU121" s="20"/>
      <c r="AV121" s="20"/>
      <c r="AW121" s="46"/>
      <c r="AX121" s="47"/>
      <c r="AY121" s="35"/>
      <c r="AZ121" s="35"/>
      <c r="BA121" s="35"/>
    </row>
    <row r="122" spans="1:53" s="29" customFormat="1" ht="12.75">
      <c r="A122" s="45">
        <v>2002</v>
      </c>
      <c r="B122" s="48" t="s">
        <v>46</v>
      </c>
      <c r="C122" s="35">
        <f t="shared" si="15"/>
        <v>0.64223095525997587</v>
      </c>
      <c r="D122" s="35">
        <f t="shared" si="16"/>
        <v>1</v>
      </c>
      <c r="E122" s="35">
        <f t="shared" si="17"/>
        <v>0.64223095525997587</v>
      </c>
      <c r="F122" s="20">
        <f>2494+845+3277</f>
        <v>6616</v>
      </c>
      <c r="G122" s="20">
        <f t="shared" si="24"/>
        <v>2367</v>
      </c>
      <c r="H122" s="20">
        <f>1508+240+2501</f>
        <v>4249</v>
      </c>
      <c r="I122" s="20">
        <f>1508+240+2501</f>
        <v>4249</v>
      </c>
      <c r="J122" s="20">
        <f t="shared" si="25"/>
        <v>0</v>
      </c>
      <c r="K122" s="20"/>
      <c r="L122" s="20"/>
      <c r="M122" s="45"/>
      <c r="N122" s="48"/>
      <c r="O122" s="35"/>
      <c r="P122" s="35"/>
      <c r="Q122" s="35"/>
      <c r="R122" s="20"/>
      <c r="S122" s="20"/>
      <c r="T122" s="20"/>
      <c r="U122" s="20"/>
      <c r="V122" s="20"/>
      <c r="W122" s="20"/>
      <c r="X122" s="20"/>
      <c r="Y122" s="45"/>
      <c r="Z122" s="48"/>
      <c r="AA122" s="35"/>
      <c r="AB122" s="35"/>
      <c r="AC122" s="35"/>
      <c r="AD122" s="20"/>
      <c r="AE122" s="20"/>
      <c r="AF122" s="20"/>
      <c r="AG122" s="20"/>
      <c r="AH122" s="20"/>
      <c r="AI122" s="20"/>
      <c r="AJ122" s="20"/>
      <c r="AK122" s="45"/>
      <c r="AL122" s="48"/>
      <c r="AM122" s="35"/>
      <c r="AN122" s="35"/>
      <c r="AO122" s="35"/>
      <c r="AP122" s="20"/>
      <c r="AQ122" s="20"/>
      <c r="AR122" s="20"/>
      <c r="AS122" s="20"/>
      <c r="AT122" s="20"/>
      <c r="AU122" s="20"/>
      <c r="AV122" s="20"/>
      <c r="AW122" s="45"/>
      <c r="AX122" s="48"/>
      <c r="AY122" s="35"/>
      <c r="AZ122" s="35"/>
      <c r="BA122" s="35"/>
    </row>
    <row r="123" spans="1:53" s="29" customFormat="1" ht="12.75">
      <c r="A123" s="46">
        <v>2002</v>
      </c>
      <c r="B123" s="47" t="s">
        <v>47</v>
      </c>
      <c r="C123" s="35">
        <f t="shared" si="15"/>
        <v>0.68996473228598909</v>
      </c>
      <c r="D123" s="35">
        <f t="shared" si="16"/>
        <v>1</v>
      </c>
      <c r="E123" s="35">
        <f t="shared" si="17"/>
        <v>0.68996473228598909</v>
      </c>
      <c r="F123" s="20">
        <f>2352+3319+567</f>
        <v>6238</v>
      </c>
      <c r="G123" s="20">
        <f t="shared" si="24"/>
        <v>1934</v>
      </c>
      <c r="H123" s="20">
        <f>1539+248+2517</f>
        <v>4304</v>
      </c>
      <c r="I123" s="20">
        <f>1539+248+2517</f>
        <v>4304</v>
      </c>
      <c r="J123" s="20">
        <f t="shared" si="25"/>
        <v>0</v>
      </c>
      <c r="K123" s="20"/>
      <c r="L123" s="20"/>
      <c r="M123" s="46"/>
      <c r="N123" s="47"/>
      <c r="O123" s="35"/>
      <c r="P123" s="35"/>
      <c r="Q123" s="35"/>
      <c r="R123" s="20"/>
      <c r="S123" s="20"/>
      <c r="T123" s="20"/>
      <c r="U123" s="20"/>
      <c r="V123" s="20"/>
      <c r="W123" s="20"/>
      <c r="X123" s="20"/>
      <c r="Y123" s="46"/>
      <c r="Z123" s="47"/>
      <c r="AA123" s="35"/>
      <c r="AB123" s="35"/>
      <c r="AC123" s="35"/>
      <c r="AD123" s="20"/>
      <c r="AE123" s="20"/>
      <c r="AF123" s="20"/>
      <c r="AG123" s="20"/>
      <c r="AH123" s="20"/>
      <c r="AI123" s="20"/>
      <c r="AJ123" s="20"/>
      <c r="AK123" s="46"/>
      <c r="AL123" s="47"/>
      <c r="AM123" s="35"/>
      <c r="AN123" s="35"/>
      <c r="AO123" s="35"/>
      <c r="AP123" s="20"/>
      <c r="AQ123" s="20"/>
      <c r="AR123" s="20"/>
      <c r="AS123" s="20"/>
      <c r="AT123" s="20"/>
      <c r="AU123" s="20"/>
      <c r="AV123" s="20"/>
      <c r="AW123" s="46"/>
      <c r="AX123" s="47"/>
      <c r="AY123" s="35"/>
      <c r="AZ123" s="35"/>
      <c r="BA123" s="35"/>
    </row>
    <row r="124" spans="1:53" s="29" customFormat="1" ht="12.75">
      <c r="A124" s="45">
        <v>2002</v>
      </c>
      <c r="B124" s="48" t="s">
        <v>48</v>
      </c>
      <c r="C124" s="35">
        <f t="shared" si="15"/>
        <v>0.96518054532056008</v>
      </c>
      <c r="D124" s="35">
        <f t="shared" si="16"/>
        <v>0.98811769143719352</v>
      </c>
      <c r="E124" s="35">
        <f t="shared" si="17"/>
        <v>0.97678703021370672</v>
      </c>
      <c r="F124" s="20">
        <f>2057+240+3131</f>
        <v>5428</v>
      </c>
      <c r="G124" s="20">
        <f t="shared" si="24"/>
        <v>126</v>
      </c>
      <c r="H124" s="20">
        <f>1976+238+3088</f>
        <v>5302</v>
      </c>
      <c r="I124" s="20">
        <f>1949+230+3060</f>
        <v>5239</v>
      </c>
      <c r="J124" s="20">
        <f t="shared" si="25"/>
        <v>63</v>
      </c>
      <c r="K124" s="20"/>
      <c r="L124" s="20"/>
      <c r="M124" s="45"/>
      <c r="N124" s="48"/>
      <c r="O124" s="35"/>
      <c r="P124" s="35"/>
      <c r="Q124" s="35"/>
      <c r="R124" s="20"/>
      <c r="S124" s="20"/>
      <c r="T124" s="20"/>
      <c r="U124" s="20"/>
      <c r="V124" s="20"/>
      <c r="W124" s="20"/>
      <c r="X124" s="20"/>
      <c r="Y124" s="45"/>
      <c r="Z124" s="48"/>
      <c r="AA124" s="35"/>
      <c r="AB124" s="35"/>
      <c r="AC124" s="35"/>
      <c r="AD124" s="20"/>
      <c r="AE124" s="20"/>
      <c r="AF124" s="20"/>
      <c r="AG124" s="20"/>
      <c r="AH124" s="20"/>
      <c r="AI124" s="20"/>
      <c r="AJ124" s="20"/>
      <c r="AK124" s="45"/>
      <c r="AL124" s="48"/>
      <c r="AM124" s="35"/>
      <c r="AN124" s="35"/>
      <c r="AO124" s="35"/>
      <c r="AP124" s="20"/>
      <c r="AQ124" s="20"/>
      <c r="AR124" s="20"/>
      <c r="AS124" s="20"/>
      <c r="AT124" s="20"/>
      <c r="AU124" s="20"/>
      <c r="AV124" s="20"/>
      <c r="AW124" s="45"/>
      <c r="AX124" s="48"/>
      <c r="AY124" s="35"/>
      <c r="AZ124" s="35"/>
      <c r="BA124" s="35"/>
    </row>
    <row r="125" spans="1:53" s="29" customFormat="1" ht="12.75">
      <c r="A125" s="46">
        <v>2002</v>
      </c>
      <c r="B125" s="47" t="s">
        <v>49</v>
      </c>
      <c r="C125" s="35">
        <f t="shared" si="15"/>
        <v>0.97881969587255613</v>
      </c>
      <c r="D125" s="35">
        <f t="shared" si="16"/>
        <v>0.99083745647791832</v>
      </c>
      <c r="E125" s="35">
        <f t="shared" si="17"/>
        <v>0.98787110789283128</v>
      </c>
      <c r="F125" s="20">
        <f>2088+248+3188</f>
        <v>5524</v>
      </c>
      <c r="G125" s="20">
        <f t="shared" si="24"/>
        <v>67</v>
      </c>
      <c r="H125" s="20">
        <f>2057+248+3152</f>
        <v>5457</v>
      </c>
      <c r="I125" s="20">
        <f>2022+244+3141</f>
        <v>5407</v>
      </c>
      <c r="J125" s="20">
        <f>H125-I125</f>
        <v>50</v>
      </c>
      <c r="K125" s="20"/>
      <c r="L125" s="20"/>
      <c r="M125" s="46"/>
      <c r="N125" s="47"/>
      <c r="O125" s="35"/>
      <c r="P125" s="35"/>
      <c r="Q125" s="35"/>
      <c r="R125" s="20"/>
      <c r="S125" s="20"/>
      <c r="T125" s="20"/>
      <c r="U125" s="20"/>
      <c r="V125" s="20"/>
      <c r="W125" s="20"/>
      <c r="X125" s="20"/>
      <c r="Y125" s="46"/>
      <c r="Z125" s="47"/>
      <c r="AA125" s="35"/>
      <c r="AB125" s="35"/>
      <c r="AC125" s="35"/>
      <c r="AD125" s="20"/>
      <c r="AE125" s="20"/>
      <c r="AF125" s="20"/>
      <c r="AG125" s="20"/>
      <c r="AH125" s="20"/>
      <c r="AI125" s="20"/>
      <c r="AJ125" s="20"/>
      <c r="AK125" s="46"/>
      <c r="AL125" s="47"/>
      <c r="AM125" s="35"/>
      <c r="AN125" s="35"/>
      <c r="AO125" s="35"/>
      <c r="AP125" s="20"/>
      <c r="AQ125" s="20"/>
      <c r="AR125" s="20"/>
      <c r="AS125" s="20"/>
      <c r="AT125" s="20"/>
      <c r="AU125" s="20"/>
      <c r="AV125" s="20"/>
      <c r="AW125" s="46"/>
      <c r="AX125" s="47"/>
      <c r="AY125" s="35"/>
      <c r="AZ125" s="35"/>
      <c r="BA125" s="35"/>
    </row>
    <row r="126" spans="1:53" s="29" customFormat="1" ht="12.75">
      <c r="A126" s="45">
        <v>2003</v>
      </c>
      <c r="B126" s="48" t="s">
        <v>38</v>
      </c>
      <c r="C126" s="35">
        <f t="shared" si="15"/>
        <v>0.98374128997677324</v>
      </c>
      <c r="D126" s="35">
        <f t="shared" si="16"/>
        <v>0.99368345064067853</v>
      </c>
      <c r="E126" s="35">
        <f t="shared" si="17"/>
        <v>0.98999463998570658</v>
      </c>
      <c r="F126" s="20">
        <f>2115+248+3234</f>
        <v>5597</v>
      </c>
      <c r="G126" s="20">
        <f>F126-H126</f>
        <v>56</v>
      </c>
      <c r="H126" s="20">
        <f>2097+247+3197</f>
        <v>5541</v>
      </c>
      <c r="I126" s="20">
        <f>2075+243+3188</f>
        <v>5506</v>
      </c>
      <c r="J126" s="20">
        <f>H126-I126</f>
        <v>35</v>
      </c>
      <c r="K126" s="20"/>
      <c r="L126" s="20"/>
      <c r="M126" s="45"/>
      <c r="N126" s="48"/>
      <c r="O126" s="35"/>
      <c r="P126" s="35"/>
      <c r="Q126" s="35"/>
      <c r="R126" s="20"/>
      <c r="S126" s="20"/>
      <c r="T126" s="20"/>
      <c r="U126" s="20"/>
      <c r="V126" s="20"/>
      <c r="W126" s="20"/>
      <c r="X126" s="20"/>
      <c r="Y126" s="45"/>
      <c r="Z126" s="48"/>
      <c r="AA126" s="35"/>
      <c r="AB126" s="35"/>
      <c r="AC126" s="35"/>
      <c r="AD126" s="20"/>
      <c r="AE126" s="20"/>
      <c r="AF126" s="20"/>
      <c r="AG126" s="20"/>
      <c r="AH126" s="20"/>
      <c r="AI126" s="20"/>
      <c r="AJ126" s="20"/>
      <c r="AK126" s="45"/>
      <c r="AL126" s="48"/>
      <c r="AM126" s="35"/>
      <c r="AN126" s="35"/>
      <c r="AO126" s="35"/>
      <c r="AP126" s="20"/>
      <c r="AQ126" s="20"/>
      <c r="AR126" s="20"/>
      <c r="AS126" s="20"/>
      <c r="AT126" s="20"/>
      <c r="AU126" s="20"/>
      <c r="AV126" s="20"/>
      <c r="AW126" s="45"/>
      <c r="AX126" s="48"/>
      <c r="AY126" s="35"/>
      <c r="AZ126" s="35"/>
      <c r="BA126" s="35"/>
    </row>
    <row r="127" spans="1:53" s="29" customFormat="1" ht="12.75">
      <c r="A127" s="46">
        <v>2003</v>
      </c>
      <c r="B127" s="47" t="s">
        <v>39</v>
      </c>
      <c r="C127" s="35">
        <f t="shared" si="15"/>
        <v>0.81270572745227121</v>
      </c>
      <c r="D127" s="35">
        <f t="shared" si="16"/>
        <v>0.98938088559406934</v>
      </c>
      <c r="E127" s="35">
        <f t="shared" si="17"/>
        <v>0.8214285714285714</v>
      </c>
      <c r="F127" s="20">
        <f>1920+224+3932</f>
        <v>6076</v>
      </c>
      <c r="G127" s="20">
        <f>F127-H127</f>
        <v>1085</v>
      </c>
      <c r="H127" s="20">
        <f>1903+222+2866</f>
        <v>4991</v>
      </c>
      <c r="I127" s="20">
        <f>1872+208+2858</f>
        <v>4938</v>
      </c>
      <c r="J127" s="20">
        <f>H127-I127</f>
        <v>53</v>
      </c>
      <c r="K127" s="20"/>
      <c r="L127" s="20"/>
      <c r="M127" s="46"/>
      <c r="N127" s="47"/>
      <c r="O127" s="35"/>
      <c r="P127" s="35"/>
      <c r="Q127" s="35"/>
      <c r="R127" s="20"/>
      <c r="S127" s="20"/>
      <c r="T127" s="20"/>
      <c r="U127" s="20"/>
      <c r="V127" s="20"/>
      <c r="W127" s="20"/>
      <c r="X127" s="20"/>
      <c r="Y127" s="46"/>
      <c r="Z127" s="47"/>
      <c r="AA127" s="35"/>
      <c r="AB127" s="35"/>
      <c r="AC127" s="35"/>
      <c r="AD127" s="20"/>
      <c r="AE127" s="20"/>
      <c r="AF127" s="20"/>
      <c r="AG127" s="20"/>
      <c r="AH127" s="20"/>
      <c r="AI127" s="20"/>
      <c r="AJ127" s="20"/>
      <c r="AK127" s="46"/>
      <c r="AL127" s="47"/>
      <c r="AM127" s="35"/>
      <c r="AN127" s="35"/>
      <c r="AO127" s="35"/>
      <c r="AP127" s="20"/>
      <c r="AQ127" s="20"/>
      <c r="AR127" s="20"/>
      <c r="AS127" s="20"/>
      <c r="AT127" s="20"/>
      <c r="AU127" s="20"/>
      <c r="AV127" s="20"/>
      <c r="AW127" s="46"/>
      <c r="AX127" s="47"/>
      <c r="AY127" s="35"/>
      <c r="AZ127" s="35"/>
      <c r="BA127" s="35"/>
    </row>
    <row r="128" spans="1:53" s="29" customFormat="1" ht="12.75">
      <c r="A128" s="45">
        <v>2003</v>
      </c>
      <c r="B128" s="48" t="s">
        <v>40</v>
      </c>
      <c r="C128" s="35">
        <f t="shared" si="15"/>
        <v>0.92956204379562046</v>
      </c>
      <c r="D128" s="35">
        <f t="shared" si="16"/>
        <v>0.98396754877342085</v>
      </c>
      <c r="E128" s="35">
        <f t="shared" si="17"/>
        <v>0.9447080291970803</v>
      </c>
      <c r="F128" s="20">
        <f>2077+248+3155</f>
        <v>5480</v>
      </c>
      <c r="G128" s="20">
        <f>F128-H128</f>
        <v>303</v>
      </c>
      <c r="H128" s="20">
        <f>1966+238+2973</f>
        <v>5177</v>
      </c>
      <c r="I128" s="20">
        <f>1927+215+2952</f>
        <v>5094</v>
      </c>
      <c r="J128" s="20">
        <f>H128-I128</f>
        <v>83</v>
      </c>
      <c r="K128" s="20"/>
      <c r="L128" s="20"/>
      <c r="M128" s="45"/>
      <c r="N128" s="48"/>
      <c r="O128" s="35"/>
      <c r="P128" s="35"/>
      <c r="Q128" s="35"/>
      <c r="R128" s="20"/>
      <c r="S128" s="20"/>
      <c r="T128" s="20"/>
      <c r="U128" s="20"/>
      <c r="V128" s="20"/>
      <c r="W128" s="20"/>
      <c r="X128" s="20"/>
      <c r="Y128" s="45"/>
      <c r="Z128" s="48"/>
      <c r="AA128" s="35"/>
      <c r="AB128" s="35"/>
      <c r="AC128" s="35"/>
      <c r="AD128" s="20"/>
      <c r="AE128" s="20"/>
      <c r="AF128" s="20"/>
      <c r="AG128" s="20"/>
      <c r="AH128" s="20"/>
      <c r="AI128" s="20"/>
      <c r="AJ128" s="20"/>
      <c r="AK128" s="45"/>
      <c r="AL128" s="48"/>
      <c r="AM128" s="35"/>
      <c r="AN128" s="35"/>
      <c r="AO128" s="35"/>
      <c r="AP128" s="20"/>
      <c r="AQ128" s="20"/>
      <c r="AR128" s="20"/>
      <c r="AS128" s="20"/>
      <c r="AT128" s="20"/>
      <c r="AU128" s="20"/>
      <c r="AV128" s="20"/>
      <c r="AW128" s="45"/>
      <c r="AX128" s="48"/>
      <c r="AY128" s="35"/>
      <c r="AZ128" s="35"/>
      <c r="BA128" s="35"/>
    </row>
    <row r="129" spans="1:53" s="29" customFormat="1" ht="12.75">
      <c r="A129" s="46">
        <v>2003</v>
      </c>
      <c r="B129" s="47" t="s">
        <v>41</v>
      </c>
      <c r="C129" s="35">
        <f t="shared" si="15"/>
        <v>0.93646971661418776</v>
      </c>
      <c r="D129" s="35">
        <f t="shared" si="16"/>
        <v>0.98442367601246106</v>
      </c>
      <c r="E129" s="35">
        <f t="shared" si="17"/>
        <v>0.95128727542137437</v>
      </c>
      <c r="F129" s="20">
        <v>5399</v>
      </c>
      <c r="G129" s="20">
        <f>F129-H129</f>
        <v>263</v>
      </c>
      <c r="H129" s="20">
        <v>5136</v>
      </c>
      <c r="I129" s="20">
        <v>5056</v>
      </c>
      <c r="J129" s="20">
        <f>H129-I129</f>
        <v>80</v>
      </c>
      <c r="K129" s="20"/>
      <c r="L129" s="20"/>
      <c r="M129" s="46"/>
      <c r="N129" s="47"/>
      <c r="O129" s="35"/>
      <c r="P129" s="35"/>
      <c r="Q129" s="35"/>
      <c r="R129" s="20"/>
      <c r="S129" s="20"/>
      <c r="T129" s="20"/>
      <c r="U129" s="20"/>
      <c r="V129" s="20"/>
      <c r="W129" s="20"/>
      <c r="X129" s="20"/>
      <c r="Y129" s="46"/>
      <c r="Z129" s="47"/>
      <c r="AA129" s="35"/>
      <c r="AB129" s="35"/>
      <c r="AC129" s="35"/>
      <c r="AD129" s="20"/>
      <c r="AE129" s="20"/>
      <c r="AF129" s="20"/>
      <c r="AG129" s="20"/>
      <c r="AH129" s="20"/>
      <c r="AI129" s="20"/>
      <c r="AJ129" s="20"/>
      <c r="AK129" s="46"/>
      <c r="AL129" s="47"/>
      <c r="AM129" s="35"/>
      <c r="AN129" s="35"/>
      <c r="AO129" s="35"/>
      <c r="AP129" s="20"/>
      <c r="AQ129" s="20"/>
      <c r="AR129" s="20"/>
      <c r="AS129" s="20"/>
      <c r="AT129" s="20"/>
      <c r="AU129" s="20"/>
      <c r="AV129" s="20"/>
      <c r="AW129" s="46"/>
      <c r="AX129" s="47"/>
      <c r="AY129" s="35"/>
      <c r="AZ129" s="35"/>
      <c r="BA129" s="35"/>
    </row>
    <row r="130" spans="1:53" s="29" customFormat="1" ht="12.75">
      <c r="A130" s="45">
        <v>2003</v>
      </c>
      <c r="B130" s="48" t="s">
        <v>42</v>
      </c>
      <c r="C130" s="35">
        <f t="shared" si="15"/>
        <v>0.80821177741761208</v>
      </c>
      <c r="D130" s="35">
        <f t="shared" si="16"/>
        <v>0.9827019925552879</v>
      </c>
      <c r="E130" s="35">
        <f t="shared" si="17"/>
        <v>0.82243832162794883</v>
      </c>
      <c r="F130" s="20">
        <v>5553</v>
      </c>
      <c r="G130" s="20">
        <f t="shared" ref="G130:G148" si="26">F130-H130</f>
        <v>986</v>
      </c>
      <c r="H130" s="20">
        <v>4567</v>
      </c>
      <c r="I130" s="20">
        <v>4488</v>
      </c>
      <c r="J130" s="20">
        <f t="shared" ref="J130:J148" si="27">H130-I130</f>
        <v>79</v>
      </c>
      <c r="K130" s="20"/>
      <c r="L130" s="20"/>
      <c r="M130" s="45"/>
      <c r="N130" s="48"/>
      <c r="O130" s="35"/>
      <c r="P130" s="35"/>
      <c r="Q130" s="35"/>
      <c r="R130" s="20"/>
      <c r="S130" s="20"/>
      <c r="T130" s="20"/>
      <c r="U130" s="20"/>
      <c r="V130" s="20"/>
      <c r="W130" s="20"/>
      <c r="X130" s="20"/>
      <c r="Y130" s="45"/>
      <c r="Z130" s="48"/>
      <c r="AA130" s="35"/>
      <c r="AB130" s="35"/>
      <c r="AC130" s="35"/>
      <c r="AD130" s="20"/>
      <c r="AE130" s="20"/>
      <c r="AF130" s="20"/>
      <c r="AG130" s="20"/>
      <c r="AH130" s="20"/>
      <c r="AI130" s="20"/>
      <c r="AJ130" s="20"/>
      <c r="AK130" s="45"/>
      <c r="AL130" s="48"/>
      <c r="AM130" s="35"/>
      <c r="AN130" s="35"/>
      <c r="AO130" s="35"/>
      <c r="AP130" s="20"/>
      <c r="AQ130" s="20"/>
      <c r="AR130" s="20"/>
      <c r="AS130" s="20"/>
      <c r="AT130" s="20"/>
      <c r="AU130" s="20"/>
      <c r="AV130" s="20"/>
      <c r="AW130" s="45"/>
      <c r="AX130" s="48"/>
      <c r="AY130" s="35"/>
      <c r="AZ130" s="35"/>
      <c r="BA130" s="35"/>
    </row>
    <row r="131" spans="1:53" s="29" customFormat="1" ht="12.75">
      <c r="A131" s="46">
        <v>2003</v>
      </c>
      <c r="B131" s="47" t="s">
        <v>43</v>
      </c>
      <c r="C131" s="35">
        <f t="shared" si="15"/>
        <v>0.75854299662035296</v>
      </c>
      <c r="D131" s="35">
        <f t="shared" si="16"/>
        <v>0.9637404580152672</v>
      </c>
      <c r="E131" s="35">
        <f t="shared" si="17"/>
        <v>0.78708223807735633</v>
      </c>
      <c r="F131" s="20">
        <v>5326</v>
      </c>
      <c r="G131" s="20">
        <f t="shared" si="26"/>
        <v>1134</v>
      </c>
      <c r="H131" s="20">
        <v>4192</v>
      </c>
      <c r="I131" s="20">
        <v>4040</v>
      </c>
      <c r="J131" s="20">
        <f t="shared" si="27"/>
        <v>152</v>
      </c>
      <c r="K131" s="20"/>
      <c r="L131" s="20"/>
      <c r="M131" s="46"/>
      <c r="N131" s="47"/>
      <c r="O131" s="35"/>
      <c r="P131" s="35"/>
      <c r="Q131" s="35"/>
      <c r="R131" s="20"/>
      <c r="S131" s="20"/>
      <c r="T131" s="20"/>
      <c r="U131" s="20"/>
      <c r="V131" s="20"/>
      <c r="W131" s="20"/>
      <c r="X131" s="20"/>
      <c r="Y131" s="46"/>
      <c r="Z131" s="47"/>
      <c r="AA131" s="35"/>
      <c r="AB131" s="35"/>
      <c r="AC131" s="35"/>
      <c r="AD131" s="20"/>
      <c r="AE131" s="20"/>
      <c r="AF131" s="20"/>
      <c r="AG131" s="20"/>
      <c r="AH131" s="20"/>
      <c r="AI131" s="20"/>
      <c r="AJ131" s="20"/>
      <c r="AK131" s="46"/>
      <c r="AL131" s="47"/>
      <c r="AM131" s="35"/>
      <c r="AN131" s="35"/>
      <c r="AO131" s="35"/>
      <c r="AP131" s="20"/>
      <c r="AQ131" s="20"/>
      <c r="AR131" s="20"/>
      <c r="AS131" s="20"/>
      <c r="AT131" s="20"/>
      <c r="AU131" s="20"/>
      <c r="AV131" s="20"/>
      <c r="AW131" s="46"/>
      <c r="AX131" s="47"/>
      <c r="AY131" s="35"/>
      <c r="AZ131" s="35"/>
      <c r="BA131" s="35"/>
    </row>
    <row r="132" spans="1:53" s="29" customFormat="1" ht="12.75">
      <c r="A132" s="45">
        <v>2003</v>
      </c>
      <c r="B132" s="48" t="s">
        <v>44</v>
      </c>
      <c r="C132" s="35">
        <f t="shared" si="15"/>
        <v>0.70136843928633297</v>
      </c>
      <c r="D132" s="35">
        <f t="shared" si="16"/>
        <v>0.97028516654684882</v>
      </c>
      <c r="E132" s="35">
        <f t="shared" si="17"/>
        <v>0.72284773947687508</v>
      </c>
      <c r="F132" s="20">
        <v>5773</v>
      </c>
      <c r="G132" s="20">
        <f t="shared" si="26"/>
        <v>1600</v>
      </c>
      <c r="H132" s="20">
        <v>4173</v>
      </c>
      <c r="I132" s="20">
        <v>4049</v>
      </c>
      <c r="J132" s="20">
        <f t="shared" si="27"/>
        <v>124</v>
      </c>
      <c r="K132" s="20"/>
      <c r="L132" s="20"/>
      <c r="M132" s="45"/>
      <c r="N132" s="48"/>
      <c r="O132" s="35"/>
      <c r="P132" s="35"/>
      <c r="Q132" s="35"/>
      <c r="R132" s="20"/>
      <c r="S132" s="20"/>
      <c r="T132" s="20"/>
      <c r="U132" s="20"/>
      <c r="V132" s="20"/>
      <c r="W132" s="20"/>
      <c r="X132" s="20"/>
      <c r="Y132" s="45"/>
      <c r="Z132" s="48"/>
      <c r="AA132" s="35"/>
      <c r="AB132" s="35"/>
      <c r="AC132" s="35"/>
      <c r="AD132" s="20"/>
      <c r="AE132" s="20"/>
      <c r="AF132" s="20"/>
      <c r="AG132" s="20"/>
      <c r="AH132" s="20"/>
      <c r="AI132" s="20"/>
      <c r="AJ132" s="20"/>
      <c r="AK132" s="45"/>
      <c r="AL132" s="48"/>
      <c r="AM132" s="35"/>
      <c r="AN132" s="35"/>
      <c r="AO132" s="35"/>
      <c r="AP132" s="20"/>
      <c r="AQ132" s="20"/>
      <c r="AR132" s="20"/>
      <c r="AS132" s="20"/>
      <c r="AT132" s="20"/>
      <c r="AU132" s="20"/>
      <c r="AV132" s="20"/>
      <c r="AW132" s="45"/>
      <c r="AX132" s="48"/>
      <c r="AY132" s="35"/>
      <c r="AZ132" s="35"/>
      <c r="BA132" s="35"/>
    </row>
    <row r="133" spans="1:53" s="29" customFormat="1" ht="12.75">
      <c r="A133" s="46">
        <v>2003</v>
      </c>
      <c r="B133" s="47" t="s">
        <v>45</v>
      </c>
      <c r="C133" s="35">
        <f t="shared" si="15"/>
        <v>0.58083941605839418</v>
      </c>
      <c r="D133" s="35">
        <f t="shared" si="16"/>
        <v>0.97250229147571032</v>
      </c>
      <c r="E133" s="35">
        <f t="shared" si="17"/>
        <v>0.5972627737226277</v>
      </c>
      <c r="F133" s="20">
        <v>5480</v>
      </c>
      <c r="G133" s="20">
        <f t="shared" si="26"/>
        <v>2207</v>
      </c>
      <c r="H133" s="20">
        <v>3273</v>
      </c>
      <c r="I133" s="20">
        <v>3183</v>
      </c>
      <c r="J133" s="20">
        <f t="shared" si="27"/>
        <v>90</v>
      </c>
      <c r="K133" s="20"/>
      <c r="L133" s="20"/>
      <c r="M133" s="46"/>
      <c r="N133" s="47"/>
      <c r="O133" s="35"/>
      <c r="P133" s="35"/>
      <c r="Q133" s="35"/>
      <c r="R133" s="20"/>
      <c r="S133" s="20"/>
      <c r="T133" s="20"/>
      <c r="U133" s="20"/>
      <c r="V133" s="20"/>
      <c r="W133" s="20"/>
      <c r="X133" s="20"/>
      <c r="Y133" s="46"/>
      <c r="Z133" s="47"/>
      <c r="AA133" s="35"/>
      <c r="AB133" s="35"/>
      <c r="AC133" s="35"/>
      <c r="AD133" s="20"/>
      <c r="AE133" s="20"/>
      <c r="AF133" s="20"/>
      <c r="AG133" s="20"/>
      <c r="AH133" s="20"/>
      <c r="AI133" s="20"/>
      <c r="AJ133" s="20"/>
      <c r="AK133" s="46"/>
      <c r="AL133" s="47"/>
      <c r="AM133" s="35"/>
      <c r="AN133" s="35"/>
      <c r="AO133" s="35"/>
      <c r="AP133" s="20"/>
      <c r="AQ133" s="20"/>
      <c r="AR133" s="20"/>
      <c r="AS133" s="20"/>
      <c r="AT133" s="20"/>
      <c r="AU133" s="20"/>
      <c r="AV133" s="20"/>
      <c r="AW133" s="46"/>
      <c r="AX133" s="47"/>
      <c r="AY133" s="35"/>
      <c r="AZ133" s="35"/>
      <c r="BA133" s="35"/>
    </row>
    <row r="134" spans="1:53" s="29" customFormat="1" ht="12.75">
      <c r="A134" s="45">
        <v>2003</v>
      </c>
      <c r="B134" s="48" t="s">
        <v>46</v>
      </c>
      <c r="C134" s="35">
        <f t="shared" si="15"/>
        <v>0.63377192982456143</v>
      </c>
      <c r="D134" s="35">
        <f t="shared" si="16"/>
        <v>0.96226415094339623</v>
      </c>
      <c r="E134" s="35">
        <f t="shared" si="17"/>
        <v>0.658625730994152</v>
      </c>
      <c r="F134" s="92">
        <f t="shared" ref="F134:F148" si="28">+R134+AD134+AP134</f>
        <v>5472</v>
      </c>
      <c r="G134" s="27">
        <f t="shared" si="26"/>
        <v>1868</v>
      </c>
      <c r="H134" s="92">
        <f t="shared" ref="H134:H148" si="29">+T134+AF134+AR134</f>
        <v>3604</v>
      </c>
      <c r="I134" s="92">
        <f t="shared" ref="I134:I148" si="30">+U134+AG134+AS134</f>
        <v>3468</v>
      </c>
      <c r="J134" s="27">
        <f t="shared" si="27"/>
        <v>136</v>
      </c>
      <c r="K134" s="20"/>
      <c r="L134" s="20"/>
      <c r="M134" s="45">
        <v>2003</v>
      </c>
      <c r="N134" s="48" t="s">
        <v>46</v>
      </c>
      <c r="O134" s="35">
        <f t="shared" ref="O134:O148" si="31">U134/R134</f>
        <v>0.57996207332490524</v>
      </c>
      <c r="P134" s="35">
        <f t="shared" ref="P134:P148" si="32">U134/T134</f>
        <v>0.99189189189189186</v>
      </c>
      <c r="Q134" s="35">
        <f t="shared" ref="Q134:Q148" si="33">T134/R134</f>
        <v>0.58470290771175726</v>
      </c>
      <c r="R134" s="20">
        <v>3164</v>
      </c>
      <c r="S134" s="27">
        <f t="shared" ref="S134:S148" si="34">R134-T134</f>
        <v>1314</v>
      </c>
      <c r="T134" s="20">
        <v>1850</v>
      </c>
      <c r="U134" s="20">
        <v>1835</v>
      </c>
      <c r="V134" s="20">
        <f t="shared" ref="V134:V148" si="35">T134-U134</f>
        <v>15</v>
      </c>
      <c r="W134" s="20"/>
      <c r="X134" s="20"/>
      <c r="Y134" s="45">
        <v>2003</v>
      </c>
      <c r="Z134" s="48" t="s">
        <v>46</v>
      </c>
      <c r="AA134" s="35">
        <f t="shared" ref="AA134:AA148" si="36">AG134/AD134</f>
        <v>0.72098646034816249</v>
      </c>
      <c r="AB134" s="35">
        <f t="shared" ref="AB134:AB148" si="37">AG134/AF134</f>
        <v>0.92839352428393529</v>
      </c>
      <c r="AC134" s="35">
        <f t="shared" ref="AC134:AC148" si="38">AF134/AD134</f>
        <v>0.77659574468085102</v>
      </c>
      <c r="AD134" s="20">
        <v>2068</v>
      </c>
      <c r="AE134" s="27">
        <f t="shared" ref="AE134:AE148" si="39">AD134-AF134</f>
        <v>462</v>
      </c>
      <c r="AF134" s="20">
        <v>1606</v>
      </c>
      <c r="AG134" s="20">
        <v>1491</v>
      </c>
      <c r="AH134" s="20">
        <f t="shared" ref="AH134:AH148" si="40">AF134-AG134</f>
        <v>115</v>
      </c>
      <c r="AI134" s="20"/>
      <c r="AJ134" s="20"/>
      <c r="AK134" s="45">
        <v>2003</v>
      </c>
      <c r="AL134" s="48" t="s">
        <v>46</v>
      </c>
      <c r="AM134" s="35">
        <f t="shared" ref="AM134:AM148" si="41">AS134/AP134</f>
        <v>0.59166666666666667</v>
      </c>
      <c r="AN134" s="35">
        <f t="shared" ref="AN134:AN148" si="42">AS134/AR134</f>
        <v>0.95945945945945943</v>
      </c>
      <c r="AO134" s="35">
        <f t="shared" ref="AO134:AO148" si="43">AR134/AP134</f>
        <v>0.6166666666666667</v>
      </c>
      <c r="AP134" s="20">
        <v>240</v>
      </c>
      <c r="AQ134" s="27">
        <f t="shared" ref="AQ134:AQ148" si="44">AP134-AR134</f>
        <v>92</v>
      </c>
      <c r="AR134" s="20">
        <v>148</v>
      </c>
      <c r="AS134" s="20">
        <v>142</v>
      </c>
      <c r="AT134" s="20">
        <f t="shared" ref="AT134:AT148" si="45">AR134-AS134</f>
        <v>6</v>
      </c>
      <c r="AU134" s="20"/>
      <c r="AV134" s="20"/>
      <c r="AW134" s="45"/>
      <c r="AX134" s="48"/>
      <c r="AY134" s="35"/>
      <c r="AZ134" s="35"/>
      <c r="BA134" s="35"/>
    </row>
    <row r="135" spans="1:53" s="29" customFormat="1" ht="12.75">
      <c r="A135" s="46">
        <v>2003</v>
      </c>
      <c r="B135" s="47" t="s">
        <v>47</v>
      </c>
      <c r="C135" s="35">
        <f t="shared" ref="C135:C198" si="46">I135/F135</f>
        <v>0.7277112738967304</v>
      </c>
      <c r="D135" s="35">
        <f t="shared" ref="D135:D198" si="47">I135/H135</f>
        <v>0.97114926084883169</v>
      </c>
      <c r="E135" s="35">
        <f t="shared" ref="E135:E198" si="48">H135/F135</f>
        <v>0.74932999821332857</v>
      </c>
      <c r="F135" s="92">
        <f t="shared" si="28"/>
        <v>5597</v>
      </c>
      <c r="G135" s="27">
        <f t="shared" si="26"/>
        <v>1403</v>
      </c>
      <c r="H135" s="92">
        <f t="shared" si="29"/>
        <v>4194</v>
      </c>
      <c r="I135" s="92">
        <f t="shared" si="30"/>
        <v>4073</v>
      </c>
      <c r="J135" s="27">
        <f t="shared" si="27"/>
        <v>121</v>
      </c>
      <c r="K135" s="20"/>
      <c r="L135" s="20"/>
      <c r="M135" s="46">
        <v>2003</v>
      </c>
      <c r="N135" s="47" t="s">
        <v>47</v>
      </c>
      <c r="O135" s="35">
        <f t="shared" si="31"/>
        <v>0.83704390847247989</v>
      </c>
      <c r="P135" s="35">
        <f t="shared" si="32"/>
        <v>0.98579752367079387</v>
      </c>
      <c r="Q135" s="35">
        <f t="shared" si="33"/>
        <v>0.84910327767470628</v>
      </c>
      <c r="R135" s="20">
        <v>3234</v>
      </c>
      <c r="S135" s="27">
        <f t="shared" si="34"/>
        <v>488</v>
      </c>
      <c r="T135" s="20">
        <v>2746</v>
      </c>
      <c r="U135" s="20">
        <v>2707</v>
      </c>
      <c r="V135" s="20">
        <f t="shared" si="35"/>
        <v>39</v>
      </c>
      <c r="W135" s="20"/>
      <c r="X135" s="20"/>
      <c r="Y135" s="46">
        <v>2003</v>
      </c>
      <c r="Z135" s="47" t="s">
        <v>47</v>
      </c>
      <c r="AA135" s="35">
        <f t="shared" si="36"/>
        <v>0.59810874704491723</v>
      </c>
      <c r="AB135" s="35">
        <f t="shared" si="37"/>
        <v>0.94402985074626866</v>
      </c>
      <c r="AC135" s="35">
        <f t="shared" si="38"/>
        <v>0.6335697399527187</v>
      </c>
      <c r="AD135" s="20">
        <v>2115</v>
      </c>
      <c r="AE135" s="27">
        <f t="shared" si="39"/>
        <v>775</v>
      </c>
      <c r="AF135" s="20">
        <v>1340</v>
      </c>
      <c r="AG135" s="20">
        <v>1265</v>
      </c>
      <c r="AH135" s="20">
        <f t="shared" si="40"/>
        <v>75</v>
      </c>
      <c r="AI135" s="20"/>
      <c r="AJ135" s="20"/>
      <c r="AK135" s="46">
        <v>2003</v>
      </c>
      <c r="AL135" s="47" t="s">
        <v>47</v>
      </c>
      <c r="AM135" s="35">
        <f t="shared" si="41"/>
        <v>0.40725806451612906</v>
      </c>
      <c r="AN135" s="35">
        <f t="shared" si="42"/>
        <v>0.93518518518518523</v>
      </c>
      <c r="AO135" s="35">
        <f t="shared" si="43"/>
        <v>0.43548387096774194</v>
      </c>
      <c r="AP135" s="20">
        <v>248</v>
      </c>
      <c r="AQ135" s="27">
        <f t="shared" si="44"/>
        <v>140</v>
      </c>
      <c r="AR135" s="20">
        <v>108</v>
      </c>
      <c r="AS135" s="20">
        <v>101</v>
      </c>
      <c r="AT135" s="20">
        <f t="shared" si="45"/>
        <v>7</v>
      </c>
      <c r="AU135" s="20"/>
      <c r="AV135" s="20"/>
      <c r="AW135" s="46"/>
      <c r="AX135" s="47"/>
      <c r="AY135" s="35"/>
      <c r="AZ135" s="35"/>
      <c r="BA135" s="35"/>
    </row>
    <row r="136" spans="1:53" s="29" customFormat="1" ht="12.75">
      <c r="A136" s="45">
        <v>2003</v>
      </c>
      <c r="B136" s="48" t="s">
        <v>48</v>
      </c>
      <c r="C136" s="35">
        <f t="shared" si="46"/>
        <v>0.72287581699346404</v>
      </c>
      <c r="D136" s="35">
        <f t="shared" si="47"/>
        <v>0.934798357884569</v>
      </c>
      <c r="E136" s="35">
        <f t="shared" si="48"/>
        <v>0.77329598506069097</v>
      </c>
      <c r="F136" s="92">
        <f t="shared" si="28"/>
        <v>5355</v>
      </c>
      <c r="G136" s="27">
        <f t="shared" si="26"/>
        <v>1214</v>
      </c>
      <c r="H136" s="92">
        <f t="shared" si="29"/>
        <v>4141</v>
      </c>
      <c r="I136" s="92">
        <f t="shared" si="30"/>
        <v>3871</v>
      </c>
      <c r="J136" s="27">
        <f t="shared" si="27"/>
        <v>270</v>
      </c>
      <c r="K136" s="20"/>
      <c r="L136" s="20"/>
      <c r="M136" s="45">
        <v>2003</v>
      </c>
      <c r="N136" s="48" t="s">
        <v>48</v>
      </c>
      <c r="O136" s="35">
        <f t="shared" si="31"/>
        <v>0.81491085899513771</v>
      </c>
      <c r="P136" s="35">
        <f t="shared" si="32"/>
        <v>0.94975443898753309</v>
      </c>
      <c r="Q136" s="35">
        <f t="shared" si="33"/>
        <v>0.85802269043760127</v>
      </c>
      <c r="R136" s="20">
        <v>3085</v>
      </c>
      <c r="S136" s="27">
        <f t="shared" si="34"/>
        <v>438</v>
      </c>
      <c r="T136" s="20">
        <v>2647</v>
      </c>
      <c r="U136" s="20">
        <v>2514</v>
      </c>
      <c r="V136" s="20">
        <f t="shared" si="35"/>
        <v>133</v>
      </c>
      <c r="W136" s="20"/>
      <c r="X136" s="20"/>
      <c r="Y136" s="45">
        <v>2003</v>
      </c>
      <c r="Z136" s="48" t="s">
        <v>48</v>
      </c>
      <c r="AA136" s="35">
        <f t="shared" si="36"/>
        <v>0.61527093596059113</v>
      </c>
      <c r="AB136" s="35">
        <f t="shared" si="37"/>
        <v>0.90638606676342526</v>
      </c>
      <c r="AC136" s="35">
        <f t="shared" si="38"/>
        <v>0.67881773399014778</v>
      </c>
      <c r="AD136" s="20">
        <v>2030</v>
      </c>
      <c r="AE136" s="27">
        <f t="shared" si="39"/>
        <v>652</v>
      </c>
      <c r="AF136" s="20">
        <v>1378</v>
      </c>
      <c r="AG136" s="20">
        <v>1249</v>
      </c>
      <c r="AH136" s="20">
        <f t="shared" si="40"/>
        <v>129</v>
      </c>
      <c r="AI136" s="20"/>
      <c r="AJ136" s="20"/>
      <c r="AK136" s="45">
        <v>2003</v>
      </c>
      <c r="AL136" s="48" t="s">
        <v>48</v>
      </c>
      <c r="AM136" s="35">
        <f t="shared" si="41"/>
        <v>0.45</v>
      </c>
      <c r="AN136" s="35">
        <f t="shared" si="42"/>
        <v>0.93103448275862066</v>
      </c>
      <c r="AO136" s="35">
        <f t="shared" si="43"/>
        <v>0.48333333333333334</v>
      </c>
      <c r="AP136" s="20">
        <v>240</v>
      </c>
      <c r="AQ136" s="27">
        <f t="shared" si="44"/>
        <v>124</v>
      </c>
      <c r="AR136" s="20">
        <v>116</v>
      </c>
      <c r="AS136" s="20">
        <v>108</v>
      </c>
      <c r="AT136" s="20">
        <f t="shared" si="45"/>
        <v>8</v>
      </c>
      <c r="AU136" s="20"/>
      <c r="AV136" s="20"/>
      <c r="AW136" s="45"/>
      <c r="AX136" s="48"/>
      <c r="AY136" s="35"/>
      <c r="AZ136" s="35"/>
      <c r="BA136" s="35"/>
    </row>
    <row r="137" spans="1:53" s="29" customFormat="1" ht="12.75">
      <c r="A137" s="46">
        <v>2003</v>
      </c>
      <c r="B137" s="47" t="s">
        <v>49</v>
      </c>
      <c r="C137" s="35">
        <f t="shared" si="46"/>
        <v>0.70510499637943524</v>
      </c>
      <c r="D137" s="35">
        <f t="shared" si="47"/>
        <v>0.92189349112426033</v>
      </c>
      <c r="E137" s="35">
        <f t="shared" si="48"/>
        <v>0.76484431571325129</v>
      </c>
      <c r="F137" s="92">
        <f t="shared" si="28"/>
        <v>5524</v>
      </c>
      <c r="G137" s="27">
        <f t="shared" si="26"/>
        <v>1299</v>
      </c>
      <c r="H137" s="92">
        <f t="shared" si="29"/>
        <v>4225</v>
      </c>
      <c r="I137" s="92">
        <f t="shared" si="30"/>
        <v>3895</v>
      </c>
      <c r="J137" s="27">
        <f t="shared" si="27"/>
        <v>330</v>
      </c>
      <c r="K137" s="20"/>
      <c r="L137" s="20"/>
      <c r="M137" s="46">
        <v>2003</v>
      </c>
      <c r="N137" s="47" t="s">
        <v>49</v>
      </c>
      <c r="O137" s="35">
        <f t="shared" si="31"/>
        <v>0.8193224592220828</v>
      </c>
      <c r="P137" s="35">
        <f t="shared" si="32"/>
        <v>0.97754491017964074</v>
      </c>
      <c r="Q137" s="35">
        <f t="shared" si="33"/>
        <v>0.83814303638644916</v>
      </c>
      <c r="R137" s="20">
        <v>3188</v>
      </c>
      <c r="S137" s="27">
        <f t="shared" si="34"/>
        <v>516</v>
      </c>
      <c r="T137" s="20">
        <v>2672</v>
      </c>
      <c r="U137" s="20">
        <v>2612</v>
      </c>
      <c r="V137" s="20">
        <f t="shared" si="35"/>
        <v>60</v>
      </c>
      <c r="W137" s="20"/>
      <c r="X137" s="20"/>
      <c r="Y137" s="46">
        <v>2003</v>
      </c>
      <c r="Z137" s="47" t="s">
        <v>49</v>
      </c>
      <c r="AA137" s="35">
        <f t="shared" si="36"/>
        <v>0.55220306513409967</v>
      </c>
      <c r="AB137" s="35">
        <f t="shared" si="37"/>
        <v>0.81484098939929328</v>
      </c>
      <c r="AC137" s="35">
        <f t="shared" si="38"/>
        <v>0.67768199233716475</v>
      </c>
      <c r="AD137" s="20">
        <v>2088</v>
      </c>
      <c r="AE137" s="27">
        <f t="shared" si="39"/>
        <v>673</v>
      </c>
      <c r="AF137" s="20">
        <v>1415</v>
      </c>
      <c r="AG137" s="20">
        <v>1153</v>
      </c>
      <c r="AH137" s="20">
        <f t="shared" si="40"/>
        <v>262</v>
      </c>
      <c r="AI137" s="20"/>
      <c r="AJ137" s="20"/>
      <c r="AK137" s="46">
        <v>2003</v>
      </c>
      <c r="AL137" s="47" t="s">
        <v>49</v>
      </c>
      <c r="AM137" s="35">
        <f t="shared" si="41"/>
        <v>0.52419354838709675</v>
      </c>
      <c r="AN137" s="35">
        <f t="shared" si="42"/>
        <v>0.94202898550724634</v>
      </c>
      <c r="AO137" s="35">
        <f t="shared" si="43"/>
        <v>0.55645161290322576</v>
      </c>
      <c r="AP137" s="20">
        <v>248</v>
      </c>
      <c r="AQ137" s="27">
        <f t="shared" si="44"/>
        <v>110</v>
      </c>
      <c r="AR137" s="20">
        <v>138</v>
      </c>
      <c r="AS137" s="20">
        <v>130</v>
      </c>
      <c r="AT137" s="20">
        <f t="shared" si="45"/>
        <v>8</v>
      </c>
      <c r="AU137" s="20"/>
      <c r="AV137" s="20"/>
      <c r="AW137" s="46"/>
      <c r="AX137" s="47"/>
      <c r="AY137" s="35"/>
      <c r="AZ137" s="35"/>
      <c r="BA137" s="35"/>
    </row>
    <row r="138" spans="1:53" s="29" customFormat="1" ht="12.75">
      <c r="A138" s="45">
        <v>2004</v>
      </c>
      <c r="B138" s="48" t="s">
        <v>38</v>
      </c>
      <c r="C138" s="35">
        <f t="shared" si="46"/>
        <v>0.72807491446065187</v>
      </c>
      <c r="D138" s="35">
        <f t="shared" si="47"/>
        <v>0.92453693116853419</v>
      </c>
      <c r="E138" s="35">
        <f t="shared" si="48"/>
        <v>0.78750225103547633</v>
      </c>
      <c r="F138" s="92">
        <f t="shared" si="28"/>
        <v>5553</v>
      </c>
      <c r="G138" s="27">
        <f t="shared" si="26"/>
        <v>1180</v>
      </c>
      <c r="H138" s="92">
        <f t="shared" si="29"/>
        <v>4373</v>
      </c>
      <c r="I138" s="92">
        <f t="shared" si="30"/>
        <v>4043</v>
      </c>
      <c r="J138" s="27">
        <f t="shared" si="27"/>
        <v>330</v>
      </c>
      <c r="K138" s="20"/>
      <c r="L138" s="20"/>
      <c r="M138" s="45">
        <v>2004</v>
      </c>
      <c r="N138" s="48" t="s">
        <v>38</v>
      </c>
      <c r="O138" s="35">
        <f t="shared" si="31"/>
        <v>0.84442361761949392</v>
      </c>
      <c r="P138" s="35">
        <f t="shared" si="32"/>
        <v>0.98255179934569248</v>
      </c>
      <c r="Q138" s="35">
        <f t="shared" si="33"/>
        <v>0.85941893158388005</v>
      </c>
      <c r="R138" s="20">
        <v>3201</v>
      </c>
      <c r="S138" s="27">
        <f t="shared" si="34"/>
        <v>450</v>
      </c>
      <c r="T138" s="20">
        <v>2751</v>
      </c>
      <c r="U138" s="20">
        <v>2703</v>
      </c>
      <c r="V138" s="20">
        <f t="shared" si="35"/>
        <v>48</v>
      </c>
      <c r="W138" s="20"/>
      <c r="X138" s="20"/>
      <c r="Y138" s="45">
        <v>2004</v>
      </c>
      <c r="Z138" s="48" t="s">
        <v>38</v>
      </c>
      <c r="AA138" s="35">
        <f t="shared" si="36"/>
        <v>0.58412547528517111</v>
      </c>
      <c r="AB138" s="35">
        <f t="shared" si="37"/>
        <v>0.81824234354194403</v>
      </c>
      <c r="AC138" s="35">
        <f t="shared" si="38"/>
        <v>0.71387832699619769</v>
      </c>
      <c r="AD138" s="20">
        <v>2104</v>
      </c>
      <c r="AE138" s="27">
        <f t="shared" si="39"/>
        <v>602</v>
      </c>
      <c r="AF138" s="20">
        <v>1502</v>
      </c>
      <c r="AG138" s="20">
        <v>1229</v>
      </c>
      <c r="AH138" s="20">
        <f t="shared" si="40"/>
        <v>273</v>
      </c>
      <c r="AI138" s="20"/>
      <c r="AJ138" s="20"/>
      <c r="AK138" s="45">
        <v>2004</v>
      </c>
      <c r="AL138" s="48" t="s">
        <v>38</v>
      </c>
      <c r="AM138" s="35">
        <f t="shared" si="41"/>
        <v>0.44758064516129031</v>
      </c>
      <c r="AN138" s="35">
        <f t="shared" si="42"/>
        <v>0.92500000000000004</v>
      </c>
      <c r="AO138" s="35">
        <f t="shared" si="43"/>
        <v>0.4838709677419355</v>
      </c>
      <c r="AP138" s="20">
        <v>248</v>
      </c>
      <c r="AQ138" s="27">
        <f t="shared" si="44"/>
        <v>128</v>
      </c>
      <c r="AR138" s="20">
        <v>120</v>
      </c>
      <c r="AS138" s="20">
        <v>111</v>
      </c>
      <c r="AT138" s="20">
        <f t="shared" si="45"/>
        <v>9</v>
      </c>
      <c r="AU138" s="20"/>
      <c r="AV138" s="20"/>
      <c r="AW138" s="45"/>
      <c r="AX138" s="48"/>
      <c r="AY138" s="35"/>
      <c r="AZ138" s="35"/>
      <c r="BA138" s="35"/>
    </row>
    <row r="139" spans="1:53" s="29" customFormat="1" ht="12.75">
      <c r="A139" s="46">
        <v>2004</v>
      </c>
      <c r="B139" s="47" t="s">
        <v>39</v>
      </c>
      <c r="C139" s="35">
        <f t="shared" si="46"/>
        <v>0.68986733320515281</v>
      </c>
      <c r="D139" s="35">
        <f t="shared" si="47"/>
        <v>0.94049803407601573</v>
      </c>
      <c r="E139" s="35">
        <f t="shared" si="48"/>
        <v>0.73351278600269176</v>
      </c>
      <c r="F139" s="92">
        <f t="shared" si="28"/>
        <v>5201</v>
      </c>
      <c r="G139" s="27">
        <f t="shared" si="26"/>
        <v>1386</v>
      </c>
      <c r="H139" s="92">
        <f t="shared" si="29"/>
        <v>3815</v>
      </c>
      <c r="I139" s="92">
        <f t="shared" si="30"/>
        <v>3588</v>
      </c>
      <c r="J139" s="27">
        <f t="shared" si="27"/>
        <v>227</v>
      </c>
      <c r="K139" s="20"/>
      <c r="L139" s="20"/>
      <c r="M139" s="46">
        <v>2004</v>
      </c>
      <c r="N139" s="47" t="s">
        <v>39</v>
      </c>
      <c r="O139" s="35">
        <f t="shared" si="31"/>
        <v>0.83244503664223846</v>
      </c>
      <c r="P139" s="35">
        <f t="shared" si="32"/>
        <v>0.98153967007069909</v>
      </c>
      <c r="Q139" s="35">
        <f t="shared" si="33"/>
        <v>0.84810126582278478</v>
      </c>
      <c r="R139" s="20">
        <v>3002</v>
      </c>
      <c r="S139" s="27">
        <f t="shared" si="34"/>
        <v>456</v>
      </c>
      <c r="T139" s="20">
        <v>2546</v>
      </c>
      <c r="U139" s="20">
        <v>2499</v>
      </c>
      <c r="V139" s="20">
        <f t="shared" si="35"/>
        <v>47</v>
      </c>
      <c r="W139" s="20"/>
      <c r="X139" s="20"/>
      <c r="Y139" s="46">
        <v>2004</v>
      </c>
      <c r="Z139" s="47" t="s">
        <v>39</v>
      </c>
      <c r="AA139" s="35">
        <f t="shared" si="36"/>
        <v>0.50482968988307064</v>
      </c>
      <c r="AB139" s="35">
        <f t="shared" si="37"/>
        <v>0.85236051502145926</v>
      </c>
      <c r="AC139" s="35">
        <f t="shared" si="38"/>
        <v>0.59227249618708688</v>
      </c>
      <c r="AD139" s="20">
        <v>1967</v>
      </c>
      <c r="AE139" s="27">
        <f t="shared" si="39"/>
        <v>802</v>
      </c>
      <c r="AF139" s="20">
        <v>1165</v>
      </c>
      <c r="AG139" s="20">
        <v>993</v>
      </c>
      <c r="AH139" s="20">
        <f t="shared" si="40"/>
        <v>172</v>
      </c>
      <c r="AI139" s="20"/>
      <c r="AJ139" s="20"/>
      <c r="AK139" s="46">
        <v>2004</v>
      </c>
      <c r="AL139" s="47" t="s">
        <v>39</v>
      </c>
      <c r="AM139" s="35">
        <f t="shared" si="41"/>
        <v>0.41379310344827586</v>
      </c>
      <c r="AN139" s="35">
        <f t="shared" si="42"/>
        <v>0.92307692307692313</v>
      </c>
      <c r="AO139" s="35">
        <f t="shared" si="43"/>
        <v>0.44827586206896552</v>
      </c>
      <c r="AP139" s="20">
        <v>232</v>
      </c>
      <c r="AQ139" s="27">
        <f t="shared" si="44"/>
        <v>128</v>
      </c>
      <c r="AR139" s="20">
        <v>104</v>
      </c>
      <c r="AS139" s="20">
        <v>96</v>
      </c>
      <c r="AT139" s="20">
        <f t="shared" si="45"/>
        <v>8</v>
      </c>
      <c r="AU139" s="20"/>
      <c r="AV139" s="20"/>
      <c r="AW139" s="46"/>
      <c r="AX139" s="47"/>
      <c r="AY139" s="35"/>
      <c r="AZ139" s="35"/>
      <c r="BA139" s="35"/>
    </row>
    <row r="140" spans="1:53" s="29" customFormat="1" ht="12.75">
      <c r="A140" s="45">
        <v>2004</v>
      </c>
      <c r="B140" s="48" t="s">
        <v>40</v>
      </c>
      <c r="C140" s="35">
        <f t="shared" si="46"/>
        <v>0.68218694885361553</v>
      </c>
      <c r="D140" s="35">
        <f t="shared" si="47"/>
        <v>0.88919540229885052</v>
      </c>
      <c r="E140" s="35">
        <f t="shared" si="48"/>
        <v>0.76719576719576721</v>
      </c>
      <c r="F140" s="92">
        <f t="shared" si="28"/>
        <v>5670</v>
      </c>
      <c r="G140" s="27">
        <f t="shared" si="26"/>
        <v>1320</v>
      </c>
      <c r="H140" s="92">
        <f t="shared" si="29"/>
        <v>4350</v>
      </c>
      <c r="I140" s="92">
        <f t="shared" si="30"/>
        <v>3868</v>
      </c>
      <c r="J140" s="27">
        <f t="shared" si="27"/>
        <v>482</v>
      </c>
      <c r="K140" s="20"/>
      <c r="L140" s="20"/>
      <c r="M140" s="45">
        <v>2004</v>
      </c>
      <c r="N140" s="48" t="s">
        <v>40</v>
      </c>
      <c r="O140" s="35">
        <f t="shared" si="31"/>
        <v>0.80152439024390243</v>
      </c>
      <c r="P140" s="35">
        <f t="shared" si="32"/>
        <v>0.97082717872968982</v>
      </c>
      <c r="Q140" s="35">
        <f t="shared" si="33"/>
        <v>0.82560975609756093</v>
      </c>
      <c r="R140" s="20">
        <v>3280</v>
      </c>
      <c r="S140" s="27">
        <f t="shared" si="34"/>
        <v>572</v>
      </c>
      <c r="T140" s="20">
        <v>2708</v>
      </c>
      <c r="U140" s="20">
        <v>2629</v>
      </c>
      <c r="V140" s="20">
        <f t="shared" si="35"/>
        <v>79</v>
      </c>
      <c r="W140" s="20"/>
      <c r="X140" s="20"/>
      <c r="Y140" s="45">
        <v>2004</v>
      </c>
      <c r="Z140" s="48" t="s">
        <v>40</v>
      </c>
      <c r="AA140" s="35">
        <f t="shared" si="36"/>
        <v>0.54248366013071891</v>
      </c>
      <c r="AB140" s="35">
        <f t="shared" si="37"/>
        <v>0.74871134020618557</v>
      </c>
      <c r="AC140" s="35">
        <f t="shared" si="38"/>
        <v>0.72455648926237159</v>
      </c>
      <c r="AD140" s="20">
        <v>2142</v>
      </c>
      <c r="AE140" s="27">
        <f t="shared" si="39"/>
        <v>590</v>
      </c>
      <c r="AF140" s="20">
        <v>1552</v>
      </c>
      <c r="AG140" s="20">
        <v>1162</v>
      </c>
      <c r="AH140" s="20">
        <f t="shared" si="40"/>
        <v>390</v>
      </c>
      <c r="AI140" s="20"/>
      <c r="AJ140" s="20"/>
      <c r="AK140" s="45">
        <v>2004</v>
      </c>
      <c r="AL140" s="48" t="s">
        <v>40</v>
      </c>
      <c r="AM140" s="35">
        <f t="shared" si="41"/>
        <v>0.31048387096774194</v>
      </c>
      <c r="AN140" s="35">
        <f t="shared" si="42"/>
        <v>0.85555555555555551</v>
      </c>
      <c r="AO140" s="35">
        <f t="shared" si="43"/>
        <v>0.36290322580645162</v>
      </c>
      <c r="AP140" s="20">
        <v>248</v>
      </c>
      <c r="AQ140" s="27">
        <f t="shared" si="44"/>
        <v>158</v>
      </c>
      <c r="AR140" s="20">
        <v>90</v>
      </c>
      <c r="AS140" s="20">
        <v>77</v>
      </c>
      <c r="AT140" s="20">
        <f t="shared" si="45"/>
        <v>13</v>
      </c>
      <c r="AU140" s="20"/>
      <c r="AV140" s="20"/>
      <c r="AW140" s="45"/>
      <c r="AX140" s="48"/>
      <c r="AY140" s="35"/>
      <c r="AZ140" s="35"/>
      <c r="BA140" s="35"/>
    </row>
    <row r="141" spans="1:53" s="29" customFormat="1" ht="12.75">
      <c r="A141" s="46">
        <v>2004</v>
      </c>
      <c r="B141" s="47" t="s">
        <v>41</v>
      </c>
      <c r="C141" s="35">
        <f t="shared" si="46"/>
        <v>0.68004543733434308</v>
      </c>
      <c r="D141" s="35">
        <f t="shared" si="47"/>
        <v>0.86575078332128219</v>
      </c>
      <c r="E141" s="35">
        <f t="shared" si="48"/>
        <v>0.78549791745550923</v>
      </c>
      <c r="F141" s="92">
        <f t="shared" si="28"/>
        <v>5282</v>
      </c>
      <c r="G141" s="27">
        <f t="shared" si="26"/>
        <v>1133</v>
      </c>
      <c r="H141" s="92">
        <f t="shared" si="29"/>
        <v>4149</v>
      </c>
      <c r="I141" s="92">
        <f t="shared" si="30"/>
        <v>3592</v>
      </c>
      <c r="J141" s="27">
        <f t="shared" si="27"/>
        <v>557</v>
      </c>
      <c r="K141" s="20"/>
      <c r="L141" s="20"/>
      <c r="M141" s="46">
        <v>2004</v>
      </c>
      <c r="N141" s="47" t="s">
        <v>41</v>
      </c>
      <c r="O141" s="35">
        <f t="shared" si="31"/>
        <v>0.74070417900625207</v>
      </c>
      <c r="P141" s="35">
        <f t="shared" si="32"/>
        <v>0.93948247078464109</v>
      </c>
      <c r="Q141" s="35">
        <f t="shared" si="33"/>
        <v>0.78841724251398482</v>
      </c>
      <c r="R141" s="20">
        <v>3039</v>
      </c>
      <c r="S141" s="27">
        <f t="shared" si="34"/>
        <v>643</v>
      </c>
      <c r="T141" s="20">
        <v>2396</v>
      </c>
      <c r="U141" s="20">
        <v>2251</v>
      </c>
      <c r="V141" s="20">
        <f t="shared" si="35"/>
        <v>145</v>
      </c>
      <c r="W141" s="20"/>
      <c r="X141" s="20"/>
      <c r="Y141" s="46">
        <v>2004</v>
      </c>
      <c r="Z141" s="47" t="s">
        <v>41</v>
      </c>
      <c r="AA141" s="35">
        <f t="shared" si="36"/>
        <v>0.62306540189715431</v>
      </c>
      <c r="AB141" s="35">
        <f t="shared" si="37"/>
        <v>0.76423759951010406</v>
      </c>
      <c r="AC141" s="35">
        <f t="shared" si="38"/>
        <v>0.81527708437343982</v>
      </c>
      <c r="AD141" s="20">
        <v>2003</v>
      </c>
      <c r="AE141" s="27">
        <f t="shared" si="39"/>
        <v>370</v>
      </c>
      <c r="AF141" s="20">
        <v>1633</v>
      </c>
      <c r="AG141" s="20">
        <v>1248</v>
      </c>
      <c r="AH141" s="20">
        <f t="shared" si="40"/>
        <v>385</v>
      </c>
      <c r="AI141" s="20"/>
      <c r="AJ141" s="20"/>
      <c r="AK141" s="46">
        <v>2004</v>
      </c>
      <c r="AL141" s="47" t="s">
        <v>41</v>
      </c>
      <c r="AM141" s="35">
        <f t="shared" si="41"/>
        <v>0.38750000000000001</v>
      </c>
      <c r="AN141" s="35">
        <f t="shared" si="42"/>
        <v>0.77500000000000002</v>
      </c>
      <c r="AO141" s="35">
        <f t="shared" si="43"/>
        <v>0.5</v>
      </c>
      <c r="AP141" s="20">
        <v>240</v>
      </c>
      <c r="AQ141" s="27">
        <f t="shared" si="44"/>
        <v>120</v>
      </c>
      <c r="AR141" s="20">
        <v>120</v>
      </c>
      <c r="AS141" s="20">
        <v>93</v>
      </c>
      <c r="AT141" s="20">
        <f t="shared" si="45"/>
        <v>27</v>
      </c>
      <c r="AU141" s="20"/>
      <c r="AV141" s="20"/>
      <c r="AW141" s="46"/>
      <c r="AX141" s="47"/>
      <c r="AY141" s="35"/>
      <c r="AZ141" s="35"/>
      <c r="BA141" s="35"/>
    </row>
    <row r="142" spans="1:53" s="29" customFormat="1" ht="12.75">
      <c r="A142" s="45">
        <v>2004</v>
      </c>
      <c r="B142" s="48" t="s">
        <v>42</v>
      </c>
      <c r="C142" s="35">
        <f t="shared" si="46"/>
        <v>0.71821684094661531</v>
      </c>
      <c r="D142" s="35">
        <f t="shared" si="47"/>
        <v>0.94314622982413876</v>
      </c>
      <c r="E142" s="35">
        <f t="shared" si="48"/>
        <v>0.76151164923867176</v>
      </c>
      <c r="F142" s="92">
        <f t="shared" si="28"/>
        <v>5451</v>
      </c>
      <c r="G142" s="27">
        <f t="shared" si="26"/>
        <v>1300</v>
      </c>
      <c r="H142" s="92">
        <f t="shared" si="29"/>
        <v>4151</v>
      </c>
      <c r="I142" s="92">
        <f t="shared" si="30"/>
        <v>3915</v>
      </c>
      <c r="J142" s="27">
        <f t="shared" si="27"/>
        <v>236</v>
      </c>
      <c r="K142" s="20"/>
      <c r="L142" s="20"/>
      <c r="M142" s="45">
        <v>2004</v>
      </c>
      <c r="N142" s="48" t="s">
        <v>42</v>
      </c>
      <c r="O142" s="35">
        <f t="shared" si="31"/>
        <v>0.80458306810948443</v>
      </c>
      <c r="P142" s="35">
        <f t="shared" si="32"/>
        <v>0.9794653235180163</v>
      </c>
      <c r="Q142" s="35">
        <f t="shared" si="33"/>
        <v>0.82145130490133678</v>
      </c>
      <c r="R142" s="20">
        <v>3142</v>
      </c>
      <c r="S142" s="27">
        <f t="shared" si="34"/>
        <v>561</v>
      </c>
      <c r="T142" s="20">
        <v>2581</v>
      </c>
      <c r="U142" s="20">
        <v>2528</v>
      </c>
      <c r="V142" s="20">
        <f t="shared" si="35"/>
        <v>53</v>
      </c>
      <c r="W142" s="20"/>
      <c r="X142" s="20"/>
      <c r="Y142" s="45">
        <v>2004</v>
      </c>
      <c r="Z142" s="48" t="s">
        <v>42</v>
      </c>
      <c r="AA142" s="35">
        <f t="shared" si="36"/>
        <v>0.5803008248423096</v>
      </c>
      <c r="AB142" s="35">
        <f t="shared" si="37"/>
        <v>0.90196078431372551</v>
      </c>
      <c r="AC142" s="35">
        <f t="shared" si="38"/>
        <v>0.64337700145560406</v>
      </c>
      <c r="AD142" s="20">
        <v>2061</v>
      </c>
      <c r="AE142" s="27">
        <f t="shared" si="39"/>
        <v>735</v>
      </c>
      <c r="AF142" s="20">
        <v>1326</v>
      </c>
      <c r="AG142" s="20">
        <v>1196</v>
      </c>
      <c r="AH142" s="20">
        <f t="shared" si="40"/>
        <v>130</v>
      </c>
      <c r="AI142" s="20"/>
      <c r="AJ142" s="20"/>
      <c r="AK142" s="45">
        <v>2004</v>
      </c>
      <c r="AL142" s="48" t="s">
        <v>42</v>
      </c>
      <c r="AM142" s="35">
        <f t="shared" si="41"/>
        <v>0.77016129032258063</v>
      </c>
      <c r="AN142" s="35">
        <f t="shared" si="42"/>
        <v>0.78278688524590168</v>
      </c>
      <c r="AO142" s="35">
        <f t="shared" si="43"/>
        <v>0.9838709677419355</v>
      </c>
      <c r="AP142" s="20">
        <v>248</v>
      </c>
      <c r="AQ142" s="27">
        <f t="shared" si="44"/>
        <v>4</v>
      </c>
      <c r="AR142" s="20">
        <v>244</v>
      </c>
      <c r="AS142" s="20">
        <v>191</v>
      </c>
      <c r="AT142" s="20">
        <f t="shared" si="45"/>
        <v>53</v>
      </c>
      <c r="AU142" s="20"/>
      <c r="AV142" s="20"/>
      <c r="AW142" s="45"/>
      <c r="AX142" s="48"/>
      <c r="AY142" s="35"/>
      <c r="AZ142" s="35"/>
      <c r="BA142" s="35"/>
    </row>
    <row r="143" spans="1:53" s="29" customFormat="1" ht="12.75">
      <c r="A143" s="46">
        <v>2004</v>
      </c>
      <c r="B143" s="47" t="s">
        <v>43</v>
      </c>
      <c r="C143" s="35">
        <f t="shared" si="46"/>
        <v>0.73587701426190033</v>
      </c>
      <c r="D143" s="35">
        <f t="shared" si="47"/>
        <v>0.969970703125</v>
      </c>
      <c r="E143" s="35">
        <f t="shared" si="48"/>
        <v>0.75865901092794963</v>
      </c>
      <c r="F143" s="92">
        <f t="shared" si="28"/>
        <v>5399</v>
      </c>
      <c r="G143" s="27">
        <f t="shared" si="26"/>
        <v>1303</v>
      </c>
      <c r="H143" s="92">
        <f t="shared" si="29"/>
        <v>4096</v>
      </c>
      <c r="I143" s="92">
        <f t="shared" si="30"/>
        <v>3973</v>
      </c>
      <c r="J143" s="27">
        <f t="shared" si="27"/>
        <v>123</v>
      </c>
      <c r="K143" s="20"/>
      <c r="L143" s="20"/>
      <c r="M143" s="46">
        <v>2004</v>
      </c>
      <c r="N143" s="47" t="s">
        <v>43</v>
      </c>
      <c r="O143" s="35">
        <f t="shared" si="31"/>
        <v>0.81045542014111605</v>
      </c>
      <c r="P143" s="35">
        <f t="shared" si="32"/>
        <v>0.99214762465645856</v>
      </c>
      <c r="Q143" s="35">
        <f t="shared" si="33"/>
        <v>0.81686978832584989</v>
      </c>
      <c r="R143" s="20">
        <v>3118</v>
      </c>
      <c r="S143" s="27">
        <f t="shared" si="34"/>
        <v>571</v>
      </c>
      <c r="T143" s="20">
        <v>2547</v>
      </c>
      <c r="U143" s="20">
        <v>2527</v>
      </c>
      <c r="V143" s="20">
        <f t="shared" si="35"/>
        <v>20</v>
      </c>
      <c r="W143" s="20"/>
      <c r="X143" s="20"/>
      <c r="Y143" s="46">
        <v>2004</v>
      </c>
      <c r="Z143" s="47" t="s">
        <v>43</v>
      </c>
      <c r="AA143" s="35">
        <f t="shared" si="36"/>
        <v>0.60950514453699167</v>
      </c>
      <c r="AB143" s="35">
        <f t="shared" si="37"/>
        <v>0.94242424242424239</v>
      </c>
      <c r="AC143" s="35">
        <f t="shared" si="38"/>
        <v>0.64674179323860848</v>
      </c>
      <c r="AD143" s="20">
        <v>2041</v>
      </c>
      <c r="AE143" s="27">
        <f t="shared" si="39"/>
        <v>721</v>
      </c>
      <c r="AF143" s="20">
        <v>1320</v>
      </c>
      <c r="AG143" s="20">
        <v>1244</v>
      </c>
      <c r="AH143" s="20">
        <f t="shared" si="40"/>
        <v>76</v>
      </c>
      <c r="AI143" s="20"/>
      <c r="AJ143" s="20"/>
      <c r="AK143" s="46">
        <v>2004</v>
      </c>
      <c r="AL143" s="47" t="s">
        <v>43</v>
      </c>
      <c r="AM143" s="35">
        <f t="shared" si="41"/>
        <v>0.84166666666666667</v>
      </c>
      <c r="AN143" s="35">
        <f t="shared" si="42"/>
        <v>0.88209606986899558</v>
      </c>
      <c r="AO143" s="35">
        <f t="shared" si="43"/>
        <v>0.95416666666666672</v>
      </c>
      <c r="AP143" s="20">
        <v>240</v>
      </c>
      <c r="AQ143" s="27">
        <f t="shared" si="44"/>
        <v>11</v>
      </c>
      <c r="AR143" s="20">
        <v>229</v>
      </c>
      <c r="AS143" s="20">
        <v>202</v>
      </c>
      <c r="AT143" s="20">
        <f t="shared" si="45"/>
        <v>27</v>
      </c>
      <c r="AU143" s="20"/>
      <c r="AV143" s="20"/>
      <c r="AW143" s="46"/>
      <c r="AX143" s="47"/>
      <c r="AY143" s="35"/>
      <c r="AZ143" s="35"/>
      <c r="BA143" s="35"/>
    </row>
    <row r="144" spans="1:53" s="29" customFormat="1" ht="12.75">
      <c r="A144" s="45">
        <v>2004</v>
      </c>
      <c r="B144" s="48" t="s">
        <v>44</v>
      </c>
      <c r="C144" s="35">
        <f t="shared" si="46"/>
        <v>0.73383756528002886</v>
      </c>
      <c r="D144" s="35">
        <f t="shared" si="47"/>
        <v>0.97325053737759737</v>
      </c>
      <c r="E144" s="35">
        <f t="shared" si="48"/>
        <v>0.75400684314784805</v>
      </c>
      <c r="F144" s="92">
        <f t="shared" si="28"/>
        <v>5553</v>
      </c>
      <c r="G144" s="27">
        <f t="shared" si="26"/>
        <v>1366</v>
      </c>
      <c r="H144" s="92">
        <f t="shared" si="29"/>
        <v>4187</v>
      </c>
      <c r="I144" s="92">
        <f t="shared" si="30"/>
        <v>4075</v>
      </c>
      <c r="J144" s="27">
        <f t="shared" si="27"/>
        <v>112</v>
      </c>
      <c r="K144" s="20"/>
      <c r="L144" s="20"/>
      <c r="M144" s="45">
        <v>2004</v>
      </c>
      <c r="N144" s="48" t="s">
        <v>44</v>
      </c>
      <c r="O144" s="35">
        <f t="shared" si="31"/>
        <v>0.80568572321149645</v>
      </c>
      <c r="P144" s="35">
        <f t="shared" si="32"/>
        <v>0.98547955674436383</v>
      </c>
      <c r="Q144" s="35">
        <f t="shared" si="33"/>
        <v>0.81755701343330212</v>
      </c>
      <c r="R144" s="20">
        <v>3201</v>
      </c>
      <c r="S144" s="27">
        <f t="shared" si="34"/>
        <v>584</v>
      </c>
      <c r="T144" s="20">
        <v>2617</v>
      </c>
      <c r="U144" s="20">
        <v>2579</v>
      </c>
      <c r="V144" s="20">
        <f t="shared" si="35"/>
        <v>38</v>
      </c>
      <c r="W144" s="20"/>
      <c r="X144" s="20"/>
      <c r="Y144" s="45">
        <v>2004</v>
      </c>
      <c r="Z144" s="48" t="s">
        <v>44</v>
      </c>
      <c r="AA144" s="35">
        <f t="shared" si="36"/>
        <v>0.60931558935361219</v>
      </c>
      <c r="AB144" s="35">
        <f t="shared" si="37"/>
        <v>0.96390977443609027</v>
      </c>
      <c r="AC144" s="35">
        <f t="shared" si="38"/>
        <v>0.63212927756653992</v>
      </c>
      <c r="AD144" s="20">
        <v>2104</v>
      </c>
      <c r="AE144" s="27">
        <f t="shared" si="39"/>
        <v>774</v>
      </c>
      <c r="AF144" s="20">
        <v>1330</v>
      </c>
      <c r="AG144" s="20">
        <v>1282</v>
      </c>
      <c r="AH144" s="20">
        <f t="shared" si="40"/>
        <v>48</v>
      </c>
      <c r="AI144" s="20"/>
      <c r="AJ144" s="20"/>
      <c r="AK144" s="45">
        <v>2004</v>
      </c>
      <c r="AL144" s="48" t="s">
        <v>44</v>
      </c>
      <c r="AM144" s="35">
        <f t="shared" si="41"/>
        <v>0.86290322580645162</v>
      </c>
      <c r="AN144" s="35">
        <f t="shared" si="42"/>
        <v>0.89166666666666672</v>
      </c>
      <c r="AO144" s="35">
        <f t="shared" si="43"/>
        <v>0.967741935483871</v>
      </c>
      <c r="AP144" s="20">
        <v>248</v>
      </c>
      <c r="AQ144" s="27">
        <f t="shared" si="44"/>
        <v>8</v>
      </c>
      <c r="AR144" s="20">
        <v>240</v>
      </c>
      <c r="AS144" s="20">
        <v>214</v>
      </c>
      <c r="AT144" s="20">
        <f t="shared" si="45"/>
        <v>26</v>
      </c>
      <c r="AU144" s="20"/>
      <c r="AV144" s="20"/>
      <c r="AW144" s="45"/>
      <c r="AX144" s="48"/>
      <c r="AY144" s="35"/>
      <c r="AZ144" s="35"/>
      <c r="BA144" s="35"/>
    </row>
    <row r="145" spans="1:53" s="29" customFormat="1" ht="12.75">
      <c r="A145" s="46">
        <v>2004</v>
      </c>
      <c r="B145" s="47" t="s">
        <v>45</v>
      </c>
      <c r="C145" s="35">
        <f t="shared" si="46"/>
        <v>0.93102824040550325</v>
      </c>
      <c r="D145" s="35">
        <f t="shared" si="47"/>
        <v>0.97645718625403455</v>
      </c>
      <c r="E145" s="35">
        <f t="shared" si="48"/>
        <v>0.95347574221578568</v>
      </c>
      <c r="F145" s="92">
        <f t="shared" si="28"/>
        <v>5524</v>
      </c>
      <c r="G145" s="27">
        <f t="shared" si="26"/>
        <v>257</v>
      </c>
      <c r="H145" s="92">
        <f t="shared" si="29"/>
        <v>5267</v>
      </c>
      <c r="I145" s="92">
        <f t="shared" si="30"/>
        <v>5143</v>
      </c>
      <c r="J145" s="27">
        <f t="shared" si="27"/>
        <v>124</v>
      </c>
      <c r="K145" s="20"/>
      <c r="L145" s="20"/>
      <c r="M145" s="46">
        <v>2004</v>
      </c>
      <c r="N145" s="47" t="s">
        <v>45</v>
      </c>
      <c r="O145" s="35">
        <f t="shared" si="31"/>
        <v>0.95765370138017569</v>
      </c>
      <c r="P145" s="35">
        <f t="shared" si="32"/>
        <v>0.98230373230373236</v>
      </c>
      <c r="Q145" s="35">
        <f t="shared" si="33"/>
        <v>0.97490589711417819</v>
      </c>
      <c r="R145" s="20">
        <v>3188</v>
      </c>
      <c r="S145" s="27">
        <f t="shared" si="34"/>
        <v>80</v>
      </c>
      <c r="T145" s="20">
        <v>3108</v>
      </c>
      <c r="U145" s="20">
        <v>3053</v>
      </c>
      <c r="V145" s="20">
        <f t="shared" si="35"/>
        <v>55</v>
      </c>
      <c r="W145" s="20"/>
      <c r="X145" s="20"/>
      <c r="Y145" s="46">
        <v>2004</v>
      </c>
      <c r="Z145" s="47" t="s">
        <v>45</v>
      </c>
      <c r="AA145" s="35">
        <f t="shared" si="36"/>
        <v>0.89990421455938696</v>
      </c>
      <c r="AB145" s="35">
        <f t="shared" si="37"/>
        <v>0.97407983411093835</v>
      </c>
      <c r="AC145" s="35">
        <f t="shared" si="38"/>
        <v>0.92385057471264365</v>
      </c>
      <c r="AD145" s="20">
        <v>2088</v>
      </c>
      <c r="AE145" s="27">
        <f t="shared" si="39"/>
        <v>159</v>
      </c>
      <c r="AF145" s="20">
        <v>1929</v>
      </c>
      <c r="AG145" s="20">
        <v>1879</v>
      </c>
      <c r="AH145" s="20">
        <f t="shared" si="40"/>
        <v>50</v>
      </c>
      <c r="AI145" s="20"/>
      <c r="AJ145" s="20"/>
      <c r="AK145" s="46">
        <v>2004</v>
      </c>
      <c r="AL145" s="47" t="s">
        <v>45</v>
      </c>
      <c r="AM145" s="35">
        <f t="shared" si="41"/>
        <v>0.85080645161290325</v>
      </c>
      <c r="AN145" s="35">
        <f t="shared" si="42"/>
        <v>0.91739130434782612</v>
      </c>
      <c r="AO145" s="35">
        <f t="shared" si="43"/>
        <v>0.92741935483870963</v>
      </c>
      <c r="AP145" s="20">
        <v>248</v>
      </c>
      <c r="AQ145" s="27">
        <f t="shared" si="44"/>
        <v>18</v>
      </c>
      <c r="AR145" s="20">
        <v>230</v>
      </c>
      <c r="AS145" s="20">
        <v>211</v>
      </c>
      <c r="AT145" s="20">
        <f t="shared" si="45"/>
        <v>19</v>
      </c>
      <c r="AU145" s="20"/>
      <c r="AV145" s="20"/>
      <c r="AW145" s="46"/>
      <c r="AX145" s="47"/>
      <c r="AY145" s="35"/>
      <c r="AZ145" s="35"/>
      <c r="BA145" s="35"/>
    </row>
    <row r="146" spans="1:53" s="29" customFormat="1" ht="12.75">
      <c r="A146" s="45">
        <v>2004</v>
      </c>
      <c r="B146" s="48" t="s">
        <v>46</v>
      </c>
      <c r="C146" s="35">
        <f t="shared" si="46"/>
        <v>0.95924707602339176</v>
      </c>
      <c r="D146" s="35">
        <f t="shared" si="47"/>
        <v>0.98535761216444528</v>
      </c>
      <c r="E146" s="35">
        <f t="shared" si="48"/>
        <v>0.97350146198830412</v>
      </c>
      <c r="F146" s="92">
        <f t="shared" si="28"/>
        <v>5472</v>
      </c>
      <c r="G146" s="27">
        <f t="shared" si="26"/>
        <v>145</v>
      </c>
      <c r="H146" s="92">
        <f t="shared" si="29"/>
        <v>5327</v>
      </c>
      <c r="I146" s="92">
        <f t="shared" si="30"/>
        <v>5249</v>
      </c>
      <c r="J146" s="27">
        <f t="shared" si="27"/>
        <v>78</v>
      </c>
      <c r="K146" s="20"/>
      <c r="L146" s="20"/>
      <c r="M146" s="45">
        <v>2004</v>
      </c>
      <c r="N146" s="48" t="s">
        <v>46</v>
      </c>
      <c r="O146" s="35">
        <f t="shared" si="31"/>
        <v>0.97313527180783821</v>
      </c>
      <c r="P146" s="35">
        <f t="shared" si="32"/>
        <v>0.99386701097482244</v>
      </c>
      <c r="Q146" s="35">
        <f t="shared" si="33"/>
        <v>0.97914032869785084</v>
      </c>
      <c r="R146" s="20">
        <v>3164</v>
      </c>
      <c r="S146" s="27">
        <f t="shared" si="34"/>
        <v>66</v>
      </c>
      <c r="T146" s="20">
        <v>3098</v>
      </c>
      <c r="U146" s="20">
        <v>3079</v>
      </c>
      <c r="V146" s="20">
        <f t="shared" si="35"/>
        <v>19</v>
      </c>
      <c r="W146" s="20"/>
      <c r="X146" s="20"/>
      <c r="Y146" s="45">
        <v>2004</v>
      </c>
      <c r="Z146" s="48" t="s">
        <v>46</v>
      </c>
      <c r="AA146" s="35">
        <f t="shared" si="36"/>
        <v>0.94487427466150875</v>
      </c>
      <c r="AB146" s="35">
        <f t="shared" si="37"/>
        <v>0.97944862155388468</v>
      </c>
      <c r="AC146" s="35">
        <f t="shared" si="38"/>
        <v>0.9647001934235977</v>
      </c>
      <c r="AD146" s="20">
        <v>2068</v>
      </c>
      <c r="AE146" s="27">
        <f t="shared" si="39"/>
        <v>73</v>
      </c>
      <c r="AF146" s="20">
        <v>1995</v>
      </c>
      <c r="AG146" s="20">
        <v>1954</v>
      </c>
      <c r="AH146" s="20">
        <f t="shared" si="40"/>
        <v>41</v>
      </c>
      <c r="AI146" s="20"/>
      <c r="AJ146" s="20"/>
      <c r="AK146" s="45">
        <v>2004</v>
      </c>
      <c r="AL146" s="48" t="s">
        <v>46</v>
      </c>
      <c r="AM146" s="35">
        <f t="shared" si="41"/>
        <v>0.9</v>
      </c>
      <c r="AN146" s="35">
        <f t="shared" si="42"/>
        <v>0.92307692307692313</v>
      </c>
      <c r="AO146" s="35">
        <f t="shared" si="43"/>
        <v>0.97499999999999998</v>
      </c>
      <c r="AP146" s="20">
        <v>240</v>
      </c>
      <c r="AQ146" s="27">
        <f t="shared" si="44"/>
        <v>6</v>
      </c>
      <c r="AR146" s="20">
        <v>234</v>
      </c>
      <c r="AS146" s="20">
        <v>216</v>
      </c>
      <c r="AT146" s="20">
        <f t="shared" si="45"/>
        <v>18</v>
      </c>
      <c r="AU146" s="20"/>
      <c r="AV146" s="20"/>
      <c r="AW146" s="45"/>
      <c r="AX146" s="48"/>
      <c r="AY146" s="35"/>
      <c r="AZ146" s="35"/>
      <c r="BA146" s="35"/>
    </row>
    <row r="147" spans="1:53" s="29" customFormat="1" ht="12.75">
      <c r="A147" s="46">
        <v>2004</v>
      </c>
      <c r="B147" s="47" t="s">
        <v>47</v>
      </c>
      <c r="C147" s="35">
        <f t="shared" si="46"/>
        <v>0.92664233576642341</v>
      </c>
      <c r="D147" s="35">
        <f t="shared" si="47"/>
        <v>0.97616301422529794</v>
      </c>
      <c r="E147" s="35">
        <f t="shared" si="48"/>
        <v>0.94927007299270072</v>
      </c>
      <c r="F147" s="92">
        <f t="shared" si="28"/>
        <v>5480</v>
      </c>
      <c r="G147" s="27">
        <f t="shared" si="26"/>
        <v>278</v>
      </c>
      <c r="H147" s="92">
        <f t="shared" si="29"/>
        <v>5202</v>
      </c>
      <c r="I147" s="92">
        <f t="shared" si="30"/>
        <v>5078</v>
      </c>
      <c r="J147" s="27">
        <f t="shared" si="27"/>
        <v>124</v>
      </c>
      <c r="K147" s="20"/>
      <c r="L147" s="20"/>
      <c r="M147" s="46">
        <v>2004</v>
      </c>
      <c r="N147" s="47" t="s">
        <v>47</v>
      </c>
      <c r="O147" s="35">
        <f t="shared" si="31"/>
        <v>0.95150554675118859</v>
      </c>
      <c r="P147" s="35">
        <f t="shared" si="32"/>
        <v>0.98555482600131317</v>
      </c>
      <c r="Q147" s="35">
        <f t="shared" si="33"/>
        <v>0.96545166402535654</v>
      </c>
      <c r="R147" s="20">
        <v>3155</v>
      </c>
      <c r="S147" s="27">
        <f t="shared" si="34"/>
        <v>109</v>
      </c>
      <c r="T147" s="20">
        <v>3046</v>
      </c>
      <c r="U147" s="20">
        <v>3002</v>
      </c>
      <c r="V147" s="20">
        <f t="shared" si="35"/>
        <v>44</v>
      </c>
      <c r="W147" s="20"/>
      <c r="X147" s="20"/>
      <c r="Y147" s="46">
        <v>2004</v>
      </c>
      <c r="Z147" s="47" t="s">
        <v>47</v>
      </c>
      <c r="AA147" s="35">
        <f t="shared" si="36"/>
        <v>0.89552238805970152</v>
      </c>
      <c r="AB147" s="35">
        <f t="shared" si="37"/>
        <v>0.96824570536179078</v>
      </c>
      <c r="AC147" s="35">
        <f t="shared" si="38"/>
        <v>0.9248916706788638</v>
      </c>
      <c r="AD147" s="20">
        <v>2077</v>
      </c>
      <c r="AE147" s="27">
        <f t="shared" si="39"/>
        <v>156</v>
      </c>
      <c r="AF147" s="20">
        <v>1921</v>
      </c>
      <c r="AG147" s="20">
        <v>1860</v>
      </c>
      <c r="AH147" s="20">
        <f t="shared" si="40"/>
        <v>61</v>
      </c>
      <c r="AI147" s="20"/>
      <c r="AJ147" s="20"/>
      <c r="AK147" s="46">
        <v>2004</v>
      </c>
      <c r="AL147" s="47" t="s">
        <v>47</v>
      </c>
      <c r="AM147" s="35">
        <f t="shared" si="41"/>
        <v>0.87096774193548387</v>
      </c>
      <c r="AN147" s="35">
        <f t="shared" si="42"/>
        <v>0.91914893617021276</v>
      </c>
      <c r="AO147" s="35">
        <f t="shared" si="43"/>
        <v>0.94758064516129037</v>
      </c>
      <c r="AP147" s="20">
        <v>248</v>
      </c>
      <c r="AQ147" s="27">
        <f t="shared" si="44"/>
        <v>13</v>
      </c>
      <c r="AR147" s="20">
        <v>235</v>
      </c>
      <c r="AS147" s="20">
        <v>216</v>
      </c>
      <c r="AT147" s="20">
        <f t="shared" si="45"/>
        <v>19</v>
      </c>
      <c r="AU147" s="20"/>
      <c r="AV147" s="20"/>
      <c r="AW147" s="46"/>
      <c r="AX147" s="47"/>
      <c r="AY147" s="35"/>
      <c r="AZ147" s="35"/>
      <c r="BA147" s="35"/>
    </row>
    <row r="148" spans="1:53" s="29" customFormat="1" ht="12.75">
      <c r="A148" s="45">
        <v>2004</v>
      </c>
      <c r="B148" s="48" t="s">
        <v>48</v>
      </c>
      <c r="C148" s="35">
        <f t="shared" si="46"/>
        <v>0.79879385964912286</v>
      </c>
      <c r="D148" s="35">
        <f t="shared" si="47"/>
        <v>0.85038910505836574</v>
      </c>
      <c r="E148" s="35">
        <f t="shared" si="48"/>
        <v>0.93932748538011701</v>
      </c>
      <c r="F148" s="92">
        <f t="shared" si="28"/>
        <v>5472</v>
      </c>
      <c r="G148" s="27">
        <f t="shared" si="26"/>
        <v>332</v>
      </c>
      <c r="H148" s="92">
        <f t="shared" si="29"/>
        <v>5140</v>
      </c>
      <c r="I148" s="92">
        <f t="shared" si="30"/>
        <v>4371</v>
      </c>
      <c r="J148" s="27">
        <f t="shared" si="27"/>
        <v>769</v>
      </c>
      <c r="K148" s="20"/>
      <c r="L148" s="20"/>
      <c r="M148" s="45">
        <v>2004</v>
      </c>
      <c r="N148" s="48" t="s">
        <v>48</v>
      </c>
      <c r="O148" s="35">
        <f t="shared" si="31"/>
        <v>0.84608091024020227</v>
      </c>
      <c r="P148" s="35">
        <f t="shared" si="32"/>
        <v>0.89292861907938625</v>
      </c>
      <c r="Q148" s="35">
        <f t="shared" si="33"/>
        <v>0.94753476611883691</v>
      </c>
      <c r="R148" s="20">
        <v>3164</v>
      </c>
      <c r="S148" s="27">
        <f t="shared" si="34"/>
        <v>166</v>
      </c>
      <c r="T148" s="20">
        <v>2998</v>
      </c>
      <c r="U148" s="20">
        <v>2677</v>
      </c>
      <c r="V148" s="20">
        <f t="shared" si="35"/>
        <v>321</v>
      </c>
      <c r="W148" s="20"/>
      <c r="X148" s="20"/>
      <c r="Y148" s="45">
        <v>2004</v>
      </c>
      <c r="Z148" s="48" t="s">
        <v>48</v>
      </c>
      <c r="AA148" s="35">
        <f t="shared" si="36"/>
        <v>0.73839458413926495</v>
      </c>
      <c r="AB148" s="35">
        <f t="shared" si="37"/>
        <v>0.80031446540880502</v>
      </c>
      <c r="AC148" s="35">
        <f t="shared" si="38"/>
        <v>0.92263056092843332</v>
      </c>
      <c r="AD148" s="20">
        <v>2068</v>
      </c>
      <c r="AE148" s="27">
        <f t="shared" si="39"/>
        <v>160</v>
      </c>
      <c r="AF148" s="20">
        <v>1908</v>
      </c>
      <c r="AG148" s="20">
        <v>1527</v>
      </c>
      <c r="AH148" s="20">
        <f t="shared" si="40"/>
        <v>381</v>
      </c>
      <c r="AI148" s="20"/>
      <c r="AJ148" s="20"/>
      <c r="AK148" s="45">
        <v>2004</v>
      </c>
      <c r="AL148" s="48" t="s">
        <v>48</v>
      </c>
      <c r="AM148" s="35">
        <f t="shared" si="41"/>
        <v>0.6958333333333333</v>
      </c>
      <c r="AN148" s="35">
        <f t="shared" si="42"/>
        <v>0.71367521367521369</v>
      </c>
      <c r="AO148" s="35">
        <f t="shared" si="43"/>
        <v>0.97499999999999998</v>
      </c>
      <c r="AP148" s="20">
        <v>240</v>
      </c>
      <c r="AQ148" s="27">
        <f t="shared" si="44"/>
        <v>6</v>
      </c>
      <c r="AR148" s="20">
        <v>234</v>
      </c>
      <c r="AS148" s="20">
        <v>167</v>
      </c>
      <c r="AT148" s="20">
        <f t="shared" si="45"/>
        <v>67</v>
      </c>
      <c r="AU148" s="20"/>
      <c r="AV148" s="20"/>
      <c r="AW148" s="45"/>
      <c r="AX148" s="48"/>
      <c r="AY148" s="35"/>
      <c r="AZ148" s="35"/>
      <c r="BA148" s="35"/>
    </row>
    <row r="149" spans="1:53" s="29" customFormat="1" ht="12.75">
      <c r="A149" s="46">
        <v>2004</v>
      </c>
      <c r="B149" s="47" t="s">
        <v>49</v>
      </c>
      <c r="C149" s="35"/>
      <c r="D149" s="35"/>
      <c r="E149" s="35"/>
      <c r="F149" s="20"/>
      <c r="G149" s="20"/>
      <c r="H149" s="20"/>
      <c r="I149" s="20"/>
      <c r="J149" s="20"/>
      <c r="K149" s="110" t="s">
        <v>92</v>
      </c>
      <c r="L149" s="20"/>
      <c r="M149" s="46">
        <v>2004</v>
      </c>
      <c r="N149" s="47" t="s">
        <v>49</v>
      </c>
      <c r="O149" s="35"/>
      <c r="P149" s="35"/>
      <c r="Q149" s="35"/>
      <c r="R149" s="20"/>
      <c r="S149" s="20"/>
      <c r="T149" s="20"/>
      <c r="U149" s="20"/>
      <c r="V149" s="20"/>
      <c r="W149" s="110" t="s">
        <v>92</v>
      </c>
      <c r="X149" s="20"/>
      <c r="Y149" s="46">
        <v>2004</v>
      </c>
      <c r="Z149" s="47" t="s">
        <v>49</v>
      </c>
      <c r="AA149" s="35"/>
      <c r="AB149" s="35"/>
      <c r="AC149" s="35"/>
      <c r="AD149" s="20"/>
      <c r="AE149" s="20"/>
      <c r="AF149" s="20"/>
      <c r="AG149" s="20"/>
      <c r="AH149" s="20"/>
      <c r="AI149" s="110" t="s">
        <v>92</v>
      </c>
      <c r="AJ149" s="20"/>
      <c r="AK149" s="46">
        <v>2004</v>
      </c>
      <c r="AL149" s="47" t="s">
        <v>49</v>
      </c>
      <c r="AM149" s="35"/>
      <c r="AN149" s="35"/>
      <c r="AO149" s="35"/>
      <c r="AP149" s="20"/>
      <c r="AQ149" s="20"/>
      <c r="AR149" s="20"/>
      <c r="AS149" s="20"/>
      <c r="AT149" s="20"/>
      <c r="AU149" s="110" t="s">
        <v>92</v>
      </c>
      <c r="AV149" s="20"/>
      <c r="AW149" s="46"/>
      <c r="AX149" s="47"/>
      <c r="AY149" s="35"/>
      <c r="AZ149" s="35"/>
      <c r="BA149" s="35"/>
    </row>
    <row r="150" spans="1:53" s="29" customFormat="1" ht="12.75">
      <c r="A150" s="45">
        <v>2005</v>
      </c>
      <c r="B150" s="48" t="s">
        <v>38</v>
      </c>
      <c r="C150" s="35">
        <f t="shared" si="46"/>
        <v>0.83321571394965888</v>
      </c>
      <c r="D150" s="35">
        <f t="shared" si="47"/>
        <v>0.85062439961575409</v>
      </c>
      <c r="E150" s="35">
        <f t="shared" si="48"/>
        <v>0.97953422724064931</v>
      </c>
      <c r="F150" s="92">
        <f t="shared" ref="F150:F161" si="49">+R150+AD150+AP150</f>
        <v>4251</v>
      </c>
      <c r="G150" s="27">
        <f t="shared" ref="G150" si="50">F150-H150</f>
        <v>87</v>
      </c>
      <c r="H150" s="92">
        <f t="shared" ref="H150:H161" si="51">+T150+AF150+AR150</f>
        <v>4164</v>
      </c>
      <c r="I150" s="92">
        <f t="shared" ref="I150:I161" si="52">+U150+AG150+AS150</f>
        <v>3542</v>
      </c>
      <c r="J150" s="27">
        <f t="shared" ref="J150:J161" si="53">H150-I150</f>
        <v>622</v>
      </c>
      <c r="K150" s="27"/>
      <c r="L150" s="27"/>
      <c r="M150" s="45">
        <v>2005</v>
      </c>
      <c r="N150" s="48" t="s">
        <v>38</v>
      </c>
      <c r="O150" s="35">
        <f t="shared" ref="O150:O198" si="54">U150/R150</f>
        <v>0.91451367781155013</v>
      </c>
      <c r="P150" s="35">
        <f t="shared" ref="P150:P198" si="55">U150/T150</f>
        <v>0.92970258787176518</v>
      </c>
      <c r="Q150" s="35">
        <f t="shared" ref="Q150:Q198" si="56">T150/R150</f>
        <v>0.98366261398176291</v>
      </c>
      <c r="R150" s="20">
        <v>2632</v>
      </c>
      <c r="S150" s="27">
        <f t="shared" ref="S150" si="57">R150-T150</f>
        <v>43</v>
      </c>
      <c r="T150" s="20">
        <v>2589</v>
      </c>
      <c r="U150" s="20">
        <v>2407</v>
      </c>
      <c r="V150" s="20">
        <f t="shared" ref="V150:V161" si="58">T150-U150</f>
        <v>182</v>
      </c>
      <c r="W150" s="20"/>
      <c r="X150" s="20"/>
      <c r="Y150" s="45">
        <v>2005</v>
      </c>
      <c r="Z150" s="48" t="s">
        <v>38</v>
      </c>
      <c r="AA150" s="35">
        <f t="shared" ref="AA150:AA198" si="59">AG150/AD150</f>
        <v>0.71334792122538293</v>
      </c>
      <c r="AB150" s="35">
        <f t="shared" ref="AB150:AB198" si="60">AG150/AF150</f>
        <v>0.73258426966292134</v>
      </c>
      <c r="AC150" s="35">
        <f t="shared" ref="AC150:AC198" si="61">AF150/AD150</f>
        <v>0.97374179431072205</v>
      </c>
      <c r="AD150" s="20">
        <v>1371</v>
      </c>
      <c r="AE150" s="27">
        <f t="shared" ref="AE150" si="62">AD150-AF150</f>
        <v>36</v>
      </c>
      <c r="AF150" s="20">
        <v>1335</v>
      </c>
      <c r="AG150" s="20">
        <v>978</v>
      </c>
      <c r="AH150" s="20">
        <f t="shared" ref="AH150:AH161" si="63">AF150-AG150</f>
        <v>357</v>
      </c>
      <c r="AI150" s="20"/>
      <c r="AJ150" s="20"/>
      <c r="AK150" s="45">
        <v>2005</v>
      </c>
      <c r="AL150" s="48" t="s">
        <v>38</v>
      </c>
      <c r="AM150" s="35">
        <f t="shared" ref="AM150:AM198" si="64">AS150/AP150</f>
        <v>0.63306451612903225</v>
      </c>
      <c r="AN150" s="35">
        <f t="shared" ref="AN150:AN198" si="65">AS150/AR150</f>
        <v>0.65416666666666667</v>
      </c>
      <c r="AO150" s="35">
        <f t="shared" ref="AO150:AO198" si="66">AR150/AP150</f>
        <v>0.967741935483871</v>
      </c>
      <c r="AP150" s="20">
        <v>248</v>
      </c>
      <c r="AQ150" s="27">
        <f t="shared" ref="AQ150" si="67">AP150-AR150</f>
        <v>8</v>
      </c>
      <c r="AR150" s="20">
        <v>240</v>
      </c>
      <c r="AS150" s="20">
        <v>157</v>
      </c>
      <c r="AT150" s="20">
        <f t="shared" ref="AT150:AT161" si="68">AR150-AS150</f>
        <v>83</v>
      </c>
      <c r="AU150" s="20"/>
      <c r="AV150" s="20"/>
      <c r="AW150" s="45"/>
      <c r="AX150" s="48"/>
      <c r="AY150" s="35"/>
      <c r="AZ150" s="35"/>
      <c r="BA150" s="35"/>
    </row>
    <row r="151" spans="1:53" s="29" customFormat="1" ht="12.75">
      <c r="A151" s="46">
        <v>2005</v>
      </c>
      <c r="B151" s="47" t="s">
        <v>39</v>
      </c>
      <c r="C151" s="35">
        <f t="shared" si="46"/>
        <v>0.89772727272727271</v>
      </c>
      <c r="D151" s="35">
        <f t="shared" si="47"/>
        <v>0.93040685224839403</v>
      </c>
      <c r="E151" s="35">
        <f t="shared" si="48"/>
        <v>0.96487603305785119</v>
      </c>
      <c r="F151" s="92">
        <f t="shared" si="49"/>
        <v>3872</v>
      </c>
      <c r="G151" s="27">
        <f t="shared" ref="G151:G161" si="69">F151-H151</f>
        <v>136</v>
      </c>
      <c r="H151" s="92">
        <f t="shared" si="51"/>
        <v>3736</v>
      </c>
      <c r="I151" s="92">
        <f t="shared" si="52"/>
        <v>3476</v>
      </c>
      <c r="J151" s="27">
        <f t="shared" si="53"/>
        <v>260</v>
      </c>
      <c r="K151" s="27"/>
      <c r="L151" s="27"/>
      <c r="M151" s="46">
        <v>2005</v>
      </c>
      <c r="N151" s="47" t="s">
        <v>39</v>
      </c>
      <c r="O151" s="35">
        <f t="shared" si="54"/>
        <v>0.95507487520798673</v>
      </c>
      <c r="P151" s="35">
        <f t="shared" si="55"/>
        <v>0.96673684210526312</v>
      </c>
      <c r="Q151" s="35">
        <f t="shared" si="56"/>
        <v>0.98793677204658903</v>
      </c>
      <c r="R151" s="20">
        <v>2404</v>
      </c>
      <c r="S151" s="27">
        <f t="shared" ref="S151:S161" si="70">R151-T151</f>
        <v>29</v>
      </c>
      <c r="T151" s="20">
        <v>2375</v>
      </c>
      <c r="U151" s="20">
        <v>2296</v>
      </c>
      <c r="V151" s="20">
        <f t="shared" si="58"/>
        <v>79</v>
      </c>
      <c r="W151" s="20"/>
      <c r="X151" s="20"/>
      <c r="Y151" s="46">
        <v>2005</v>
      </c>
      <c r="Z151" s="47" t="s">
        <v>39</v>
      </c>
      <c r="AA151" s="35">
        <f t="shared" si="59"/>
        <v>0.81591639871382637</v>
      </c>
      <c r="AB151" s="35">
        <f t="shared" si="60"/>
        <v>0.88801399825021876</v>
      </c>
      <c r="AC151" s="35">
        <f t="shared" si="61"/>
        <v>0.9188102893890675</v>
      </c>
      <c r="AD151" s="20">
        <v>1244</v>
      </c>
      <c r="AE151" s="27">
        <f t="shared" ref="AE151:AE161" si="71">AD151-AF151</f>
        <v>101</v>
      </c>
      <c r="AF151" s="20">
        <v>1143</v>
      </c>
      <c r="AG151" s="20">
        <v>1015</v>
      </c>
      <c r="AH151" s="20">
        <f t="shared" si="63"/>
        <v>128</v>
      </c>
      <c r="AI151" s="20"/>
      <c r="AJ151" s="20"/>
      <c r="AK151" s="46">
        <v>2005</v>
      </c>
      <c r="AL151" s="47" t="s">
        <v>39</v>
      </c>
      <c r="AM151" s="35">
        <f t="shared" si="64"/>
        <v>0.7366071428571429</v>
      </c>
      <c r="AN151" s="35">
        <f t="shared" si="65"/>
        <v>0.75688073394495414</v>
      </c>
      <c r="AO151" s="35">
        <f t="shared" si="66"/>
        <v>0.9732142857142857</v>
      </c>
      <c r="AP151" s="20">
        <v>224</v>
      </c>
      <c r="AQ151" s="27">
        <f t="shared" ref="AQ151:AQ161" si="72">AP151-AR151</f>
        <v>6</v>
      </c>
      <c r="AR151" s="20">
        <v>218</v>
      </c>
      <c r="AS151" s="20">
        <v>165</v>
      </c>
      <c r="AT151" s="20">
        <f t="shared" si="68"/>
        <v>53</v>
      </c>
      <c r="AU151" s="20"/>
      <c r="AV151" s="20"/>
      <c r="AW151" s="46"/>
      <c r="AX151" s="47"/>
      <c r="AY151" s="35"/>
      <c r="AZ151" s="35"/>
      <c r="BA151" s="35"/>
    </row>
    <row r="152" spans="1:53" s="29" customFormat="1" ht="12.75">
      <c r="A152" s="45">
        <v>2005</v>
      </c>
      <c r="B152" s="48" t="s">
        <v>40</v>
      </c>
      <c r="C152" s="35">
        <f t="shared" si="46"/>
        <v>0.88493919550982225</v>
      </c>
      <c r="D152" s="35">
        <f t="shared" si="47"/>
        <v>0.90874159462055715</v>
      </c>
      <c r="E152" s="35">
        <f t="shared" si="48"/>
        <v>0.97380729653882137</v>
      </c>
      <c r="F152" s="92">
        <f t="shared" si="49"/>
        <v>4276</v>
      </c>
      <c r="G152" s="27">
        <f t="shared" si="69"/>
        <v>112</v>
      </c>
      <c r="H152" s="92">
        <f t="shared" si="51"/>
        <v>4164</v>
      </c>
      <c r="I152" s="92">
        <f t="shared" si="52"/>
        <v>3784</v>
      </c>
      <c r="J152" s="27">
        <f t="shared" si="53"/>
        <v>380</v>
      </c>
      <c r="K152" s="27"/>
      <c r="L152" s="27"/>
      <c r="M152" s="45">
        <v>2005</v>
      </c>
      <c r="N152" s="48" t="s">
        <v>40</v>
      </c>
      <c r="O152" s="35">
        <f t="shared" si="54"/>
        <v>0.89408217112702604</v>
      </c>
      <c r="P152" s="35">
        <f t="shared" si="55"/>
        <v>0.91371340523882894</v>
      </c>
      <c r="Q152" s="35">
        <f t="shared" si="56"/>
        <v>0.97851488880512627</v>
      </c>
      <c r="R152" s="20">
        <v>2653</v>
      </c>
      <c r="S152" s="27">
        <f t="shared" si="70"/>
        <v>57</v>
      </c>
      <c r="T152" s="20">
        <v>2596</v>
      </c>
      <c r="U152" s="20">
        <v>2372</v>
      </c>
      <c r="V152" s="20">
        <f t="shared" si="58"/>
        <v>224</v>
      </c>
      <c r="W152" s="20"/>
      <c r="X152" s="20"/>
      <c r="Y152" s="45">
        <v>2005</v>
      </c>
      <c r="Z152" s="48" t="s">
        <v>40</v>
      </c>
      <c r="AA152" s="35">
        <f t="shared" si="59"/>
        <v>0.86181818181818182</v>
      </c>
      <c r="AB152" s="35">
        <f t="shared" si="60"/>
        <v>0.892991710625471</v>
      </c>
      <c r="AC152" s="35">
        <f t="shared" si="61"/>
        <v>0.96509090909090911</v>
      </c>
      <c r="AD152" s="20">
        <v>1375</v>
      </c>
      <c r="AE152" s="27">
        <f t="shared" si="71"/>
        <v>48</v>
      </c>
      <c r="AF152" s="20">
        <v>1327</v>
      </c>
      <c r="AG152" s="20">
        <v>1185</v>
      </c>
      <c r="AH152" s="20">
        <f t="shared" si="63"/>
        <v>142</v>
      </c>
      <c r="AI152" s="20"/>
      <c r="AJ152" s="20"/>
      <c r="AK152" s="45">
        <v>2005</v>
      </c>
      <c r="AL152" s="48" t="s">
        <v>40</v>
      </c>
      <c r="AM152" s="35">
        <f t="shared" si="64"/>
        <v>0.91532258064516125</v>
      </c>
      <c r="AN152" s="35">
        <f t="shared" si="65"/>
        <v>0.94190871369294604</v>
      </c>
      <c r="AO152" s="35">
        <f t="shared" si="66"/>
        <v>0.97177419354838712</v>
      </c>
      <c r="AP152" s="20">
        <v>248</v>
      </c>
      <c r="AQ152" s="27">
        <f t="shared" si="72"/>
        <v>7</v>
      </c>
      <c r="AR152" s="20">
        <v>241</v>
      </c>
      <c r="AS152" s="20">
        <v>227</v>
      </c>
      <c r="AT152" s="20">
        <f t="shared" si="68"/>
        <v>14</v>
      </c>
      <c r="AU152" s="20"/>
      <c r="AV152" s="20"/>
      <c r="AW152" s="45"/>
      <c r="AX152" s="48"/>
      <c r="AY152" s="35"/>
      <c r="AZ152" s="35"/>
      <c r="BA152" s="35"/>
    </row>
    <row r="153" spans="1:53" s="29" customFormat="1" ht="12.75">
      <c r="A153" s="46">
        <v>2005</v>
      </c>
      <c r="B153" s="47" t="s">
        <v>41</v>
      </c>
      <c r="C153" s="35">
        <f t="shared" si="46"/>
        <v>0.89305589160416166</v>
      </c>
      <c r="D153" s="35">
        <f t="shared" si="47"/>
        <v>0.92067847343477172</v>
      </c>
      <c r="E153" s="35">
        <f t="shared" si="48"/>
        <v>0.96999758045003626</v>
      </c>
      <c r="F153" s="92">
        <f t="shared" si="49"/>
        <v>4133</v>
      </c>
      <c r="G153" s="27">
        <f t="shared" si="69"/>
        <v>124</v>
      </c>
      <c r="H153" s="92">
        <f t="shared" si="51"/>
        <v>4009</v>
      </c>
      <c r="I153" s="92">
        <f t="shared" si="52"/>
        <v>3691</v>
      </c>
      <c r="J153" s="27">
        <f t="shared" si="53"/>
        <v>318</v>
      </c>
      <c r="K153" s="27"/>
      <c r="L153" s="27"/>
      <c r="M153" s="46">
        <v>2005</v>
      </c>
      <c r="N153" s="47" t="s">
        <v>41</v>
      </c>
      <c r="O153" s="35">
        <f t="shared" si="54"/>
        <v>0.89387436597737024</v>
      </c>
      <c r="P153" s="35">
        <f t="shared" si="55"/>
        <v>0.9193418940609952</v>
      </c>
      <c r="Q153" s="35">
        <f t="shared" si="56"/>
        <v>0.97229808817791652</v>
      </c>
      <c r="R153" s="20">
        <v>2563</v>
      </c>
      <c r="S153" s="27">
        <f t="shared" si="70"/>
        <v>71</v>
      </c>
      <c r="T153" s="20">
        <v>2492</v>
      </c>
      <c r="U153" s="20">
        <v>2291</v>
      </c>
      <c r="V153" s="20">
        <f t="shared" si="58"/>
        <v>201</v>
      </c>
      <c r="W153" s="20"/>
      <c r="X153" s="20"/>
      <c r="Y153" s="46">
        <v>2005</v>
      </c>
      <c r="Z153" s="47" t="s">
        <v>41</v>
      </c>
      <c r="AA153" s="35">
        <f t="shared" si="59"/>
        <v>0.87894736842105259</v>
      </c>
      <c r="AB153" s="35">
        <f t="shared" si="60"/>
        <v>0.90902021772939345</v>
      </c>
      <c r="AC153" s="35">
        <f t="shared" si="61"/>
        <v>0.96691729323308273</v>
      </c>
      <c r="AD153" s="20">
        <v>1330</v>
      </c>
      <c r="AE153" s="27">
        <f t="shared" si="71"/>
        <v>44</v>
      </c>
      <c r="AF153" s="20">
        <v>1286</v>
      </c>
      <c r="AG153" s="20">
        <v>1169</v>
      </c>
      <c r="AH153" s="20">
        <f t="shared" si="63"/>
        <v>117</v>
      </c>
      <c r="AI153" s="20"/>
      <c r="AJ153" s="20"/>
      <c r="AK153" s="46">
        <v>2005</v>
      </c>
      <c r="AL153" s="47" t="s">
        <v>41</v>
      </c>
      <c r="AM153" s="35">
        <f t="shared" si="64"/>
        <v>0.96250000000000002</v>
      </c>
      <c r="AN153" s="35">
        <f t="shared" si="65"/>
        <v>1</v>
      </c>
      <c r="AO153" s="35">
        <f t="shared" si="66"/>
        <v>0.96250000000000002</v>
      </c>
      <c r="AP153" s="20">
        <v>240</v>
      </c>
      <c r="AQ153" s="27">
        <f t="shared" si="72"/>
        <v>9</v>
      </c>
      <c r="AR153" s="20">
        <v>231</v>
      </c>
      <c r="AS153" s="20">
        <v>231</v>
      </c>
      <c r="AT153" s="20">
        <f t="shared" si="68"/>
        <v>0</v>
      </c>
      <c r="AU153" s="20"/>
      <c r="AV153" s="20"/>
      <c r="AW153" s="46"/>
      <c r="AX153" s="47"/>
      <c r="AY153" s="35"/>
      <c r="AZ153" s="35"/>
      <c r="BA153" s="35"/>
    </row>
    <row r="154" spans="1:53" s="29" customFormat="1" ht="12.75">
      <c r="A154" s="45">
        <v>2005</v>
      </c>
      <c r="B154" s="48" t="s">
        <v>42</v>
      </c>
      <c r="C154" s="35">
        <f t="shared" si="46"/>
        <v>0.90708068689720067</v>
      </c>
      <c r="D154" s="35">
        <f t="shared" si="47"/>
        <v>0.94140625</v>
      </c>
      <c r="E154" s="35">
        <f t="shared" si="48"/>
        <v>0.96353799106092686</v>
      </c>
      <c r="F154" s="92">
        <f t="shared" si="49"/>
        <v>4251</v>
      </c>
      <c r="G154" s="27">
        <f t="shared" si="69"/>
        <v>155</v>
      </c>
      <c r="H154" s="92">
        <f t="shared" si="51"/>
        <v>4096</v>
      </c>
      <c r="I154" s="92">
        <f t="shared" si="52"/>
        <v>3856</v>
      </c>
      <c r="J154" s="27">
        <f t="shared" si="53"/>
        <v>240</v>
      </c>
      <c r="K154" s="27"/>
      <c r="L154" s="27"/>
      <c r="M154" s="45">
        <v>2005</v>
      </c>
      <c r="N154" s="48" t="s">
        <v>42</v>
      </c>
      <c r="O154" s="35">
        <f t="shared" si="54"/>
        <v>0.91755319148936165</v>
      </c>
      <c r="P154" s="35">
        <f t="shared" si="55"/>
        <v>0.94262295081967218</v>
      </c>
      <c r="Q154" s="35">
        <f t="shared" si="56"/>
        <v>0.97340425531914898</v>
      </c>
      <c r="R154" s="20">
        <v>2632</v>
      </c>
      <c r="S154" s="27">
        <f t="shared" si="70"/>
        <v>70</v>
      </c>
      <c r="T154" s="20">
        <v>2562</v>
      </c>
      <c r="U154" s="20">
        <v>2415</v>
      </c>
      <c r="V154" s="20">
        <f t="shared" si="58"/>
        <v>147</v>
      </c>
      <c r="W154" s="20"/>
      <c r="X154" s="20"/>
      <c r="Y154" s="45">
        <v>2005</v>
      </c>
      <c r="Z154" s="48" t="s">
        <v>42</v>
      </c>
      <c r="AA154" s="35">
        <f t="shared" si="59"/>
        <v>0.9059080962800875</v>
      </c>
      <c r="AB154" s="35">
        <f t="shared" si="60"/>
        <v>0.94162244124336614</v>
      </c>
      <c r="AC154" s="35">
        <f t="shared" si="61"/>
        <v>0.96207148067104309</v>
      </c>
      <c r="AD154" s="20">
        <v>1371</v>
      </c>
      <c r="AE154" s="27">
        <f t="shared" si="71"/>
        <v>52</v>
      </c>
      <c r="AF154" s="20">
        <v>1319</v>
      </c>
      <c r="AG154" s="20">
        <v>1242</v>
      </c>
      <c r="AH154" s="20">
        <f t="shared" si="63"/>
        <v>77</v>
      </c>
      <c r="AI154" s="20"/>
      <c r="AJ154" s="20"/>
      <c r="AK154" s="45">
        <v>2005</v>
      </c>
      <c r="AL154" s="48" t="s">
        <v>42</v>
      </c>
      <c r="AM154" s="35">
        <f t="shared" si="64"/>
        <v>0.80241935483870963</v>
      </c>
      <c r="AN154" s="35">
        <f t="shared" si="65"/>
        <v>0.92558139534883721</v>
      </c>
      <c r="AO154" s="35">
        <f t="shared" si="66"/>
        <v>0.86693548387096775</v>
      </c>
      <c r="AP154" s="20">
        <v>248</v>
      </c>
      <c r="AQ154" s="27">
        <f t="shared" si="72"/>
        <v>33</v>
      </c>
      <c r="AR154" s="20">
        <v>215</v>
      </c>
      <c r="AS154" s="20">
        <v>199</v>
      </c>
      <c r="AT154" s="20">
        <f t="shared" si="68"/>
        <v>16</v>
      </c>
      <c r="AU154" s="20"/>
      <c r="AV154" s="20"/>
      <c r="AW154" s="45"/>
      <c r="AX154" s="48"/>
      <c r="AY154" s="35"/>
      <c r="AZ154" s="35"/>
      <c r="BA154" s="35"/>
    </row>
    <row r="155" spans="1:53" s="29" customFormat="1" ht="12.75">
      <c r="A155" s="46">
        <v>2005</v>
      </c>
      <c r="B155" s="47" t="s">
        <v>43</v>
      </c>
      <c r="C155" s="35">
        <f t="shared" si="46"/>
        <v>0.86184369707234454</v>
      </c>
      <c r="D155" s="35">
        <f t="shared" si="47"/>
        <v>0.90913731495661054</v>
      </c>
      <c r="E155" s="35">
        <f t="shared" si="48"/>
        <v>0.94797967578030484</v>
      </c>
      <c r="F155" s="92">
        <f t="shared" si="49"/>
        <v>4133</v>
      </c>
      <c r="G155" s="27">
        <f t="shared" si="69"/>
        <v>215</v>
      </c>
      <c r="H155" s="92">
        <f t="shared" si="51"/>
        <v>3918</v>
      </c>
      <c r="I155" s="92">
        <f t="shared" si="52"/>
        <v>3562</v>
      </c>
      <c r="J155" s="27">
        <f t="shared" si="53"/>
        <v>356</v>
      </c>
      <c r="K155" s="27"/>
      <c r="L155" s="27"/>
      <c r="M155" s="46">
        <v>2005</v>
      </c>
      <c r="N155" s="47" t="s">
        <v>43</v>
      </c>
      <c r="O155" s="35">
        <f t="shared" si="54"/>
        <v>0.85173624658603198</v>
      </c>
      <c r="P155" s="35">
        <f t="shared" si="55"/>
        <v>0.90468296726067132</v>
      </c>
      <c r="Q155" s="35">
        <f t="shared" si="56"/>
        <v>0.94147483417869682</v>
      </c>
      <c r="R155" s="20">
        <v>2563</v>
      </c>
      <c r="S155" s="27">
        <f t="shared" si="70"/>
        <v>150</v>
      </c>
      <c r="T155" s="20">
        <v>2413</v>
      </c>
      <c r="U155" s="20">
        <v>2183</v>
      </c>
      <c r="V155" s="20">
        <f t="shared" si="58"/>
        <v>230</v>
      </c>
      <c r="W155" s="20"/>
      <c r="X155" s="20"/>
      <c r="Y155" s="46">
        <v>2005</v>
      </c>
      <c r="Z155" s="47" t="s">
        <v>43</v>
      </c>
      <c r="AA155" s="35">
        <f t="shared" si="59"/>
        <v>0.86165413533834589</v>
      </c>
      <c r="AB155" s="35">
        <f t="shared" si="60"/>
        <v>0.90094339622641506</v>
      </c>
      <c r="AC155" s="35">
        <f t="shared" si="61"/>
        <v>0.95639097744360901</v>
      </c>
      <c r="AD155" s="20">
        <v>1330</v>
      </c>
      <c r="AE155" s="27">
        <f t="shared" si="71"/>
        <v>58</v>
      </c>
      <c r="AF155" s="20">
        <v>1272</v>
      </c>
      <c r="AG155" s="20">
        <v>1146</v>
      </c>
      <c r="AH155" s="20">
        <f t="shared" si="63"/>
        <v>126</v>
      </c>
      <c r="AI155" s="20"/>
      <c r="AJ155" s="20"/>
      <c r="AK155" s="46">
        <v>2005</v>
      </c>
      <c r="AL155" s="47" t="s">
        <v>43</v>
      </c>
      <c r="AM155" s="35">
        <f t="shared" si="64"/>
        <v>0.97083333333333333</v>
      </c>
      <c r="AN155" s="35">
        <f t="shared" si="65"/>
        <v>1</v>
      </c>
      <c r="AO155" s="35">
        <f t="shared" si="66"/>
        <v>0.97083333333333333</v>
      </c>
      <c r="AP155" s="20">
        <v>240</v>
      </c>
      <c r="AQ155" s="27">
        <f t="shared" si="72"/>
        <v>7</v>
      </c>
      <c r="AR155" s="20">
        <v>233</v>
      </c>
      <c r="AS155" s="20">
        <v>233</v>
      </c>
      <c r="AT155" s="20">
        <f t="shared" si="68"/>
        <v>0</v>
      </c>
      <c r="AU155" s="20"/>
      <c r="AV155" s="20"/>
      <c r="AW155" s="46"/>
      <c r="AX155" s="47"/>
      <c r="AY155" s="35"/>
      <c r="AZ155" s="35"/>
      <c r="BA155" s="35"/>
    </row>
    <row r="156" spans="1:53" s="29" customFormat="1" ht="12.75">
      <c r="A156" s="45">
        <v>2005</v>
      </c>
      <c r="B156" s="48" t="s">
        <v>44</v>
      </c>
      <c r="C156" s="35">
        <f t="shared" si="46"/>
        <v>0.83721477299458946</v>
      </c>
      <c r="D156" s="35">
        <f t="shared" si="47"/>
        <v>0.88576406172224986</v>
      </c>
      <c r="E156" s="35">
        <f t="shared" si="48"/>
        <v>0.94518936720771585</v>
      </c>
      <c r="F156" s="92">
        <f t="shared" si="49"/>
        <v>4251</v>
      </c>
      <c r="G156" s="27">
        <f t="shared" si="69"/>
        <v>233</v>
      </c>
      <c r="H156" s="92">
        <f t="shared" si="51"/>
        <v>4018</v>
      </c>
      <c r="I156" s="92">
        <f t="shared" si="52"/>
        <v>3559</v>
      </c>
      <c r="J156" s="27">
        <f t="shared" si="53"/>
        <v>459</v>
      </c>
      <c r="K156" s="27"/>
      <c r="L156" s="27"/>
      <c r="M156" s="45">
        <v>2005</v>
      </c>
      <c r="N156" s="48" t="s">
        <v>44</v>
      </c>
      <c r="O156" s="35">
        <f t="shared" si="54"/>
        <v>0.8457446808510638</v>
      </c>
      <c r="P156" s="35">
        <f t="shared" si="55"/>
        <v>0.89397590361445778</v>
      </c>
      <c r="Q156" s="35">
        <f t="shared" si="56"/>
        <v>0.94604863221884494</v>
      </c>
      <c r="R156" s="20">
        <v>2632</v>
      </c>
      <c r="S156" s="27">
        <f t="shared" si="70"/>
        <v>142</v>
      </c>
      <c r="T156" s="20">
        <v>2490</v>
      </c>
      <c r="U156" s="20">
        <v>2226</v>
      </c>
      <c r="V156" s="20">
        <f t="shared" si="58"/>
        <v>264</v>
      </c>
      <c r="W156" s="20"/>
      <c r="X156" s="20"/>
      <c r="Y156" s="45">
        <v>2005</v>
      </c>
      <c r="Z156" s="48" t="s">
        <v>44</v>
      </c>
      <c r="AA156" s="35">
        <f t="shared" si="59"/>
        <v>0.80087527352297594</v>
      </c>
      <c r="AB156" s="35">
        <f t="shared" si="60"/>
        <v>0.84984520123839014</v>
      </c>
      <c r="AC156" s="35">
        <f t="shared" si="61"/>
        <v>0.94237782640408463</v>
      </c>
      <c r="AD156" s="20">
        <v>1371</v>
      </c>
      <c r="AE156" s="27">
        <f t="shared" si="71"/>
        <v>79</v>
      </c>
      <c r="AF156" s="20">
        <v>1292</v>
      </c>
      <c r="AG156" s="20">
        <v>1098</v>
      </c>
      <c r="AH156" s="20">
        <f t="shared" si="63"/>
        <v>194</v>
      </c>
      <c r="AI156" s="20"/>
      <c r="AJ156" s="20"/>
      <c r="AK156" s="45">
        <v>2005</v>
      </c>
      <c r="AL156" s="48" t="s">
        <v>44</v>
      </c>
      <c r="AM156" s="35">
        <f t="shared" si="64"/>
        <v>0.94758064516129037</v>
      </c>
      <c r="AN156" s="35">
        <f t="shared" si="65"/>
        <v>0.99576271186440679</v>
      </c>
      <c r="AO156" s="35">
        <f t="shared" si="66"/>
        <v>0.95161290322580649</v>
      </c>
      <c r="AP156" s="20">
        <v>248</v>
      </c>
      <c r="AQ156" s="27">
        <f t="shared" si="72"/>
        <v>12</v>
      </c>
      <c r="AR156" s="20">
        <v>236</v>
      </c>
      <c r="AS156" s="20">
        <v>235</v>
      </c>
      <c r="AT156" s="20">
        <f t="shared" si="68"/>
        <v>1</v>
      </c>
      <c r="AU156" s="20"/>
      <c r="AV156" s="20"/>
      <c r="AW156" s="45"/>
      <c r="AX156" s="48"/>
      <c r="AY156" s="35"/>
      <c r="AZ156" s="35"/>
      <c r="BA156" s="35"/>
    </row>
    <row r="157" spans="1:53" s="29" customFormat="1" ht="12.75">
      <c r="A157" s="46">
        <v>2005</v>
      </c>
      <c r="B157" s="47" t="s">
        <v>45</v>
      </c>
      <c r="C157" s="35">
        <f t="shared" si="46"/>
        <v>0.80425631431244149</v>
      </c>
      <c r="D157" s="35">
        <f t="shared" si="47"/>
        <v>0.87372967479674801</v>
      </c>
      <c r="E157" s="35">
        <f t="shared" si="48"/>
        <v>0.92048643592142187</v>
      </c>
      <c r="F157" s="92">
        <f t="shared" si="49"/>
        <v>4276</v>
      </c>
      <c r="G157" s="27">
        <f t="shared" si="69"/>
        <v>340</v>
      </c>
      <c r="H157" s="92">
        <f t="shared" si="51"/>
        <v>3936</v>
      </c>
      <c r="I157" s="92">
        <f t="shared" si="52"/>
        <v>3439</v>
      </c>
      <c r="J157" s="27">
        <f t="shared" si="53"/>
        <v>497</v>
      </c>
      <c r="K157" s="27"/>
      <c r="L157" s="27"/>
      <c r="M157" s="46">
        <v>2005</v>
      </c>
      <c r="N157" s="47" t="s">
        <v>45</v>
      </c>
      <c r="O157" s="35">
        <f t="shared" si="54"/>
        <v>0.80625706747078774</v>
      </c>
      <c r="P157" s="35">
        <f t="shared" si="55"/>
        <v>0.87520458265139112</v>
      </c>
      <c r="Q157" s="35">
        <f t="shared" si="56"/>
        <v>0.9212212589521297</v>
      </c>
      <c r="R157" s="20">
        <v>2653</v>
      </c>
      <c r="S157" s="27">
        <f t="shared" si="70"/>
        <v>209</v>
      </c>
      <c r="T157" s="20">
        <v>2444</v>
      </c>
      <c r="U157" s="20">
        <v>2139</v>
      </c>
      <c r="V157" s="20">
        <f t="shared" si="58"/>
        <v>305</v>
      </c>
      <c r="W157" s="20"/>
      <c r="X157" s="20"/>
      <c r="Y157" s="46">
        <v>2005</v>
      </c>
      <c r="Z157" s="47" t="s">
        <v>45</v>
      </c>
      <c r="AA157" s="35">
        <f t="shared" si="59"/>
        <v>0.80072727272727273</v>
      </c>
      <c r="AB157" s="35">
        <f t="shared" si="60"/>
        <v>0.85881435257410299</v>
      </c>
      <c r="AC157" s="35">
        <f t="shared" si="61"/>
        <v>0.93236363636363639</v>
      </c>
      <c r="AD157" s="20">
        <v>1375</v>
      </c>
      <c r="AE157" s="27">
        <f t="shared" si="71"/>
        <v>93</v>
      </c>
      <c r="AF157" s="20">
        <v>1282</v>
      </c>
      <c r="AG157" s="20">
        <v>1101</v>
      </c>
      <c r="AH157" s="20">
        <f t="shared" si="63"/>
        <v>181</v>
      </c>
      <c r="AI157" s="20"/>
      <c r="AJ157" s="20"/>
      <c r="AK157" s="46">
        <v>2005</v>
      </c>
      <c r="AL157" s="47" t="s">
        <v>45</v>
      </c>
      <c r="AM157" s="35">
        <f t="shared" si="64"/>
        <v>0.80241935483870963</v>
      </c>
      <c r="AN157" s="35">
        <f t="shared" si="65"/>
        <v>0.94761904761904758</v>
      </c>
      <c r="AO157" s="35">
        <f t="shared" si="66"/>
        <v>0.84677419354838712</v>
      </c>
      <c r="AP157" s="20">
        <v>248</v>
      </c>
      <c r="AQ157" s="27">
        <f t="shared" si="72"/>
        <v>38</v>
      </c>
      <c r="AR157" s="20">
        <v>210</v>
      </c>
      <c r="AS157" s="20">
        <v>199</v>
      </c>
      <c r="AT157" s="20">
        <f t="shared" si="68"/>
        <v>11</v>
      </c>
      <c r="AU157" s="20"/>
      <c r="AV157" s="20"/>
      <c r="AW157" s="46"/>
      <c r="AX157" s="47"/>
      <c r="AY157" s="35"/>
      <c r="AZ157" s="35"/>
      <c r="BA157" s="35"/>
    </row>
    <row r="158" spans="1:53" s="29" customFormat="1" ht="12.75">
      <c r="A158" s="45">
        <v>2005</v>
      </c>
      <c r="B158" s="48" t="s">
        <v>46</v>
      </c>
      <c r="C158" s="35">
        <f t="shared" si="46"/>
        <v>0.83092833092833096</v>
      </c>
      <c r="D158" s="35">
        <f t="shared" si="47"/>
        <v>0.90161795407098122</v>
      </c>
      <c r="E158" s="35">
        <f t="shared" si="48"/>
        <v>0.92159692159692164</v>
      </c>
      <c r="F158" s="92">
        <f t="shared" si="49"/>
        <v>4158</v>
      </c>
      <c r="G158" s="27">
        <f t="shared" si="69"/>
        <v>326</v>
      </c>
      <c r="H158" s="92">
        <f t="shared" si="51"/>
        <v>3832</v>
      </c>
      <c r="I158" s="92">
        <f t="shared" si="52"/>
        <v>3455</v>
      </c>
      <c r="J158" s="27">
        <f t="shared" si="53"/>
        <v>377</v>
      </c>
      <c r="K158" s="27"/>
      <c r="L158" s="27"/>
      <c r="M158" s="45">
        <v>2005</v>
      </c>
      <c r="N158" s="48" t="s">
        <v>46</v>
      </c>
      <c r="O158" s="35">
        <f t="shared" si="54"/>
        <v>0.83320433436532504</v>
      </c>
      <c r="P158" s="35">
        <f t="shared" si="55"/>
        <v>0.90121389702804522</v>
      </c>
      <c r="Q158" s="35">
        <f t="shared" si="56"/>
        <v>0.9245356037151703</v>
      </c>
      <c r="R158" s="20">
        <v>2584</v>
      </c>
      <c r="S158" s="27">
        <f t="shared" si="70"/>
        <v>195</v>
      </c>
      <c r="T158" s="20">
        <v>2389</v>
      </c>
      <c r="U158" s="20">
        <v>2153</v>
      </c>
      <c r="V158" s="20">
        <f t="shared" si="58"/>
        <v>236</v>
      </c>
      <c r="W158" s="20"/>
      <c r="X158" s="20"/>
      <c r="Y158" s="45">
        <v>2005</v>
      </c>
      <c r="Z158" s="48" t="s">
        <v>46</v>
      </c>
      <c r="AA158" s="35">
        <f t="shared" si="59"/>
        <v>0.82308845577211398</v>
      </c>
      <c r="AB158" s="35">
        <f t="shared" si="60"/>
        <v>0.88906882591093117</v>
      </c>
      <c r="AC158" s="35">
        <f t="shared" si="61"/>
        <v>0.92578710644677664</v>
      </c>
      <c r="AD158" s="20">
        <v>1334</v>
      </c>
      <c r="AE158" s="27">
        <f t="shared" si="71"/>
        <v>99</v>
      </c>
      <c r="AF158" s="20">
        <v>1235</v>
      </c>
      <c r="AG158" s="20">
        <v>1098</v>
      </c>
      <c r="AH158" s="20">
        <f t="shared" si="63"/>
        <v>137</v>
      </c>
      <c r="AI158" s="20"/>
      <c r="AJ158" s="20"/>
      <c r="AK158" s="45">
        <v>2005</v>
      </c>
      <c r="AL158" s="48" t="s">
        <v>46</v>
      </c>
      <c r="AM158" s="35">
        <f t="shared" si="64"/>
        <v>0.85</v>
      </c>
      <c r="AN158" s="35">
        <f t="shared" si="65"/>
        <v>0.98076923076923073</v>
      </c>
      <c r="AO158" s="35">
        <f t="shared" si="66"/>
        <v>0.8666666666666667</v>
      </c>
      <c r="AP158" s="20">
        <v>240</v>
      </c>
      <c r="AQ158" s="27">
        <f t="shared" si="72"/>
        <v>32</v>
      </c>
      <c r="AR158" s="20">
        <v>208</v>
      </c>
      <c r="AS158" s="20">
        <v>204</v>
      </c>
      <c r="AT158" s="20">
        <f t="shared" si="68"/>
        <v>4</v>
      </c>
      <c r="AU158" s="20"/>
      <c r="AV158" s="20"/>
      <c r="AW158" s="45"/>
      <c r="AX158" s="48"/>
      <c r="AY158" s="35"/>
      <c r="AZ158" s="35"/>
      <c r="BA158" s="35"/>
    </row>
    <row r="159" spans="1:53" s="29" customFormat="1" ht="12.75">
      <c r="A159" s="46">
        <v>2005</v>
      </c>
      <c r="B159" s="47" t="s">
        <v>47</v>
      </c>
      <c r="C159" s="35">
        <f t="shared" si="46"/>
        <v>0.90949799670044784</v>
      </c>
      <c r="D159" s="35">
        <f t="shared" si="47"/>
        <v>0.93938656280428434</v>
      </c>
      <c r="E159" s="35">
        <f t="shared" si="48"/>
        <v>0.9681828894650012</v>
      </c>
      <c r="F159" s="92">
        <f t="shared" si="49"/>
        <v>4243</v>
      </c>
      <c r="G159" s="27">
        <f t="shared" si="69"/>
        <v>135</v>
      </c>
      <c r="H159" s="92">
        <f t="shared" si="51"/>
        <v>4108</v>
      </c>
      <c r="I159" s="92">
        <f t="shared" si="52"/>
        <v>3859</v>
      </c>
      <c r="J159" s="27">
        <f t="shared" si="53"/>
        <v>249</v>
      </c>
      <c r="K159" s="27"/>
      <c r="L159" s="27"/>
      <c r="M159" s="46">
        <v>2005</v>
      </c>
      <c r="N159" s="47" t="s">
        <v>47</v>
      </c>
      <c r="O159" s="35">
        <f t="shared" si="54"/>
        <v>0.92111280487804881</v>
      </c>
      <c r="P159" s="35">
        <f t="shared" si="55"/>
        <v>0.94119937694704048</v>
      </c>
      <c r="Q159" s="35">
        <f t="shared" si="56"/>
        <v>0.97865853658536583</v>
      </c>
      <c r="R159" s="20">
        <v>2624</v>
      </c>
      <c r="S159" s="27">
        <f t="shared" si="70"/>
        <v>56</v>
      </c>
      <c r="T159" s="20">
        <v>2568</v>
      </c>
      <c r="U159" s="20">
        <v>2417</v>
      </c>
      <c r="V159" s="20">
        <f t="shared" si="58"/>
        <v>151</v>
      </c>
      <c r="W159" s="20"/>
      <c r="X159" s="20"/>
      <c r="Y159" s="46">
        <v>2005</v>
      </c>
      <c r="Z159" s="47" t="s">
        <v>47</v>
      </c>
      <c r="AA159" s="35">
        <f t="shared" si="59"/>
        <v>0.88621444201312916</v>
      </c>
      <c r="AB159" s="35">
        <f t="shared" si="60"/>
        <v>0.9296097934200459</v>
      </c>
      <c r="AC159" s="35">
        <f t="shared" si="61"/>
        <v>0.9533187454412837</v>
      </c>
      <c r="AD159" s="20">
        <v>1371</v>
      </c>
      <c r="AE159" s="27">
        <f t="shared" si="71"/>
        <v>64</v>
      </c>
      <c r="AF159" s="20">
        <v>1307</v>
      </c>
      <c r="AG159" s="20">
        <v>1215</v>
      </c>
      <c r="AH159" s="20">
        <f t="shared" si="63"/>
        <v>92</v>
      </c>
      <c r="AI159" s="20"/>
      <c r="AJ159" s="20"/>
      <c r="AK159" s="46">
        <v>2005</v>
      </c>
      <c r="AL159" s="47" t="s">
        <v>47</v>
      </c>
      <c r="AM159" s="35">
        <f t="shared" si="64"/>
        <v>0.91532258064516125</v>
      </c>
      <c r="AN159" s="35">
        <f t="shared" si="65"/>
        <v>0.97424892703862664</v>
      </c>
      <c r="AO159" s="35">
        <f t="shared" si="66"/>
        <v>0.93951612903225812</v>
      </c>
      <c r="AP159" s="20">
        <v>248</v>
      </c>
      <c r="AQ159" s="27">
        <f t="shared" si="72"/>
        <v>15</v>
      </c>
      <c r="AR159" s="20">
        <v>233</v>
      </c>
      <c r="AS159" s="20">
        <v>227</v>
      </c>
      <c r="AT159" s="20">
        <f t="shared" si="68"/>
        <v>6</v>
      </c>
      <c r="AU159" s="20"/>
      <c r="AV159" s="20"/>
      <c r="AW159" s="46"/>
      <c r="AX159" s="47"/>
      <c r="AY159" s="35"/>
      <c r="AZ159" s="35"/>
      <c r="BA159" s="35"/>
    </row>
    <row r="160" spans="1:53" s="29" customFormat="1" ht="12.75">
      <c r="A160" s="45">
        <v>2005</v>
      </c>
      <c r="B160" s="48" t="s">
        <v>48</v>
      </c>
      <c r="C160" s="35">
        <f t="shared" si="46"/>
        <v>0.86724386724386726</v>
      </c>
      <c r="D160" s="35">
        <f t="shared" si="47"/>
        <v>0.91779078645965895</v>
      </c>
      <c r="E160" s="35">
        <f t="shared" si="48"/>
        <v>0.94492544492544495</v>
      </c>
      <c r="F160" s="92">
        <f t="shared" si="49"/>
        <v>4158</v>
      </c>
      <c r="G160" s="27">
        <f t="shared" si="69"/>
        <v>229</v>
      </c>
      <c r="H160" s="92">
        <f t="shared" si="51"/>
        <v>3929</v>
      </c>
      <c r="I160" s="92">
        <f t="shared" si="52"/>
        <v>3606</v>
      </c>
      <c r="J160" s="27">
        <f t="shared" si="53"/>
        <v>323</v>
      </c>
      <c r="K160" s="27"/>
      <c r="L160" s="27"/>
      <c r="M160" s="45">
        <v>2005</v>
      </c>
      <c r="N160" s="48" t="s">
        <v>48</v>
      </c>
      <c r="O160" s="35">
        <f t="shared" si="54"/>
        <v>0.86919504643962853</v>
      </c>
      <c r="P160" s="35">
        <f t="shared" si="55"/>
        <v>0.91973791973791974</v>
      </c>
      <c r="Q160" s="35">
        <f t="shared" si="56"/>
        <v>0.945046439628483</v>
      </c>
      <c r="R160" s="20">
        <v>2584</v>
      </c>
      <c r="S160" s="27">
        <f t="shared" si="70"/>
        <v>142</v>
      </c>
      <c r="T160" s="20">
        <v>2442</v>
      </c>
      <c r="U160" s="20">
        <v>2246</v>
      </c>
      <c r="V160" s="20">
        <f t="shared" si="58"/>
        <v>196</v>
      </c>
      <c r="W160" s="20"/>
      <c r="X160" s="20"/>
      <c r="Y160" s="45">
        <v>2005</v>
      </c>
      <c r="Z160" s="48" t="s">
        <v>48</v>
      </c>
      <c r="AA160" s="35">
        <f t="shared" si="59"/>
        <v>0.84557721139430286</v>
      </c>
      <c r="AB160" s="35">
        <f t="shared" si="60"/>
        <v>0.90095846645367417</v>
      </c>
      <c r="AC160" s="35">
        <f t="shared" si="61"/>
        <v>0.93853073463268366</v>
      </c>
      <c r="AD160" s="20">
        <v>1334</v>
      </c>
      <c r="AE160" s="27">
        <f t="shared" si="71"/>
        <v>82</v>
      </c>
      <c r="AF160" s="20">
        <v>1252</v>
      </c>
      <c r="AG160" s="20">
        <v>1128</v>
      </c>
      <c r="AH160" s="20">
        <f t="shared" si="63"/>
        <v>124</v>
      </c>
      <c r="AI160" s="20"/>
      <c r="AJ160" s="20"/>
      <c r="AK160" s="45">
        <v>2005</v>
      </c>
      <c r="AL160" s="48" t="s">
        <v>48</v>
      </c>
      <c r="AM160" s="35">
        <f t="shared" si="64"/>
        <v>0.96666666666666667</v>
      </c>
      <c r="AN160" s="35">
        <f t="shared" si="65"/>
        <v>0.98723404255319147</v>
      </c>
      <c r="AO160" s="35">
        <f t="shared" si="66"/>
        <v>0.97916666666666663</v>
      </c>
      <c r="AP160" s="20">
        <v>240</v>
      </c>
      <c r="AQ160" s="27">
        <f t="shared" si="72"/>
        <v>5</v>
      </c>
      <c r="AR160" s="20">
        <v>235</v>
      </c>
      <c r="AS160" s="20">
        <v>232</v>
      </c>
      <c r="AT160" s="20">
        <f t="shared" si="68"/>
        <v>3</v>
      </c>
      <c r="AU160" s="20"/>
      <c r="AV160" s="20"/>
      <c r="AW160" s="45"/>
      <c r="AX160" s="48"/>
      <c r="AY160" s="35"/>
      <c r="AZ160" s="35"/>
      <c r="BA160" s="35"/>
    </row>
    <row r="161" spans="1:53" s="29" customFormat="1" ht="12.75">
      <c r="A161" s="46">
        <v>2005</v>
      </c>
      <c r="B161" s="47" t="s">
        <v>49</v>
      </c>
      <c r="C161" s="35">
        <f t="shared" si="46"/>
        <v>0.87441424554826619</v>
      </c>
      <c r="D161" s="35">
        <f t="shared" si="47"/>
        <v>0.91785538612887363</v>
      </c>
      <c r="E161" s="35">
        <f t="shared" si="48"/>
        <v>0.95267104029990624</v>
      </c>
      <c r="F161" s="92">
        <f t="shared" si="49"/>
        <v>4268</v>
      </c>
      <c r="G161" s="27">
        <f t="shared" si="69"/>
        <v>202</v>
      </c>
      <c r="H161" s="92">
        <f t="shared" si="51"/>
        <v>4066</v>
      </c>
      <c r="I161" s="92">
        <f t="shared" si="52"/>
        <v>3732</v>
      </c>
      <c r="J161" s="27">
        <f t="shared" si="53"/>
        <v>334</v>
      </c>
      <c r="K161" s="27"/>
      <c r="L161" s="27"/>
      <c r="M161" s="46">
        <v>2005</v>
      </c>
      <c r="N161" s="47" t="s">
        <v>49</v>
      </c>
      <c r="O161" s="35">
        <f t="shared" si="54"/>
        <v>0.88317580340264645</v>
      </c>
      <c r="P161" s="35">
        <f t="shared" si="55"/>
        <v>0.92113564668769721</v>
      </c>
      <c r="Q161" s="35">
        <f t="shared" si="56"/>
        <v>0.95879017013232515</v>
      </c>
      <c r="R161" s="20">
        <v>2645</v>
      </c>
      <c r="S161" s="27">
        <f t="shared" si="70"/>
        <v>109</v>
      </c>
      <c r="T161" s="20">
        <v>2536</v>
      </c>
      <c r="U161" s="20">
        <v>2336</v>
      </c>
      <c r="V161" s="20">
        <f t="shared" si="58"/>
        <v>200</v>
      </c>
      <c r="W161" s="20"/>
      <c r="X161" s="20"/>
      <c r="Y161" s="46">
        <v>2005</v>
      </c>
      <c r="Z161" s="47" t="s">
        <v>49</v>
      </c>
      <c r="AA161" s="35">
        <f t="shared" si="59"/>
        <v>0.84727272727272729</v>
      </c>
      <c r="AB161" s="35">
        <f t="shared" si="60"/>
        <v>0.89753466872110943</v>
      </c>
      <c r="AC161" s="35">
        <f t="shared" si="61"/>
        <v>0.94399999999999995</v>
      </c>
      <c r="AD161" s="20">
        <v>1375</v>
      </c>
      <c r="AE161" s="27">
        <f t="shared" si="71"/>
        <v>77</v>
      </c>
      <c r="AF161" s="20">
        <v>1298</v>
      </c>
      <c r="AG161" s="20">
        <v>1165</v>
      </c>
      <c r="AH161" s="20">
        <f t="shared" si="63"/>
        <v>133</v>
      </c>
      <c r="AI161" s="20"/>
      <c r="AJ161" s="20"/>
      <c r="AK161" s="46">
        <v>2005</v>
      </c>
      <c r="AL161" s="47" t="s">
        <v>49</v>
      </c>
      <c r="AM161" s="35">
        <f t="shared" si="64"/>
        <v>0.93145161290322576</v>
      </c>
      <c r="AN161" s="35">
        <f t="shared" si="65"/>
        <v>0.99568965517241381</v>
      </c>
      <c r="AO161" s="35">
        <f t="shared" si="66"/>
        <v>0.93548387096774188</v>
      </c>
      <c r="AP161" s="20">
        <v>248</v>
      </c>
      <c r="AQ161" s="27">
        <f t="shared" si="72"/>
        <v>16</v>
      </c>
      <c r="AR161" s="20">
        <v>232</v>
      </c>
      <c r="AS161" s="20">
        <v>231</v>
      </c>
      <c r="AT161" s="20">
        <f t="shared" si="68"/>
        <v>1</v>
      </c>
      <c r="AU161" s="20"/>
      <c r="AV161" s="20"/>
      <c r="AW161" s="46"/>
      <c r="AX161" s="47"/>
      <c r="AY161" s="35"/>
      <c r="AZ161" s="35"/>
      <c r="BA161" s="35"/>
    </row>
    <row r="162" spans="1:53" s="29" customFormat="1" ht="12.75">
      <c r="A162" s="45">
        <v>2006</v>
      </c>
      <c r="B162" s="48" t="s">
        <v>38</v>
      </c>
      <c r="C162" s="35">
        <f t="shared" si="46"/>
        <v>0.93334892422825066</v>
      </c>
      <c r="D162" s="35">
        <f t="shared" si="47"/>
        <v>0.9568448813234236</v>
      </c>
      <c r="E162" s="35">
        <f t="shared" si="48"/>
        <v>0.97544434050514495</v>
      </c>
      <c r="F162" s="92">
        <f t="shared" ref="F162:F173" si="73">+R162+AD162+AP162</f>
        <v>4276</v>
      </c>
      <c r="G162" s="27">
        <f t="shared" ref="G162" si="74">F162-H162</f>
        <v>105</v>
      </c>
      <c r="H162" s="92">
        <f t="shared" ref="H162:H173" si="75">+T162+AF162+AR162</f>
        <v>4171</v>
      </c>
      <c r="I162" s="92">
        <f t="shared" ref="I162:I173" si="76">+U162+AG162+AS162</f>
        <v>3991</v>
      </c>
      <c r="J162" s="27">
        <f t="shared" ref="J162:J173" si="77">H162-I162</f>
        <v>180</v>
      </c>
      <c r="K162" s="27"/>
      <c r="L162" s="27"/>
      <c r="M162" s="45">
        <v>2006</v>
      </c>
      <c r="N162" s="48" t="s">
        <v>38</v>
      </c>
      <c r="O162" s="35">
        <f t="shared" si="54"/>
        <v>0.94308330192235201</v>
      </c>
      <c r="P162" s="35">
        <f t="shared" si="55"/>
        <v>0.96193771626297575</v>
      </c>
      <c r="Q162" s="35">
        <f t="shared" si="56"/>
        <v>0.98039954768186954</v>
      </c>
      <c r="R162" s="20">
        <v>2653</v>
      </c>
      <c r="S162" s="27">
        <f t="shared" ref="S162:S173" si="78">R162-T162</f>
        <v>52</v>
      </c>
      <c r="T162" s="20">
        <v>2601</v>
      </c>
      <c r="U162" s="20">
        <v>2502</v>
      </c>
      <c r="V162" s="20">
        <f t="shared" ref="V162:V173" si="79">T162-U162</f>
        <v>99</v>
      </c>
      <c r="W162" s="20"/>
      <c r="X162" s="20"/>
      <c r="Y162" s="45">
        <v>2006</v>
      </c>
      <c r="Z162" s="48" t="s">
        <v>38</v>
      </c>
      <c r="AA162" s="35">
        <f t="shared" si="59"/>
        <v>0.91490909090909089</v>
      </c>
      <c r="AB162" s="35">
        <f t="shared" si="60"/>
        <v>0.94020926756352763</v>
      </c>
      <c r="AC162" s="35">
        <f t="shared" si="61"/>
        <v>0.97309090909090912</v>
      </c>
      <c r="AD162" s="20">
        <v>1375</v>
      </c>
      <c r="AE162" s="27">
        <f t="shared" ref="AE162:AE173" si="80">AD162-AF162</f>
        <v>37</v>
      </c>
      <c r="AF162" s="20">
        <v>1338</v>
      </c>
      <c r="AG162" s="20">
        <v>1258</v>
      </c>
      <c r="AH162" s="20">
        <f t="shared" ref="AH162:AH173" si="81">AF162-AG162</f>
        <v>80</v>
      </c>
      <c r="AI162" s="20"/>
      <c r="AJ162" s="20"/>
      <c r="AK162" s="45">
        <v>2006</v>
      </c>
      <c r="AL162" s="48" t="s">
        <v>38</v>
      </c>
      <c r="AM162" s="35">
        <f t="shared" si="64"/>
        <v>0.93145161290322576</v>
      </c>
      <c r="AN162" s="35">
        <f t="shared" si="65"/>
        <v>0.99568965517241381</v>
      </c>
      <c r="AO162" s="35">
        <f t="shared" si="66"/>
        <v>0.93548387096774188</v>
      </c>
      <c r="AP162" s="20">
        <v>248</v>
      </c>
      <c r="AQ162" s="27">
        <f t="shared" ref="AQ162:AQ173" si="82">AP162-AR162</f>
        <v>16</v>
      </c>
      <c r="AR162" s="20">
        <v>232</v>
      </c>
      <c r="AS162" s="20">
        <v>231</v>
      </c>
      <c r="AT162" s="20">
        <f t="shared" ref="AT162:AT173" si="83">AR162-AS162</f>
        <v>1</v>
      </c>
      <c r="AU162" s="20"/>
      <c r="AV162" s="20"/>
      <c r="AW162" s="45"/>
      <c r="AX162" s="48"/>
      <c r="AY162" s="35"/>
      <c r="AZ162" s="35"/>
      <c r="BA162" s="35"/>
    </row>
    <row r="163" spans="1:53" s="29" customFormat="1" ht="12.75">
      <c r="A163" s="46">
        <v>2006</v>
      </c>
      <c r="B163" s="47" t="s">
        <v>39</v>
      </c>
      <c r="C163" s="35">
        <f t="shared" si="46"/>
        <v>0.91503099173553715</v>
      </c>
      <c r="D163" s="35">
        <f t="shared" si="47"/>
        <v>0.94404476418864913</v>
      </c>
      <c r="E163" s="35">
        <f t="shared" si="48"/>
        <v>0.96926652892561982</v>
      </c>
      <c r="F163" s="92">
        <f t="shared" si="73"/>
        <v>3872</v>
      </c>
      <c r="G163" s="27">
        <f t="shared" ref="G163:G173" si="84">F163-H163</f>
        <v>119</v>
      </c>
      <c r="H163" s="92">
        <f t="shared" si="75"/>
        <v>3753</v>
      </c>
      <c r="I163" s="92">
        <f t="shared" si="76"/>
        <v>3543</v>
      </c>
      <c r="J163" s="27">
        <f t="shared" si="77"/>
        <v>210</v>
      </c>
      <c r="K163" s="27"/>
      <c r="L163" s="27"/>
      <c r="M163" s="46">
        <v>2006</v>
      </c>
      <c r="N163" s="47" t="s">
        <v>39</v>
      </c>
      <c r="O163" s="35">
        <f t="shared" si="54"/>
        <v>0.92221297836938432</v>
      </c>
      <c r="P163" s="35">
        <f t="shared" si="55"/>
        <v>0.94622279129321385</v>
      </c>
      <c r="Q163" s="35">
        <f t="shared" si="56"/>
        <v>0.97462562396006658</v>
      </c>
      <c r="R163" s="20">
        <v>2404</v>
      </c>
      <c r="S163" s="27">
        <f t="shared" si="78"/>
        <v>61</v>
      </c>
      <c r="T163" s="20">
        <v>2343</v>
      </c>
      <c r="U163" s="20">
        <v>2217</v>
      </c>
      <c r="V163" s="20">
        <f t="shared" si="79"/>
        <v>126</v>
      </c>
      <c r="W163" s="20"/>
      <c r="X163" s="20"/>
      <c r="Y163" s="46">
        <v>2006</v>
      </c>
      <c r="Z163" s="47" t="s">
        <v>39</v>
      </c>
      <c r="AA163" s="35">
        <f t="shared" si="59"/>
        <v>0.90594855305466238</v>
      </c>
      <c r="AB163" s="35">
        <f t="shared" si="60"/>
        <v>0.93217535153019027</v>
      </c>
      <c r="AC163" s="35">
        <f t="shared" si="61"/>
        <v>0.97186495176848875</v>
      </c>
      <c r="AD163" s="20">
        <v>1244</v>
      </c>
      <c r="AE163" s="27">
        <f t="shared" si="80"/>
        <v>35</v>
      </c>
      <c r="AF163" s="20">
        <v>1209</v>
      </c>
      <c r="AG163" s="20">
        <v>1127</v>
      </c>
      <c r="AH163" s="20">
        <f t="shared" si="81"/>
        <v>82</v>
      </c>
      <c r="AI163" s="20"/>
      <c r="AJ163" s="20"/>
      <c r="AK163" s="46">
        <v>2006</v>
      </c>
      <c r="AL163" s="47" t="s">
        <v>39</v>
      </c>
      <c r="AM163" s="35">
        <f t="shared" si="64"/>
        <v>0.8883928571428571</v>
      </c>
      <c r="AN163" s="35">
        <f t="shared" si="65"/>
        <v>0.99004975124378114</v>
      </c>
      <c r="AO163" s="35">
        <f t="shared" si="66"/>
        <v>0.8973214285714286</v>
      </c>
      <c r="AP163" s="20">
        <v>224</v>
      </c>
      <c r="AQ163" s="27">
        <f t="shared" si="82"/>
        <v>23</v>
      </c>
      <c r="AR163" s="20">
        <v>201</v>
      </c>
      <c r="AS163" s="20">
        <v>199</v>
      </c>
      <c r="AT163" s="20">
        <f t="shared" si="83"/>
        <v>2</v>
      </c>
      <c r="AU163" s="20"/>
      <c r="AV163" s="20"/>
      <c r="AW163" s="46"/>
      <c r="AX163" s="47"/>
      <c r="AY163" s="35"/>
      <c r="AZ163" s="35"/>
      <c r="BA163" s="35"/>
    </row>
    <row r="164" spans="1:53" s="29" customFormat="1" ht="12.75">
      <c r="A164" s="45">
        <v>2006</v>
      </c>
      <c r="B164" s="48" t="s">
        <v>40</v>
      </c>
      <c r="C164" s="35">
        <f t="shared" si="46"/>
        <v>0.84494855004677272</v>
      </c>
      <c r="D164" s="35">
        <f t="shared" si="47"/>
        <v>0.89342235410484672</v>
      </c>
      <c r="E164" s="35">
        <f t="shared" si="48"/>
        <v>0.94574368568755851</v>
      </c>
      <c r="F164" s="92">
        <f t="shared" si="73"/>
        <v>4276</v>
      </c>
      <c r="G164" s="27">
        <f t="shared" si="84"/>
        <v>232</v>
      </c>
      <c r="H164" s="92">
        <f t="shared" si="75"/>
        <v>4044</v>
      </c>
      <c r="I164" s="92">
        <f t="shared" si="76"/>
        <v>3613</v>
      </c>
      <c r="J164" s="27">
        <f t="shared" si="77"/>
        <v>431</v>
      </c>
      <c r="K164" s="27"/>
      <c r="L164" s="27"/>
      <c r="M164" s="45">
        <v>2006</v>
      </c>
      <c r="N164" s="48" t="s">
        <v>40</v>
      </c>
      <c r="O164" s="35">
        <f t="shared" si="54"/>
        <v>0.84771956275914062</v>
      </c>
      <c r="P164" s="35">
        <f t="shared" si="55"/>
        <v>0.89959999999999996</v>
      </c>
      <c r="Q164" s="35">
        <f t="shared" si="56"/>
        <v>0.94232943837165473</v>
      </c>
      <c r="R164" s="20">
        <v>2653</v>
      </c>
      <c r="S164" s="27">
        <f t="shared" si="78"/>
        <v>153</v>
      </c>
      <c r="T164" s="20">
        <v>2500</v>
      </c>
      <c r="U164" s="20">
        <v>2249</v>
      </c>
      <c r="V164" s="20">
        <f t="shared" si="79"/>
        <v>251</v>
      </c>
      <c r="W164" s="20"/>
      <c r="X164" s="20"/>
      <c r="Y164" s="45">
        <v>2006</v>
      </c>
      <c r="Z164" s="48" t="s">
        <v>40</v>
      </c>
      <c r="AA164" s="35">
        <f t="shared" si="59"/>
        <v>0.83272727272727276</v>
      </c>
      <c r="AB164" s="35">
        <f t="shared" si="60"/>
        <v>0.87006079027355621</v>
      </c>
      <c r="AC164" s="35">
        <f t="shared" si="61"/>
        <v>0.9570909090909091</v>
      </c>
      <c r="AD164" s="20">
        <v>1375</v>
      </c>
      <c r="AE164" s="27">
        <f t="shared" si="80"/>
        <v>59</v>
      </c>
      <c r="AF164" s="20">
        <v>1316</v>
      </c>
      <c r="AG164" s="20">
        <v>1145</v>
      </c>
      <c r="AH164" s="20">
        <f t="shared" si="81"/>
        <v>171</v>
      </c>
      <c r="AI164" s="20"/>
      <c r="AJ164" s="20"/>
      <c r="AK164" s="45">
        <v>2006</v>
      </c>
      <c r="AL164" s="48" t="s">
        <v>40</v>
      </c>
      <c r="AM164" s="35">
        <f t="shared" si="64"/>
        <v>0.88306451612903225</v>
      </c>
      <c r="AN164" s="35">
        <f t="shared" si="65"/>
        <v>0.96052631578947367</v>
      </c>
      <c r="AO164" s="35">
        <f t="shared" si="66"/>
        <v>0.91935483870967738</v>
      </c>
      <c r="AP164" s="20">
        <v>248</v>
      </c>
      <c r="AQ164" s="27">
        <f t="shared" si="82"/>
        <v>20</v>
      </c>
      <c r="AR164" s="20">
        <v>228</v>
      </c>
      <c r="AS164" s="20">
        <v>219</v>
      </c>
      <c r="AT164" s="20">
        <f t="shared" si="83"/>
        <v>9</v>
      </c>
      <c r="AU164" s="20"/>
      <c r="AV164" s="20"/>
      <c r="AW164" s="45"/>
      <c r="AX164" s="48"/>
      <c r="AY164" s="35"/>
      <c r="AZ164" s="35"/>
      <c r="BA164" s="35"/>
    </row>
    <row r="165" spans="1:53" s="29" customFormat="1" ht="12.75">
      <c r="A165" s="46">
        <v>2006</v>
      </c>
      <c r="B165" s="47" t="s">
        <v>41</v>
      </c>
      <c r="C165" s="35">
        <f t="shared" si="46"/>
        <v>0.90518084066471161</v>
      </c>
      <c r="D165" s="35">
        <f t="shared" si="47"/>
        <v>0.93158953722334004</v>
      </c>
      <c r="E165" s="35">
        <f t="shared" si="48"/>
        <v>0.97165200391006845</v>
      </c>
      <c r="F165" s="92">
        <f t="shared" si="73"/>
        <v>4092</v>
      </c>
      <c r="G165" s="27">
        <f t="shared" si="84"/>
        <v>116</v>
      </c>
      <c r="H165" s="92">
        <f t="shared" si="75"/>
        <v>3976</v>
      </c>
      <c r="I165" s="92">
        <f t="shared" si="76"/>
        <v>3704</v>
      </c>
      <c r="J165" s="27">
        <f t="shared" si="77"/>
        <v>272</v>
      </c>
      <c r="K165" s="27"/>
      <c r="L165" s="27"/>
      <c r="M165" s="46">
        <v>2006</v>
      </c>
      <c r="N165" s="47" t="s">
        <v>41</v>
      </c>
      <c r="O165" s="35">
        <f t="shared" si="54"/>
        <v>0.90657165479018209</v>
      </c>
      <c r="P165" s="35">
        <f t="shared" si="55"/>
        <v>0.93089430894308944</v>
      </c>
      <c r="Q165" s="35">
        <f t="shared" si="56"/>
        <v>0.97387173396674587</v>
      </c>
      <c r="R165" s="20">
        <v>2526</v>
      </c>
      <c r="S165" s="27">
        <f t="shared" si="78"/>
        <v>66</v>
      </c>
      <c r="T165" s="20">
        <v>2460</v>
      </c>
      <c r="U165" s="20">
        <v>2290</v>
      </c>
      <c r="V165" s="20">
        <f t="shared" si="79"/>
        <v>170</v>
      </c>
      <c r="W165" s="20"/>
      <c r="X165" s="20"/>
      <c r="Y165" s="46">
        <v>2006</v>
      </c>
      <c r="Z165" s="47" t="s">
        <v>41</v>
      </c>
      <c r="AA165" s="35">
        <f t="shared" si="59"/>
        <v>0.90497737556561086</v>
      </c>
      <c r="AB165" s="35">
        <f t="shared" si="60"/>
        <v>0.92807424593967514</v>
      </c>
      <c r="AC165" s="35">
        <f t="shared" si="61"/>
        <v>0.97511312217194568</v>
      </c>
      <c r="AD165" s="20">
        <v>1326</v>
      </c>
      <c r="AE165" s="27">
        <f t="shared" si="80"/>
        <v>33</v>
      </c>
      <c r="AF165" s="20">
        <v>1293</v>
      </c>
      <c r="AG165" s="20">
        <v>1200</v>
      </c>
      <c r="AH165" s="20">
        <f t="shared" si="81"/>
        <v>93</v>
      </c>
      <c r="AI165" s="20"/>
      <c r="AJ165" s="20"/>
      <c r="AK165" s="46">
        <v>2006</v>
      </c>
      <c r="AL165" s="47" t="s">
        <v>41</v>
      </c>
      <c r="AM165" s="35">
        <f t="shared" si="64"/>
        <v>0.89166666666666672</v>
      </c>
      <c r="AN165" s="35">
        <f t="shared" si="65"/>
        <v>0.95964125560538116</v>
      </c>
      <c r="AO165" s="35">
        <f t="shared" si="66"/>
        <v>0.9291666666666667</v>
      </c>
      <c r="AP165" s="20">
        <v>240</v>
      </c>
      <c r="AQ165" s="27">
        <f t="shared" si="82"/>
        <v>17</v>
      </c>
      <c r="AR165" s="20">
        <v>223</v>
      </c>
      <c r="AS165" s="20">
        <v>214</v>
      </c>
      <c r="AT165" s="20">
        <f t="shared" si="83"/>
        <v>9</v>
      </c>
      <c r="AU165" s="20"/>
      <c r="AV165" s="20"/>
      <c r="AW165" s="46"/>
      <c r="AX165" s="47"/>
      <c r="AY165" s="35"/>
      <c r="AZ165" s="35"/>
      <c r="BA165" s="35"/>
    </row>
    <row r="166" spans="1:53" s="29" customFormat="1" ht="12.75">
      <c r="A166" s="45">
        <v>2006</v>
      </c>
      <c r="B166" s="48" t="s">
        <v>42</v>
      </c>
      <c r="C166" s="35">
        <f t="shared" si="46"/>
        <v>0.8543872030110562</v>
      </c>
      <c r="D166" s="35">
        <f t="shared" si="47"/>
        <v>0.90213611525086934</v>
      </c>
      <c r="E166" s="35">
        <f t="shared" si="48"/>
        <v>0.94707127734650676</v>
      </c>
      <c r="F166" s="92">
        <f t="shared" si="73"/>
        <v>4251</v>
      </c>
      <c r="G166" s="27">
        <f t="shared" si="84"/>
        <v>225</v>
      </c>
      <c r="H166" s="92">
        <f t="shared" si="75"/>
        <v>4026</v>
      </c>
      <c r="I166" s="92">
        <f t="shared" si="76"/>
        <v>3632</v>
      </c>
      <c r="J166" s="27">
        <f t="shared" si="77"/>
        <v>394</v>
      </c>
      <c r="K166" s="27"/>
      <c r="L166" s="27"/>
      <c r="M166" s="45">
        <v>2006</v>
      </c>
      <c r="N166" s="48" t="s">
        <v>42</v>
      </c>
      <c r="O166" s="35">
        <f t="shared" si="54"/>
        <v>0.87386018237082064</v>
      </c>
      <c r="P166" s="35">
        <f t="shared" si="55"/>
        <v>0.90694006309148267</v>
      </c>
      <c r="Q166" s="35">
        <f t="shared" si="56"/>
        <v>0.96352583586626139</v>
      </c>
      <c r="R166" s="20">
        <v>2632</v>
      </c>
      <c r="S166" s="27">
        <f t="shared" si="78"/>
        <v>96</v>
      </c>
      <c r="T166" s="20">
        <v>2536</v>
      </c>
      <c r="U166" s="20">
        <v>2300</v>
      </c>
      <c r="V166" s="20">
        <f t="shared" si="79"/>
        <v>236</v>
      </c>
      <c r="W166" s="20"/>
      <c r="X166" s="20"/>
      <c r="Y166" s="45">
        <v>2006</v>
      </c>
      <c r="Z166" s="48" t="s">
        <v>42</v>
      </c>
      <c r="AA166" s="35">
        <f t="shared" si="59"/>
        <v>0.83880379285193285</v>
      </c>
      <c r="AB166" s="35">
        <f t="shared" si="60"/>
        <v>0.88325652841781876</v>
      </c>
      <c r="AC166" s="35">
        <f t="shared" si="61"/>
        <v>0.94967177242888401</v>
      </c>
      <c r="AD166" s="20">
        <v>1371</v>
      </c>
      <c r="AE166" s="27">
        <f t="shared" si="80"/>
        <v>69</v>
      </c>
      <c r="AF166" s="20">
        <v>1302</v>
      </c>
      <c r="AG166" s="20">
        <v>1150</v>
      </c>
      <c r="AH166" s="20">
        <f t="shared" si="81"/>
        <v>152</v>
      </c>
      <c r="AI166" s="20"/>
      <c r="AJ166" s="20"/>
      <c r="AK166" s="45">
        <v>2006</v>
      </c>
      <c r="AL166" s="48" t="s">
        <v>42</v>
      </c>
      <c r="AM166" s="35">
        <f t="shared" si="64"/>
        <v>0.7338709677419355</v>
      </c>
      <c r="AN166" s="35">
        <f t="shared" si="65"/>
        <v>0.96808510638297873</v>
      </c>
      <c r="AO166" s="35">
        <f t="shared" si="66"/>
        <v>0.75806451612903225</v>
      </c>
      <c r="AP166" s="20">
        <v>248</v>
      </c>
      <c r="AQ166" s="27">
        <f t="shared" si="82"/>
        <v>60</v>
      </c>
      <c r="AR166" s="20">
        <v>188</v>
      </c>
      <c r="AS166" s="20">
        <v>182</v>
      </c>
      <c r="AT166" s="20">
        <f t="shared" si="83"/>
        <v>6</v>
      </c>
      <c r="AU166" s="20"/>
      <c r="AV166" s="20"/>
      <c r="AW166" s="45"/>
      <c r="AX166" s="48"/>
      <c r="AY166" s="35"/>
      <c r="AZ166" s="35"/>
      <c r="BA166" s="35"/>
    </row>
    <row r="167" spans="1:53" s="29" customFormat="1" ht="12.75">
      <c r="A167" s="46">
        <v>2006</v>
      </c>
      <c r="B167" s="47" t="s">
        <v>43</v>
      </c>
      <c r="C167" s="35">
        <f t="shared" si="46"/>
        <v>0.87055407694168885</v>
      </c>
      <c r="D167" s="35">
        <f t="shared" si="47"/>
        <v>0.91459074733096091</v>
      </c>
      <c r="E167" s="35">
        <f t="shared" si="48"/>
        <v>0.95185095572223566</v>
      </c>
      <c r="F167" s="92">
        <f t="shared" si="73"/>
        <v>4133</v>
      </c>
      <c r="G167" s="27">
        <f t="shared" si="84"/>
        <v>199</v>
      </c>
      <c r="H167" s="92">
        <f t="shared" si="75"/>
        <v>3934</v>
      </c>
      <c r="I167" s="92">
        <f t="shared" si="76"/>
        <v>3598</v>
      </c>
      <c r="J167" s="27">
        <f t="shared" si="77"/>
        <v>336</v>
      </c>
      <c r="K167" s="27"/>
      <c r="L167" s="27"/>
      <c r="M167" s="46">
        <v>2006</v>
      </c>
      <c r="N167" s="47" t="s">
        <v>43</v>
      </c>
      <c r="O167" s="35">
        <f t="shared" si="54"/>
        <v>0.8845103394459618</v>
      </c>
      <c r="P167" s="35">
        <f t="shared" si="55"/>
        <v>0.91595959595959597</v>
      </c>
      <c r="Q167" s="35">
        <f t="shared" si="56"/>
        <v>0.96566523605150212</v>
      </c>
      <c r="R167" s="20">
        <v>2563</v>
      </c>
      <c r="S167" s="27">
        <f t="shared" si="78"/>
        <v>88</v>
      </c>
      <c r="T167" s="20">
        <v>2475</v>
      </c>
      <c r="U167" s="20">
        <v>2267</v>
      </c>
      <c r="V167" s="20">
        <f t="shared" si="79"/>
        <v>208</v>
      </c>
      <c r="W167" s="20"/>
      <c r="X167" s="20"/>
      <c r="Y167" s="46">
        <v>2006</v>
      </c>
      <c r="Z167" s="47" t="s">
        <v>43</v>
      </c>
      <c r="AA167" s="35">
        <f t="shared" si="59"/>
        <v>0.84586466165413532</v>
      </c>
      <c r="AB167" s="35">
        <f t="shared" si="60"/>
        <v>0.90216519647153171</v>
      </c>
      <c r="AC167" s="35">
        <f t="shared" si="61"/>
        <v>0.93759398496240598</v>
      </c>
      <c r="AD167" s="20">
        <v>1330</v>
      </c>
      <c r="AE167" s="27">
        <f t="shared" si="80"/>
        <v>83</v>
      </c>
      <c r="AF167" s="20">
        <v>1247</v>
      </c>
      <c r="AG167" s="20">
        <v>1125</v>
      </c>
      <c r="AH167" s="20">
        <f t="shared" si="81"/>
        <v>122</v>
      </c>
      <c r="AI167" s="20"/>
      <c r="AJ167" s="20"/>
      <c r="AK167" s="46">
        <v>2006</v>
      </c>
      <c r="AL167" s="47" t="s">
        <v>43</v>
      </c>
      <c r="AM167" s="35">
        <f t="shared" si="64"/>
        <v>0.85833333333333328</v>
      </c>
      <c r="AN167" s="35">
        <f t="shared" si="65"/>
        <v>0.97169811320754718</v>
      </c>
      <c r="AO167" s="35">
        <f t="shared" si="66"/>
        <v>0.8833333333333333</v>
      </c>
      <c r="AP167" s="20">
        <v>240</v>
      </c>
      <c r="AQ167" s="27">
        <f t="shared" si="82"/>
        <v>28</v>
      </c>
      <c r="AR167" s="20">
        <v>212</v>
      </c>
      <c r="AS167" s="20">
        <v>206</v>
      </c>
      <c r="AT167" s="20">
        <f t="shared" si="83"/>
        <v>6</v>
      </c>
      <c r="AU167" s="20"/>
      <c r="AV167" s="20"/>
      <c r="AW167" s="46"/>
      <c r="AX167" s="47"/>
      <c r="AY167" s="35"/>
      <c r="AZ167" s="35"/>
      <c r="BA167" s="35"/>
    </row>
    <row r="168" spans="1:53" s="29" customFormat="1" ht="12.75">
      <c r="A168" s="45">
        <v>2006</v>
      </c>
      <c r="B168" s="48" t="s">
        <v>44</v>
      </c>
      <c r="C168" s="35">
        <f t="shared" si="46"/>
        <v>0.88074039362699152</v>
      </c>
      <c r="D168" s="35">
        <f t="shared" si="47"/>
        <v>0.94210526315789478</v>
      </c>
      <c r="E168" s="35">
        <f t="shared" si="48"/>
        <v>0.93486410496719774</v>
      </c>
      <c r="F168" s="92">
        <f t="shared" si="73"/>
        <v>4268</v>
      </c>
      <c r="G168" s="27">
        <f t="shared" si="84"/>
        <v>278</v>
      </c>
      <c r="H168" s="92">
        <f t="shared" si="75"/>
        <v>3990</v>
      </c>
      <c r="I168" s="92">
        <f t="shared" si="76"/>
        <v>3759</v>
      </c>
      <c r="J168" s="27">
        <f t="shared" si="77"/>
        <v>231</v>
      </c>
      <c r="K168" s="27"/>
      <c r="L168" s="27"/>
      <c r="M168" s="45">
        <v>2006</v>
      </c>
      <c r="N168" s="48" t="s">
        <v>44</v>
      </c>
      <c r="O168" s="35">
        <f t="shared" si="54"/>
        <v>0.89376181474480154</v>
      </c>
      <c r="P168" s="35">
        <f t="shared" si="55"/>
        <v>0.94825511432009624</v>
      </c>
      <c r="Q168" s="35">
        <f t="shared" si="56"/>
        <v>0.94253308128544422</v>
      </c>
      <c r="R168" s="20">
        <v>2645</v>
      </c>
      <c r="S168" s="27">
        <f t="shared" si="78"/>
        <v>152</v>
      </c>
      <c r="T168" s="20">
        <v>2493</v>
      </c>
      <c r="U168" s="20">
        <v>2364</v>
      </c>
      <c r="V168" s="20">
        <f t="shared" si="79"/>
        <v>129</v>
      </c>
      <c r="W168" s="20"/>
      <c r="X168" s="20"/>
      <c r="Y168" s="45">
        <v>2006</v>
      </c>
      <c r="Z168" s="48" t="s">
        <v>44</v>
      </c>
      <c r="AA168" s="35">
        <f t="shared" si="59"/>
        <v>0.86109090909090913</v>
      </c>
      <c r="AB168" s="35">
        <f t="shared" si="60"/>
        <v>0.92355694227769114</v>
      </c>
      <c r="AC168" s="35">
        <f t="shared" si="61"/>
        <v>0.93236363636363639</v>
      </c>
      <c r="AD168" s="20">
        <v>1375</v>
      </c>
      <c r="AE168" s="27">
        <f t="shared" si="80"/>
        <v>93</v>
      </c>
      <c r="AF168" s="20">
        <v>1282</v>
      </c>
      <c r="AG168" s="20">
        <v>1184</v>
      </c>
      <c r="AH168" s="20">
        <f t="shared" si="81"/>
        <v>98</v>
      </c>
      <c r="AI168" s="20"/>
      <c r="AJ168" s="20"/>
      <c r="AK168" s="45">
        <v>2006</v>
      </c>
      <c r="AL168" s="48" t="s">
        <v>44</v>
      </c>
      <c r="AM168" s="35">
        <f t="shared" si="64"/>
        <v>0.85080645161290325</v>
      </c>
      <c r="AN168" s="35">
        <f t="shared" si="65"/>
        <v>0.98139534883720925</v>
      </c>
      <c r="AO168" s="35">
        <f t="shared" si="66"/>
        <v>0.86693548387096775</v>
      </c>
      <c r="AP168" s="20">
        <v>248</v>
      </c>
      <c r="AQ168" s="27">
        <f t="shared" si="82"/>
        <v>33</v>
      </c>
      <c r="AR168" s="20">
        <v>215</v>
      </c>
      <c r="AS168" s="20">
        <v>211</v>
      </c>
      <c r="AT168" s="20">
        <f t="shared" si="83"/>
        <v>4</v>
      </c>
      <c r="AU168" s="20"/>
      <c r="AV168" s="20"/>
      <c r="AW168" s="45"/>
      <c r="AX168" s="48"/>
      <c r="AY168" s="35"/>
      <c r="AZ168" s="35"/>
      <c r="BA168" s="35"/>
    </row>
    <row r="169" spans="1:53" s="29" customFormat="1" ht="12.75">
      <c r="A169" s="46">
        <v>2006</v>
      </c>
      <c r="B169" s="47" t="s">
        <v>45</v>
      </c>
      <c r="C169" s="35">
        <f t="shared" si="46"/>
        <v>0.87207670720299346</v>
      </c>
      <c r="D169" s="35">
        <f t="shared" si="47"/>
        <v>0.91509202453987726</v>
      </c>
      <c r="E169" s="35">
        <f t="shared" si="48"/>
        <v>0.95299345182413475</v>
      </c>
      <c r="F169" s="92">
        <f t="shared" si="73"/>
        <v>4276</v>
      </c>
      <c r="G169" s="27">
        <f t="shared" si="84"/>
        <v>201</v>
      </c>
      <c r="H169" s="92">
        <f t="shared" si="75"/>
        <v>4075</v>
      </c>
      <c r="I169" s="92">
        <f t="shared" si="76"/>
        <v>3729</v>
      </c>
      <c r="J169" s="27">
        <f t="shared" si="77"/>
        <v>346</v>
      </c>
      <c r="K169" s="27"/>
      <c r="L169" s="27"/>
      <c r="M169" s="46">
        <v>2006</v>
      </c>
      <c r="N169" s="47" t="s">
        <v>45</v>
      </c>
      <c r="O169" s="35">
        <f t="shared" si="54"/>
        <v>0.89219751225028265</v>
      </c>
      <c r="P169" s="35">
        <f t="shared" si="55"/>
        <v>0.92388758782201408</v>
      </c>
      <c r="Q169" s="35">
        <f t="shared" si="56"/>
        <v>0.96569920844327173</v>
      </c>
      <c r="R169" s="20">
        <v>2653</v>
      </c>
      <c r="S169" s="27">
        <f t="shared" si="78"/>
        <v>91</v>
      </c>
      <c r="T169" s="20">
        <v>2562</v>
      </c>
      <c r="U169" s="20">
        <v>2367</v>
      </c>
      <c r="V169" s="20">
        <f t="shared" si="79"/>
        <v>195</v>
      </c>
      <c r="W169" s="20"/>
      <c r="X169" s="20"/>
      <c r="Y169" s="46">
        <v>2006</v>
      </c>
      <c r="Z169" s="47" t="s">
        <v>45</v>
      </c>
      <c r="AA169" s="35">
        <f t="shared" si="59"/>
        <v>0.84218181818181814</v>
      </c>
      <c r="AB169" s="35">
        <f t="shared" si="60"/>
        <v>0.89076923076923076</v>
      </c>
      <c r="AC169" s="35">
        <f t="shared" si="61"/>
        <v>0.94545454545454544</v>
      </c>
      <c r="AD169" s="20">
        <v>1375</v>
      </c>
      <c r="AE169" s="27">
        <f t="shared" si="80"/>
        <v>75</v>
      </c>
      <c r="AF169" s="20">
        <v>1300</v>
      </c>
      <c r="AG169" s="20">
        <v>1158</v>
      </c>
      <c r="AH169" s="20">
        <f t="shared" si="81"/>
        <v>142</v>
      </c>
      <c r="AI169" s="20"/>
      <c r="AJ169" s="20"/>
      <c r="AK169" s="46">
        <v>2006</v>
      </c>
      <c r="AL169" s="47" t="s">
        <v>45</v>
      </c>
      <c r="AM169" s="35">
        <f t="shared" si="64"/>
        <v>0.82258064516129037</v>
      </c>
      <c r="AN169" s="35">
        <f t="shared" si="65"/>
        <v>0.95774647887323938</v>
      </c>
      <c r="AO169" s="35">
        <f t="shared" si="66"/>
        <v>0.8588709677419355</v>
      </c>
      <c r="AP169" s="20">
        <v>248</v>
      </c>
      <c r="AQ169" s="27">
        <f t="shared" si="82"/>
        <v>35</v>
      </c>
      <c r="AR169" s="20">
        <v>213</v>
      </c>
      <c r="AS169" s="20">
        <v>204</v>
      </c>
      <c r="AT169" s="20">
        <f t="shared" si="83"/>
        <v>9</v>
      </c>
      <c r="AU169" s="20"/>
      <c r="AV169" s="20"/>
      <c r="AW169" s="46"/>
      <c r="AX169" s="47"/>
      <c r="AY169" s="35"/>
      <c r="AZ169" s="35"/>
      <c r="BA169" s="35"/>
    </row>
    <row r="170" spans="1:53" s="29" customFormat="1" ht="12.75">
      <c r="A170" s="45">
        <v>2006</v>
      </c>
      <c r="B170" s="48" t="s">
        <v>46</v>
      </c>
      <c r="C170" s="35">
        <f t="shared" si="46"/>
        <v>0.83397590361445784</v>
      </c>
      <c r="D170" s="35">
        <f t="shared" si="47"/>
        <v>0.90318371607515657</v>
      </c>
      <c r="E170" s="35">
        <f t="shared" si="48"/>
        <v>0.92337349397590363</v>
      </c>
      <c r="F170" s="92">
        <f t="shared" si="73"/>
        <v>4150</v>
      </c>
      <c r="G170" s="27">
        <f t="shared" si="84"/>
        <v>318</v>
      </c>
      <c r="H170" s="92">
        <f t="shared" si="75"/>
        <v>3832</v>
      </c>
      <c r="I170" s="92">
        <f t="shared" si="76"/>
        <v>3461</v>
      </c>
      <c r="J170" s="27">
        <f t="shared" si="77"/>
        <v>371</v>
      </c>
      <c r="K170" s="27"/>
      <c r="L170" s="27"/>
      <c r="M170" s="45">
        <v>2006</v>
      </c>
      <c r="N170" s="48" t="s">
        <v>46</v>
      </c>
      <c r="O170" s="35">
        <f t="shared" si="54"/>
        <v>0.83579192546583847</v>
      </c>
      <c r="P170" s="35">
        <f t="shared" si="55"/>
        <v>0.89670970428987917</v>
      </c>
      <c r="Q170" s="35">
        <f t="shared" si="56"/>
        <v>0.93206521739130432</v>
      </c>
      <c r="R170" s="20">
        <v>2576</v>
      </c>
      <c r="S170" s="27">
        <f t="shared" si="78"/>
        <v>175</v>
      </c>
      <c r="T170" s="20">
        <v>2401</v>
      </c>
      <c r="U170" s="20">
        <v>2153</v>
      </c>
      <c r="V170" s="20">
        <f t="shared" si="79"/>
        <v>248</v>
      </c>
      <c r="W170" s="20"/>
      <c r="X170" s="20"/>
      <c r="Y170" s="45">
        <v>2006</v>
      </c>
      <c r="Z170" s="48" t="s">
        <v>46</v>
      </c>
      <c r="AA170" s="35">
        <f t="shared" si="59"/>
        <v>0.83283358320839584</v>
      </c>
      <c r="AB170" s="35">
        <f t="shared" si="60"/>
        <v>0.9017857142857143</v>
      </c>
      <c r="AC170" s="35">
        <f t="shared" si="61"/>
        <v>0.92353823088455778</v>
      </c>
      <c r="AD170" s="20">
        <v>1334</v>
      </c>
      <c r="AE170" s="27">
        <f t="shared" si="80"/>
        <v>102</v>
      </c>
      <c r="AF170" s="20">
        <v>1232</v>
      </c>
      <c r="AG170" s="20">
        <v>1111</v>
      </c>
      <c r="AH170" s="20">
        <f t="shared" si="81"/>
        <v>121</v>
      </c>
      <c r="AI170" s="20"/>
      <c r="AJ170" s="20"/>
      <c r="AK170" s="45">
        <v>2006</v>
      </c>
      <c r="AL170" s="48" t="s">
        <v>46</v>
      </c>
      <c r="AM170" s="35">
        <f t="shared" si="64"/>
        <v>0.8208333333333333</v>
      </c>
      <c r="AN170" s="35">
        <f t="shared" si="65"/>
        <v>0.98994974874371855</v>
      </c>
      <c r="AO170" s="35">
        <f t="shared" si="66"/>
        <v>0.82916666666666672</v>
      </c>
      <c r="AP170" s="20">
        <v>240</v>
      </c>
      <c r="AQ170" s="27">
        <f t="shared" si="82"/>
        <v>41</v>
      </c>
      <c r="AR170" s="20">
        <v>199</v>
      </c>
      <c r="AS170" s="20">
        <v>197</v>
      </c>
      <c r="AT170" s="20">
        <f t="shared" si="83"/>
        <v>2</v>
      </c>
      <c r="AU170" s="20"/>
      <c r="AV170" s="20"/>
      <c r="AW170" s="45"/>
      <c r="AX170" s="48"/>
      <c r="AY170" s="35"/>
      <c r="AZ170" s="35"/>
      <c r="BA170" s="35"/>
    </row>
    <row r="171" spans="1:53" s="29" customFormat="1" ht="12.75">
      <c r="A171" s="46">
        <v>2006</v>
      </c>
      <c r="B171" s="47" t="s">
        <v>47</v>
      </c>
      <c r="C171" s="35">
        <f t="shared" si="46"/>
        <v>0.86661961891319694</v>
      </c>
      <c r="D171" s="35">
        <f t="shared" si="47"/>
        <v>0.91278493557978191</v>
      </c>
      <c r="E171" s="35">
        <f t="shared" si="48"/>
        <v>0.94942366501999531</v>
      </c>
      <c r="F171" s="92">
        <f t="shared" si="73"/>
        <v>4251</v>
      </c>
      <c r="G171" s="27">
        <f t="shared" si="84"/>
        <v>215</v>
      </c>
      <c r="H171" s="92">
        <f t="shared" si="75"/>
        <v>4036</v>
      </c>
      <c r="I171" s="92">
        <f t="shared" si="76"/>
        <v>3684</v>
      </c>
      <c r="J171" s="27">
        <f t="shared" si="77"/>
        <v>352</v>
      </c>
      <c r="K171" s="27"/>
      <c r="L171" s="27"/>
      <c r="M171" s="46">
        <v>2006</v>
      </c>
      <c r="N171" s="47" t="s">
        <v>47</v>
      </c>
      <c r="O171" s="35">
        <f t="shared" si="54"/>
        <v>0.87348024316109418</v>
      </c>
      <c r="P171" s="35">
        <f t="shared" si="55"/>
        <v>0.90618841150965712</v>
      </c>
      <c r="Q171" s="35">
        <f t="shared" si="56"/>
        <v>0.96390577507598785</v>
      </c>
      <c r="R171" s="20">
        <v>2632</v>
      </c>
      <c r="S171" s="27">
        <f t="shared" si="78"/>
        <v>95</v>
      </c>
      <c r="T171" s="20">
        <v>2537</v>
      </c>
      <c r="U171" s="20">
        <v>2299</v>
      </c>
      <c r="V171" s="20">
        <f t="shared" si="79"/>
        <v>238</v>
      </c>
      <c r="W171" s="20"/>
      <c r="X171" s="20"/>
      <c r="Y171" s="46">
        <v>2006</v>
      </c>
      <c r="Z171" s="47" t="s">
        <v>47</v>
      </c>
      <c r="AA171" s="35">
        <f t="shared" si="59"/>
        <v>0.8650619985412108</v>
      </c>
      <c r="AB171" s="35">
        <f t="shared" si="60"/>
        <v>0.91301000769822938</v>
      </c>
      <c r="AC171" s="35">
        <f t="shared" si="61"/>
        <v>0.94748358862144422</v>
      </c>
      <c r="AD171" s="20">
        <v>1371</v>
      </c>
      <c r="AE171" s="27">
        <f t="shared" si="80"/>
        <v>72</v>
      </c>
      <c r="AF171" s="20">
        <v>1299</v>
      </c>
      <c r="AG171" s="20">
        <v>1186</v>
      </c>
      <c r="AH171" s="20">
        <f t="shared" si="81"/>
        <v>113</v>
      </c>
      <c r="AI171" s="20"/>
      <c r="AJ171" s="20"/>
      <c r="AK171" s="46">
        <v>2006</v>
      </c>
      <c r="AL171" s="47" t="s">
        <v>47</v>
      </c>
      <c r="AM171" s="35">
        <f t="shared" si="64"/>
        <v>0.80241935483870963</v>
      </c>
      <c r="AN171" s="35">
        <f t="shared" si="65"/>
        <v>0.995</v>
      </c>
      <c r="AO171" s="35">
        <f t="shared" si="66"/>
        <v>0.80645161290322576</v>
      </c>
      <c r="AP171" s="20">
        <v>248</v>
      </c>
      <c r="AQ171" s="27">
        <f t="shared" si="82"/>
        <v>48</v>
      </c>
      <c r="AR171" s="20">
        <v>200</v>
      </c>
      <c r="AS171" s="20">
        <v>199</v>
      </c>
      <c r="AT171" s="20">
        <f t="shared" si="83"/>
        <v>1</v>
      </c>
      <c r="AU171" s="20"/>
      <c r="AV171" s="20"/>
      <c r="AW171" s="46"/>
      <c r="AX171" s="47"/>
      <c r="AY171" s="35"/>
      <c r="AZ171" s="35"/>
      <c r="BA171" s="35"/>
    </row>
    <row r="172" spans="1:53" s="29" customFormat="1" ht="12.75">
      <c r="A172" s="45">
        <v>2006</v>
      </c>
      <c r="B172" s="48" t="s">
        <v>48</v>
      </c>
      <c r="C172" s="35">
        <f t="shared" si="46"/>
        <v>0.86002886002886003</v>
      </c>
      <c r="D172" s="35">
        <f t="shared" si="47"/>
        <v>0.90211907164480321</v>
      </c>
      <c r="E172" s="35">
        <f t="shared" si="48"/>
        <v>0.95334295334295338</v>
      </c>
      <c r="F172" s="92">
        <f t="shared" si="73"/>
        <v>4158</v>
      </c>
      <c r="G172" s="27">
        <f t="shared" si="84"/>
        <v>194</v>
      </c>
      <c r="H172" s="92">
        <f t="shared" si="75"/>
        <v>3964</v>
      </c>
      <c r="I172" s="92">
        <f t="shared" si="76"/>
        <v>3576</v>
      </c>
      <c r="J172" s="27">
        <f t="shared" si="77"/>
        <v>388</v>
      </c>
      <c r="K172" s="27"/>
      <c r="L172" s="27"/>
      <c r="M172" s="45">
        <v>2006</v>
      </c>
      <c r="N172" s="48" t="s">
        <v>48</v>
      </c>
      <c r="O172" s="35">
        <f t="shared" si="54"/>
        <v>0.86609907120743035</v>
      </c>
      <c r="P172" s="35">
        <f t="shared" si="55"/>
        <v>0.89951768488745976</v>
      </c>
      <c r="Q172" s="35">
        <f t="shared" si="56"/>
        <v>0.96284829721362231</v>
      </c>
      <c r="R172" s="20">
        <v>2584</v>
      </c>
      <c r="S172" s="27">
        <f t="shared" si="78"/>
        <v>96</v>
      </c>
      <c r="T172" s="20">
        <v>2488</v>
      </c>
      <c r="U172" s="20">
        <v>2238</v>
      </c>
      <c r="V172" s="20">
        <f t="shared" si="79"/>
        <v>250</v>
      </c>
      <c r="W172" s="20"/>
      <c r="X172" s="20"/>
      <c r="Y172" s="45">
        <v>2006</v>
      </c>
      <c r="Z172" s="48" t="s">
        <v>48</v>
      </c>
      <c r="AA172" s="35">
        <f t="shared" si="59"/>
        <v>0.84782608695652173</v>
      </c>
      <c r="AB172" s="35">
        <f t="shared" si="60"/>
        <v>0.89265982636148378</v>
      </c>
      <c r="AC172" s="35">
        <f t="shared" si="61"/>
        <v>0.9497751124437781</v>
      </c>
      <c r="AD172" s="20">
        <v>1334</v>
      </c>
      <c r="AE172" s="27">
        <f t="shared" si="80"/>
        <v>67</v>
      </c>
      <c r="AF172" s="20">
        <v>1267</v>
      </c>
      <c r="AG172" s="20">
        <v>1131</v>
      </c>
      <c r="AH172" s="20">
        <f t="shared" si="81"/>
        <v>136</v>
      </c>
      <c r="AI172" s="20"/>
      <c r="AJ172" s="20"/>
      <c r="AK172" s="45">
        <v>2006</v>
      </c>
      <c r="AL172" s="48" t="s">
        <v>48</v>
      </c>
      <c r="AM172" s="35">
        <f t="shared" si="64"/>
        <v>0.86250000000000004</v>
      </c>
      <c r="AN172" s="35">
        <f t="shared" si="65"/>
        <v>0.99043062200956933</v>
      </c>
      <c r="AO172" s="35">
        <f t="shared" si="66"/>
        <v>0.87083333333333335</v>
      </c>
      <c r="AP172" s="20">
        <v>240</v>
      </c>
      <c r="AQ172" s="27">
        <f t="shared" si="82"/>
        <v>31</v>
      </c>
      <c r="AR172" s="20">
        <v>209</v>
      </c>
      <c r="AS172" s="20">
        <v>207</v>
      </c>
      <c r="AT172" s="20">
        <f t="shared" si="83"/>
        <v>2</v>
      </c>
      <c r="AU172" s="20"/>
      <c r="AV172" s="20"/>
      <c r="AW172" s="45"/>
      <c r="AX172" s="48"/>
      <c r="AY172" s="35"/>
      <c r="AZ172" s="35"/>
      <c r="BA172" s="35"/>
    </row>
    <row r="173" spans="1:53" s="29" customFormat="1" ht="12.75">
      <c r="A173" s="46">
        <v>2006</v>
      </c>
      <c r="B173" s="47" t="s">
        <v>49</v>
      </c>
      <c r="C173" s="35">
        <f t="shared" si="46"/>
        <v>0.853959222380275</v>
      </c>
      <c r="D173" s="35">
        <f t="shared" si="47"/>
        <v>0.8962428464792237</v>
      </c>
      <c r="E173" s="35">
        <f t="shared" si="48"/>
        <v>0.95282124229492648</v>
      </c>
      <c r="F173" s="92">
        <f t="shared" si="73"/>
        <v>4218</v>
      </c>
      <c r="G173" s="27">
        <f t="shared" si="84"/>
        <v>199</v>
      </c>
      <c r="H173" s="92">
        <f t="shared" si="75"/>
        <v>4019</v>
      </c>
      <c r="I173" s="92">
        <f t="shared" si="76"/>
        <v>3602</v>
      </c>
      <c r="J173" s="27">
        <f t="shared" si="77"/>
        <v>417</v>
      </c>
      <c r="K173" s="27"/>
      <c r="L173" s="27"/>
      <c r="M173" s="46">
        <v>2006</v>
      </c>
      <c r="N173" s="47" t="s">
        <v>49</v>
      </c>
      <c r="O173" s="35">
        <f t="shared" si="54"/>
        <v>0.85324625432193624</v>
      </c>
      <c r="P173" s="35">
        <f t="shared" si="55"/>
        <v>0.89846278317152106</v>
      </c>
      <c r="Q173" s="35">
        <f t="shared" si="56"/>
        <v>0.94967345370726086</v>
      </c>
      <c r="R173" s="20">
        <v>2603</v>
      </c>
      <c r="S173" s="27">
        <f t="shared" si="78"/>
        <v>131</v>
      </c>
      <c r="T173" s="20">
        <v>2472</v>
      </c>
      <c r="U173" s="20">
        <v>2221</v>
      </c>
      <c r="V173" s="20">
        <f t="shared" si="79"/>
        <v>251</v>
      </c>
      <c r="W173" s="20"/>
      <c r="X173" s="20"/>
      <c r="Y173" s="46">
        <v>2006</v>
      </c>
      <c r="Z173" s="47" t="s">
        <v>49</v>
      </c>
      <c r="AA173" s="35">
        <f t="shared" si="59"/>
        <v>0.84418434528163866</v>
      </c>
      <c r="AB173" s="35">
        <f t="shared" si="60"/>
        <v>0.87823439878234399</v>
      </c>
      <c r="AC173" s="35">
        <f t="shared" si="61"/>
        <v>0.96122896854425754</v>
      </c>
      <c r="AD173" s="20">
        <v>1367</v>
      </c>
      <c r="AE173" s="27">
        <f t="shared" si="80"/>
        <v>53</v>
      </c>
      <c r="AF173" s="20">
        <v>1314</v>
      </c>
      <c r="AG173" s="20">
        <v>1154</v>
      </c>
      <c r="AH173" s="20">
        <f t="shared" si="81"/>
        <v>160</v>
      </c>
      <c r="AI173" s="20"/>
      <c r="AJ173" s="20"/>
      <c r="AK173" s="46">
        <v>2006</v>
      </c>
      <c r="AL173" s="47" t="s">
        <v>49</v>
      </c>
      <c r="AM173" s="35">
        <f t="shared" si="64"/>
        <v>0.91532258064516125</v>
      </c>
      <c r="AN173" s="35">
        <f t="shared" si="65"/>
        <v>0.97424892703862664</v>
      </c>
      <c r="AO173" s="35">
        <f t="shared" si="66"/>
        <v>0.93951612903225812</v>
      </c>
      <c r="AP173" s="20">
        <v>248</v>
      </c>
      <c r="AQ173" s="27">
        <f t="shared" si="82"/>
        <v>15</v>
      </c>
      <c r="AR173" s="20">
        <v>233</v>
      </c>
      <c r="AS173" s="20">
        <v>227</v>
      </c>
      <c r="AT173" s="20">
        <f t="shared" si="83"/>
        <v>6</v>
      </c>
      <c r="AU173" s="20"/>
      <c r="AV173" s="20"/>
      <c r="AW173" s="46"/>
      <c r="AX173" s="47"/>
      <c r="AY173" s="35"/>
      <c r="AZ173" s="35"/>
      <c r="BA173" s="35"/>
    </row>
    <row r="174" spans="1:53" s="29" customFormat="1" ht="12.75">
      <c r="A174" s="45">
        <v>2007</v>
      </c>
      <c r="B174" s="48" t="s">
        <v>38</v>
      </c>
      <c r="C174" s="35">
        <f t="shared" si="46"/>
        <v>0.92235734331150609</v>
      </c>
      <c r="D174" s="35">
        <f t="shared" si="47"/>
        <v>0.9549636803874092</v>
      </c>
      <c r="E174" s="35">
        <f t="shared" si="48"/>
        <v>0.96585594013096354</v>
      </c>
      <c r="F174" s="92">
        <f t="shared" ref="F174:F185" si="85">+R174+AD174+AP174</f>
        <v>4276</v>
      </c>
      <c r="G174" s="27">
        <f t="shared" ref="G174:G185" si="86">F174-H174</f>
        <v>146</v>
      </c>
      <c r="H174" s="92">
        <f t="shared" ref="H174:H185" si="87">+T174+AF174+AR174</f>
        <v>4130</v>
      </c>
      <c r="I174" s="92">
        <f t="shared" ref="I174:I185" si="88">+U174+AG174+AS174</f>
        <v>3944</v>
      </c>
      <c r="J174" s="27">
        <f t="shared" ref="J174:J185" si="89">H174-I174</f>
        <v>186</v>
      </c>
      <c r="K174" s="27"/>
      <c r="L174" s="27"/>
      <c r="M174" s="45">
        <v>2007</v>
      </c>
      <c r="N174" s="48" t="s">
        <v>38</v>
      </c>
      <c r="O174" s="35">
        <f t="shared" si="54"/>
        <v>0.92159819072747828</v>
      </c>
      <c r="P174" s="35">
        <f t="shared" si="55"/>
        <v>0.95099183197199533</v>
      </c>
      <c r="Q174" s="35">
        <f t="shared" si="56"/>
        <v>0.96909159442140969</v>
      </c>
      <c r="R174" s="20">
        <v>2653</v>
      </c>
      <c r="S174" s="27">
        <f t="shared" ref="S174:S185" si="90">R174-T174</f>
        <v>82</v>
      </c>
      <c r="T174" s="20">
        <v>2571</v>
      </c>
      <c r="U174" s="20">
        <v>2445</v>
      </c>
      <c r="V174" s="20">
        <f t="shared" ref="V174:V185" si="91">T174-U174</f>
        <v>126</v>
      </c>
      <c r="W174" s="20"/>
      <c r="X174" s="20"/>
      <c r="Y174" s="45">
        <v>2007</v>
      </c>
      <c r="Z174" s="48" t="s">
        <v>38</v>
      </c>
      <c r="AA174" s="35">
        <f t="shared" si="59"/>
        <v>0.92509090909090907</v>
      </c>
      <c r="AB174" s="35">
        <f t="shared" si="60"/>
        <v>0.95495495495495497</v>
      </c>
      <c r="AC174" s="35">
        <f t="shared" si="61"/>
        <v>0.96872727272727277</v>
      </c>
      <c r="AD174" s="20">
        <v>1375</v>
      </c>
      <c r="AE174" s="27">
        <f t="shared" ref="AE174:AE185" si="92">AD174-AF174</f>
        <v>43</v>
      </c>
      <c r="AF174" s="20">
        <v>1332</v>
      </c>
      <c r="AG174" s="20">
        <v>1272</v>
      </c>
      <c r="AH174" s="20">
        <f t="shared" ref="AH174:AH185" si="93">AF174-AG174</f>
        <v>60</v>
      </c>
      <c r="AI174" s="20"/>
      <c r="AJ174" s="20"/>
      <c r="AK174" s="45">
        <v>2007</v>
      </c>
      <c r="AL174" s="48" t="s">
        <v>38</v>
      </c>
      <c r="AM174" s="35">
        <f t="shared" si="64"/>
        <v>0.91532258064516125</v>
      </c>
      <c r="AN174" s="35">
        <f t="shared" si="65"/>
        <v>1</v>
      </c>
      <c r="AO174" s="35">
        <f t="shared" si="66"/>
        <v>0.91532258064516125</v>
      </c>
      <c r="AP174" s="20">
        <v>248</v>
      </c>
      <c r="AQ174" s="27">
        <f t="shared" ref="AQ174:AQ185" si="94">AP174-AR174</f>
        <v>21</v>
      </c>
      <c r="AR174" s="20">
        <v>227</v>
      </c>
      <c r="AS174" s="20">
        <v>227</v>
      </c>
      <c r="AT174" s="20">
        <f t="shared" ref="AT174:AT185" si="95">AR174-AS174</f>
        <v>0</v>
      </c>
      <c r="AU174" s="20"/>
      <c r="AV174" s="20"/>
      <c r="AW174" s="45"/>
      <c r="AX174" s="48"/>
      <c r="AY174" s="35"/>
      <c r="AZ174" s="35"/>
      <c r="BA174" s="35"/>
    </row>
    <row r="175" spans="1:53" s="29" customFormat="1" ht="12.75">
      <c r="A175" s="46">
        <v>2007</v>
      </c>
      <c r="B175" s="47" t="s">
        <v>39</v>
      </c>
      <c r="C175" s="35">
        <f t="shared" si="46"/>
        <v>0.85537190082644632</v>
      </c>
      <c r="D175" s="35">
        <f t="shared" si="47"/>
        <v>0.93665158371040724</v>
      </c>
      <c r="E175" s="35">
        <f t="shared" si="48"/>
        <v>0.91322314049586772</v>
      </c>
      <c r="F175" s="92">
        <f t="shared" si="85"/>
        <v>3872</v>
      </c>
      <c r="G175" s="27">
        <f t="shared" si="86"/>
        <v>336</v>
      </c>
      <c r="H175" s="92">
        <f t="shared" si="87"/>
        <v>3536</v>
      </c>
      <c r="I175" s="92">
        <f t="shared" si="88"/>
        <v>3312</v>
      </c>
      <c r="J175" s="27">
        <f t="shared" si="89"/>
        <v>224</v>
      </c>
      <c r="K175" s="27"/>
      <c r="L175" s="27"/>
      <c r="M175" s="46">
        <v>2007</v>
      </c>
      <c r="N175" s="47" t="s">
        <v>39</v>
      </c>
      <c r="O175" s="35">
        <f t="shared" si="54"/>
        <v>0.85815307820299502</v>
      </c>
      <c r="P175" s="35">
        <f t="shared" si="55"/>
        <v>0.94459706959706957</v>
      </c>
      <c r="Q175" s="35">
        <f t="shared" si="56"/>
        <v>0.90848585690515804</v>
      </c>
      <c r="R175" s="20">
        <v>2404</v>
      </c>
      <c r="S175" s="27">
        <f t="shared" si="90"/>
        <v>220</v>
      </c>
      <c r="T175" s="20">
        <v>2184</v>
      </c>
      <c r="U175" s="20">
        <v>2063</v>
      </c>
      <c r="V175" s="20">
        <f t="shared" si="91"/>
        <v>121</v>
      </c>
      <c r="W175" s="20"/>
      <c r="X175" s="20"/>
      <c r="Y175" s="46">
        <v>2007</v>
      </c>
      <c r="Z175" s="47" t="s">
        <v>39</v>
      </c>
      <c r="AA175" s="35">
        <f t="shared" si="59"/>
        <v>0.83922829581993574</v>
      </c>
      <c r="AB175" s="35">
        <f t="shared" si="60"/>
        <v>0.91099476439790572</v>
      </c>
      <c r="AC175" s="35">
        <f t="shared" si="61"/>
        <v>0.9212218649517685</v>
      </c>
      <c r="AD175" s="20">
        <v>1244</v>
      </c>
      <c r="AE175" s="27">
        <f t="shared" si="92"/>
        <v>98</v>
      </c>
      <c r="AF175" s="20">
        <v>1146</v>
      </c>
      <c r="AG175" s="20">
        <v>1044</v>
      </c>
      <c r="AH175" s="20">
        <f t="shared" si="93"/>
        <v>102</v>
      </c>
      <c r="AI175" s="20"/>
      <c r="AJ175" s="20"/>
      <c r="AK175" s="46">
        <v>2007</v>
      </c>
      <c r="AL175" s="47" t="s">
        <v>39</v>
      </c>
      <c r="AM175" s="35">
        <f t="shared" si="64"/>
        <v>0.9151785714285714</v>
      </c>
      <c r="AN175" s="35">
        <f t="shared" si="65"/>
        <v>0.99514563106796117</v>
      </c>
      <c r="AO175" s="35">
        <f t="shared" si="66"/>
        <v>0.9196428571428571</v>
      </c>
      <c r="AP175" s="20">
        <v>224</v>
      </c>
      <c r="AQ175" s="27">
        <f t="shared" si="94"/>
        <v>18</v>
      </c>
      <c r="AR175" s="20">
        <v>206</v>
      </c>
      <c r="AS175" s="20">
        <v>205</v>
      </c>
      <c r="AT175" s="20">
        <f t="shared" si="95"/>
        <v>1</v>
      </c>
      <c r="AU175" s="20"/>
      <c r="AV175" s="20"/>
      <c r="AW175" s="46"/>
      <c r="AX175" s="47"/>
      <c r="AY175" s="35"/>
      <c r="AZ175" s="35"/>
      <c r="BA175" s="35"/>
    </row>
    <row r="176" spans="1:53" s="29" customFormat="1" ht="12.75">
      <c r="A176" s="45">
        <v>2007</v>
      </c>
      <c r="B176" s="48" t="s">
        <v>40</v>
      </c>
      <c r="C176" s="35">
        <f t="shared" si="46"/>
        <v>0.83044901777362023</v>
      </c>
      <c r="D176" s="35">
        <f t="shared" si="47"/>
        <v>0.90379231356579282</v>
      </c>
      <c r="E176" s="35">
        <f t="shared" si="48"/>
        <v>0.91884939195509818</v>
      </c>
      <c r="F176" s="92">
        <f t="shared" si="85"/>
        <v>4276</v>
      </c>
      <c r="G176" s="27">
        <f t="shared" si="86"/>
        <v>347</v>
      </c>
      <c r="H176" s="92">
        <f t="shared" si="87"/>
        <v>3929</v>
      </c>
      <c r="I176" s="92">
        <f t="shared" si="88"/>
        <v>3551</v>
      </c>
      <c r="J176" s="27">
        <f t="shared" si="89"/>
        <v>378</v>
      </c>
      <c r="K176" s="27"/>
      <c r="L176" s="27"/>
      <c r="M176" s="45">
        <v>2007</v>
      </c>
      <c r="N176" s="48" t="s">
        <v>40</v>
      </c>
      <c r="O176" s="35">
        <f t="shared" si="54"/>
        <v>0.87410478703354688</v>
      </c>
      <c r="P176" s="35">
        <f t="shared" si="55"/>
        <v>0.92759999999999998</v>
      </c>
      <c r="Q176" s="35">
        <f t="shared" si="56"/>
        <v>0.94232943837165473</v>
      </c>
      <c r="R176" s="20">
        <v>2653</v>
      </c>
      <c r="S176" s="27">
        <f t="shared" si="90"/>
        <v>153</v>
      </c>
      <c r="T176" s="20">
        <v>2500</v>
      </c>
      <c r="U176" s="20">
        <v>2319</v>
      </c>
      <c r="V176" s="20">
        <f t="shared" si="91"/>
        <v>181</v>
      </c>
      <c r="W176" s="20"/>
      <c r="X176" s="20"/>
      <c r="Y176" s="45">
        <v>2007</v>
      </c>
      <c r="Z176" s="48" t="s">
        <v>40</v>
      </c>
      <c r="AA176" s="35">
        <f t="shared" si="59"/>
        <v>0.7345454545454545</v>
      </c>
      <c r="AB176" s="35">
        <f t="shared" si="60"/>
        <v>0.83887043189368771</v>
      </c>
      <c r="AC176" s="35">
        <f t="shared" si="61"/>
        <v>0.87563636363636366</v>
      </c>
      <c r="AD176" s="20">
        <v>1375</v>
      </c>
      <c r="AE176" s="27">
        <f t="shared" si="92"/>
        <v>171</v>
      </c>
      <c r="AF176" s="20">
        <v>1204</v>
      </c>
      <c r="AG176" s="20">
        <v>1010</v>
      </c>
      <c r="AH176" s="20">
        <f t="shared" si="93"/>
        <v>194</v>
      </c>
      <c r="AI176" s="20"/>
      <c r="AJ176" s="20"/>
      <c r="AK176" s="45">
        <v>2007</v>
      </c>
      <c r="AL176" s="48" t="s">
        <v>40</v>
      </c>
      <c r="AM176" s="35">
        <f t="shared" si="64"/>
        <v>0.89516129032258063</v>
      </c>
      <c r="AN176" s="35">
        <f t="shared" si="65"/>
        <v>0.98666666666666669</v>
      </c>
      <c r="AO176" s="35">
        <f t="shared" si="66"/>
        <v>0.907258064516129</v>
      </c>
      <c r="AP176" s="20">
        <v>248</v>
      </c>
      <c r="AQ176" s="27">
        <f t="shared" si="94"/>
        <v>23</v>
      </c>
      <c r="AR176" s="20">
        <v>225</v>
      </c>
      <c r="AS176" s="20">
        <v>222</v>
      </c>
      <c r="AT176" s="20">
        <f t="shared" si="95"/>
        <v>3</v>
      </c>
      <c r="AU176" s="20"/>
      <c r="AV176" s="20"/>
      <c r="AW176" s="45"/>
      <c r="AX176" s="48"/>
      <c r="AY176" s="35"/>
      <c r="AZ176" s="35"/>
      <c r="BA176" s="35"/>
    </row>
    <row r="177" spans="1:53" s="29" customFormat="1" ht="12.75">
      <c r="A177" s="46">
        <v>2007</v>
      </c>
      <c r="B177" s="47" t="s">
        <v>41</v>
      </c>
      <c r="C177" s="35">
        <f t="shared" si="46"/>
        <v>0.66593191280920894</v>
      </c>
      <c r="D177" s="35">
        <f t="shared" si="47"/>
        <v>0.88336582196231317</v>
      </c>
      <c r="E177" s="35">
        <f t="shared" si="48"/>
        <v>0.75385745775165325</v>
      </c>
      <c r="F177" s="92">
        <f t="shared" si="85"/>
        <v>4083</v>
      </c>
      <c r="G177" s="27">
        <f t="shared" si="86"/>
        <v>1005</v>
      </c>
      <c r="H177" s="92">
        <f t="shared" si="87"/>
        <v>3078</v>
      </c>
      <c r="I177" s="92">
        <f t="shared" si="88"/>
        <v>2719</v>
      </c>
      <c r="J177" s="27">
        <f t="shared" si="89"/>
        <v>359</v>
      </c>
      <c r="K177" s="27"/>
      <c r="L177" s="27"/>
      <c r="M177" s="46">
        <v>2007</v>
      </c>
      <c r="N177" s="47" t="s">
        <v>41</v>
      </c>
      <c r="O177" s="35">
        <f t="shared" si="54"/>
        <v>0.72550575168583897</v>
      </c>
      <c r="P177" s="35">
        <f t="shared" si="55"/>
        <v>0.90365612648221338</v>
      </c>
      <c r="Q177" s="35">
        <f t="shared" si="56"/>
        <v>0.80285600952003178</v>
      </c>
      <c r="R177" s="20">
        <v>2521</v>
      </c>
      <c r="S177" s="27">
        <f t="shared" si="90"/>
        <v>497</v>
      </c>
      <c r="T177" s="20">
        <v>2024</v>
      </c>
      <c r="U177" s="20">
        <v>1829</v>
      </c>
      <c r="V177" s="20">
        <f t="shared" si="91"/>
        <v>195</v>
      </c>
      <c r="W177" s="20"/>
      <c r="X177" s="20"/>
      <c r="Y177" s="46">
        <v>2007</v>
      </c>
      <c r="Z177" s="47" t="s">
        <v>41</v>
      </c>
      <c r="AA177" s="35">
        <f t="shared" si="59"/>
        <v>0.55748865355521937</v>
      </c>
      <c r="AB177" s="35">
        <f t="shared" si="60"/>
        <v>0.81888888888888889</v>
      </c>
      <c r="AC177" s="35">
        <f t="shared" si="61"/>
        <v>0.68078668683812404</v>
      </c>
      <c r="AD177" s="20">
        <v>1322</v>
      </c>
      <c r="AE177" s="27">
        <f t="shared" si="92"/>
        <v>422</v>
      </c>
      <c r="AF177" s="20">
        <v>900</v>
      </c>
      <c r="AG177" s="20">
        <v>737</v>
      </c>
      <c r="AH177" s="20">
        <f t="shared" si="93"/>
        <v>163</v>
      </c>
      <c r="AI177" s="20"/>
      <c r="AJ177" s="20"/>
      <c r="AK177" s="46">
        <v>2007</v>
      </c>
      <c r="AL177" s="47" t="s">
        <v>41</v>
      </c>
      <c r="AM177" s="35">
        <f t="shared" si="64"/>
        <v>0.63749999999999996</v>
      </c>
      <c r="AN177" s="35">
        <f t="shared" si="65"/>
        <v>0.99350649350649356</v>
      </c>
      <c r="AO177" s="35">
        <f t="shared" si="66"/>
        <v>0.64166666666666672</v>
      </c>
      <c r="AP177" s="20">
        <v>240</v>
      </c>
      <c r="AQ177" s="27">
        <f t="shared" si="94"/>
        <v>86</v>
      </c>
      <c r="AR177" s="20">
        <v>154</v>
      </c>
      <c r="AS177" s="20">
        <v>153</v>
      </c>
      <c r="AT177" s="20">
        <f t="shared" si="95"/>
        <v>1</v>
      </c>
      <c r="AU177" s="20"/>
      <c r="AV177" s="20"/>
      <c r="AW177" s="46"/>
      <c r="AX177" s="47"/>
      <c r="AY177" s="35"/>
      <c r="AZ177" s="35"/>
      <c r="BA177" s="35"/>
    </row>
    <row r="178" spans="1:53" s="29" customFormat="1" ht="12.75">
      <c r="A178" s="45">
        <v>2007</v>
      </c>
      <c r="B178" s="48" t="s">
        <v>42</v>
      </c>
      <c r="C178" s="35">
        <f t="shared" si="46"/>
        <v>0.73606210303458008</v>
      </c>
      <c r="D178" s="35">
        <f t="shared" si="47"/>
        <v>0.85258855585831061</v>
      </c>
      <c r="E178" s="35">
        <f t="shared" si="48"/>
        <v>0.86332627617031288</v>
      </c>
      <c r="F178" s="92">
        <f t="shared" si="85"/>
        <v>4251</v>
      </c>
      <c r="G178" s="27">
        <f t="shared" si="86"/>
        <v>581</v>
      </c>
      <c r="H178" s="92">
        <f t="shared" si="87"/>
        <v>3670</v>
      </c>
      <c r="I178" s="92">
        <f t="shared" si="88"/>
        <v>3129</v>
      </c>
      <c r="J178" s="27">
        <f t="shared" si="89"/>
        <v>541</v>
      </c>
      <c r="K178" s="27"/>
      <c r="L178" s="27"/>
      <c r="M178" s="45">
        <v>2007</v>
      </c>
      <c r="N178" s="48" t="s">
        <v>42</v>
      </c>
      <c r="O178" s="35">
        <f t="shared" si="54"/>
        <v>0.79217325227963531</v>
      </c>
      <c r="P178" s="35">
        <f t="shared" si="55"/>
        <v>0.86947456213511254</v>
      </c>
      <c r="Q178" s="35">
        <f t="shared" si="56"/>
        <v>0.91109422492401215</v>
      </c>
      <c r="R178" s="20">
        <v>2632</v>
      </c>
      <c r="S178" s="27">
        <f t="shared" si="90"/>
        <v>234</v>
      </c>
      <c r="T178" s="20">
        <v>2398</v>
      </c>
      <c r="U178" s="20">
        <v>2085</v>
      </c>
      <c r="V178" s="20">
        <f t="shared" si="91"/>
        <v>313</v>
      </c>
      <c r="W178" s="20"/>
      <c r="X178" s="20"/>
      <c r="Y178" s="45">
        <v>2007</v>
      </c>
      <c r="Z178" s="48" t="s">
        <v>42</v>
      </c>
      <c r="AA178" s="35">
        <f t="shared" si="59"/>
        <v>0.64916119620714807</v>
      </c>
      <c r="AB178" s="35">
        <f t="shared" si="60"/>
        <v>0.79749103942652333</v>
      </c>
      <c r="AC178" s="35">
        <f t="shared" si="61"/>
        <v>0.81400437636761491</v>
      </c>
      <c r="AD178" s="20">
        <v>1371</v>
      </c>
      <c r="AE178" s="27">
        <f t="shared" si="92"/>
        <v>255</v>
      </c>
      <c r="AF178" s="20">
        <v>1116</v>
      </c>
      <c r="AG178" s="20">
        <v>890</v>
      </c>
      <c r="AH178" s="20">
        <f t="shared" si="93"/>
        <v>226</v>
      </c>
      <c r="AI178" s="20"/>
      <c r="AJ178" s="20"/>
      <c r="AK178" s="45">
        <v>2007</v>
      </c>
      <c r="AL178" s="48" t="s">
        <v>42</v>
      </c>
      <c r="AM178" s="35">
        <f t="shared" si="64"/>
        <v>0.62096774193548387</v>
      </c>
      <c r="AN178" s="35">
        <f t="shared" si="65"/>
        <v>0.98717948717948723</v>
      </c>
      <c r="AO178" s="35">
        <f t="shared" si="66"/>
        <v>0.62903225806451613</v>
      </c>
      <c r="AP178" s="20">
        <v>248</v>
      </c>
      <c r="AQ178" s="27">
        <f t="shared" si="94"/>
        <v>92</v>
      </c>
      <c r="AR178" s="20">
        <v>156</v>
      </c>
      <c r="AS178" s="20">
        <v>154</v>
      </c>
      <c r="AT178" s="20">
        <f t="shared" si="95"/>
        <v>2</v>
      </c>
      <c r="AU178" s="20"/>
      <c r="AV178" s="20"/>
      <c r="AW178" s="45"/>
      <c r="AX178" s="48"/>
      <c r="AY178" s="35"/>
      <c r="AZ178" s="35"/>
      <c r="BA178" s="35"/>
    </row>
    <row r="179" spans="1:53" s="29" customFormat="1" ht="12.75">
      <c r="A179" s="46">
        <v>2007</v>
      </c>
      <c r="B179" s="47" t="s">
        <v>43</v>
      </c>
      <c r="C179" s="35">
        <f t="shared" si="46"/>
        <v>0.81187878787878787</v>
      </c>
      <c r="D179" s="35">
        <f t="shared" si="47"/>
        <v>0.8739561586638831</v>
      </c>
      <c r="E179" s="35">
        <f t="shared" si="48"/>
        <v>0.928969696969697</v>
      </c>
      <c r="F179" s="92">
        <f t="shared" si="85"/>
        <v>4125</v>
      </c>
      <c r="G179" s="27">
        <f t="shared" si="86"/>
        <v>293</v>
      </c>
      <c r="H179" s="92">
        <f t="shared" si="87"/>
        <v>3832</v>
      </c>
      <c r="I179" s="92">
        <f t="shared" si="88"/>
        <v>3349</v>
      </c>
      <c r="J179" s="27">
        <f t="shared" si="89"/>
        <v>483</v>
      </c>
      <c r="K179" s="27"/>
      <c r="L179" s="27"/>
      <c r="M179" s="46">
        <v>2007</v>
      </c>
      <c r="N179" s="47" t="s">
        <v>43</v>
      </c>
      <c r="O179" s="35">
        <f t="shared" si="54"/>
        <v>0.83639921722113508</v>
      </c>
      <c r="P179" s="35">
        <f t="shared" si="55"/>
        <v>0.88415390980554409</v>
      </c>
      <c r="Q179" s="35">
        <f t="shared" si="56"/>
        <v>0.94598825831702549</v>
      </c>
      <c r="R179" s="20">
        <v>2555</v>
      </c>
      <c r="S179" s="27">
        <f t="shared" si="90"/>
        <v>138</v>
      </c>
      <c r="T179" s="20">
        <v>2417</v>
      </c>
      <c r="U179" s="20">
        <v>2137</v>
      </c>
      <c r="V179" s="20">
        <f t="shared" si="91"/>
        <v>280</v>
      </c>
      <c r="W179" s="20"/>
      <c r="X179" s="20"/>
      <c r="Y179" s="46">
        <v>2007</v>
      </c>
      <c r="Z179" s="47" t="s">
        <v>43</v>
      </c>
      <c r="AA179" s="35">
        <f t="shared" si="59"/>
        <v>0.75563909774436089</v>
      </c>
      <c r="AB179" s="35">
        <f t="shared" si="60"/>
        <v>0.84100418410041844</v>
      </c>
      <c r="AC179" s="35">
        <f t="shared" si="61"/>
        <v>0.89849624060150379</v>
      </c>
      <c r="AD179" s="20">
        <v>1330</v>
      </c>
      <c r="AE179" s="27">
        <f t="shared" si="92"/>
        <v>135</v>
      </c>
      <c r="AF179" s="20">
        <v>1195</v>
      </c>
      <c r="AG179" s="20">
        <v>1005</v>
      </c>
      <c r="AH179" s="20">
        <f t="shared" si="93"/>
        <v>190</v>
      </c>
      <c r="AI179" s="20"/>
      <c r="AJ179" s="20"/>
      <c r="AK179" s="46">
        <v>2007</v>
      </c>
      <c r="AL179" s="47" t="s">
        <v>43</v>
      </c>
      <c r="AM179" s="35">
        <f t="shared" si="64"/>
        <v>0.86250000000000004</v>
      </c>
      <c r="AN179" s="35">
        <f t="shared" si="65"/>
        <v>0.94090909090909092</v>
      </c>
      <c r="AO179" s="35">
        <f t="shared" si="66"/>
        <v>0.91666666666666663</v>
      </c>
      <c r="AP179" s="20">
        <v>240</v>
      </c>
      <c r="AQ179" s="27">
        <f t="shared" si="94"/>
        <v>20</v>
      </c>
      <c r="AR179" s="20">
        <v>220</v>
      </c>
      <c r="AS179" s="20">
        <v>207</v>
      </c>
      <c r="AT179" s="20">
        <f t="shared" si="95"/>
        <v>13</v>
      </c>
      <c r="AU179" s="20"/>
      <c r="AV179" s="20"/>
      <c r="AW179" s="46"/>
      <c r="AX179" s="47"/>
      <c r="AY179" s="35"/>
      <c r="AZ179" s="35"/>
      <c r="BA179" s="35"/>
    </row>
    <row r="180" spans="1:53" s="29" customFormat="1" ht="12.75">
      <c r="A180" s="45">
        <v>2007</v>
      </c>
      <c r="B180" s="48" t="s">
        <v>44</v>
      </c>
      <c r="C180" s="35">
        <f t="shared" si="46"/>
        <v>0.84450717478240411</v>
      </c>
      <c r="D180" s="35">
        <f t="shared" si="47"/>
        <v>0.95605858854860182</v>
      </c>
      <c r="E180" s="35">
        <f t="shared" si="48"/>
        <v>0.88332157139496592</v>
      </c>
      <c r="F180" s="92">
        <f t="shared" si="85"/>
        <v>4251</v>
      </c>
      <c r="G180" s="27">
        <f t="shared" si="86"/>
        <v>496</v>
      </c>
      <c r="H180" s="92">
        <f t="shared" si="87"/>
        <v>3755</v>
      </c>
      <c r="I180" s="92">
        <f t="shared" si="88"/>
        <v>3590</v>
      </c>
      <c r="J180" s="27">
        <f t="shared" si="89"/>
        <v>165</v>
      </c>
      <c r="K180" s="27"/>
      <c r="L180" s="27"/>
      <c r="M180" s="45">
        <v>2007</v>
      </c>
      <c r="N180" s="48" t="s">
        <v>44</v>
      </c>
      <c r="O180" s="35">
        <f t="shared" si="54"/>
        <v>0.86892097264437695</v>
      </c>
      <c r="P180" s="35">
        <f t="shared" si="55"/>
        <v>0.96906779661016951</v>
      </c>
      <c r="Q180" s="35">
        <f t="shared" si="56"/>
        <v>0.89665653495440734</v>
      </c>
      <c r="R180" s="20">
        <v>2632</v>
      </c>
      <c r="S180" s="27">
        <f t="shared" si="90"/>
        <v>272</v>
      </c>
      <c r="T180" s="20">
        <v>2360</v>
      </c>
      <c r="U180" s="20">
        <v>2287</v>
      </c>
      <c r="V180" s="20">
        <f t="shared" si="91"/>
        <v>73</v>
      </c>
      <c r="W180" s="20"/>
      <c r="X180" s="20"/>
      <c r="Y180" s="45">
        <v>2007</v>
      </c>
      <c r="Z180" s="48" t="s">
        <v>44</v>
      </c>
      <c r="AA180" s="35">
        <f t="shared" si="59"/>
        <v>0.80743982494529543</v>
      </c>
      <c r="AB180" s="35">
        <f t="shared" si="60"/>
        <v>0.93025210084033616</v>
      </c>
      <c r="AC180" s="35">
        <f t="shared" si="61"/>
        <v>0.86797957695113059</v>
      </c>
      <c r="AD180" s="20">
        <v>1371</v>
      </c>
      <c r="AE180" s="27">
        <f t="shared" si="92"/>
        <v>181</v>
      </c>
      <c r="AF180" s="20">
        <v>1190</v>
      </c>
      <c r="AG180" s="20">
        <v>1107</v>
      </c>
      <c r="AH180" s="20">
        <f t="shared" si="93"/>
        <v>83</v>
      </c>
      <c r="AI180" s="20"/>
      <c r="AJ180" s="20"/>
      <c r="AK180" s="45">
        <v>2007</v>
      </c>
      <c r="AL180" s="48" t="s">
        <v>44</v>
      </c>
      <c r="AM180" s="35">
        <f t="shared" si="64"/>
        <v>0.79032258064516125</v>
      </c>
      <c r="AN180" s="35">
        <f t="shared" si="65"/>
        <v>0.95609756097560972</v>
      </c>
      <c r="AO180" s="35">
        <f t="shared" si="66"/>
        <v>0.82661290322580649</v>
      </c>
      <c r="AP180" s="20">
        <v>248</v>
      </c>
      <c r="AQ180" s="27">
        <f t="shared" si="94"/>
        <v>43</v>
      </c>
      <c r="AR180" s="20">
        <v>205</v>
      </c>
      <c r="AS180" s="20">
        <v>196</v>
      </c>
      <c r="AT180" s="20">
        <f t="shared" si="95"/>
        <v>9</v>
      </c>
      <c r="AU180" s="20"/>
      <c r="AV180" s="20"/>
      <c r="AW180" s="45"/>
      <c r="AX180" s="48"/>
      <c r="AY180" s="35"/>
      <c r="AZ180" s="35"/>
      <c r="BA180" s="35"/>
    </row>
    <row r="181" spans="1:53" s="29" customFormat="1" ht="12.75">
      <c r="A181" s="46">
        <v>2007</v>
      </c>
      <c r="B181" s="47" t="s">
        <v>45</v>
      </c>
      <c r="C181" s="35">
        <f t="shared" si="46"/>
        <v>0.92048643592142187</v>
      </c>
      <c r="D181" s="35">
        <f t="shared" si="47"/>
        <v>0.94889103182256507</v>
      </c>
      <c r="E181" s="35">
        <f t="shared" si="48"/>
        <v>0.97006548175865293</v>
      </c>
      <c r="F181" s="92">
        <f t="shared" si="85"/>
        <v>4276</v>
      </c>
      <c r="G181" s="27">
        <f t="shared" si="86"/>
        <v>128</v>
      </c>
      <c r="H181" s="92">
        <f t="shared" si="87"/>
        <v>4148</v>
      </c>
      <c r="I181" s="92">
        <f t="shared" si="88"/>
        <v>3936</v>
      </c>
      <c r="J181" s="27">
        <f t="shared" si="89"/>
        <v>212</v>
      </c>
      <c r="K181" s="27"/>
      <c r="L181" s="27"/>
      <c r="M181" s="46">
        <v>2007</v>
      </c>
      <c r="N181" s="47" t="s">
        <v>45</v>
      </c>
      <c r="O181" s="35">
        <f t="shared" si="54"/>
        <v>0.92536750848096494</v>
      </c>
      <c r="P181" s="35">
        <f t="shared" si="55"/>
        <v>0.94970986460348161</v>
      </c>
      <c r="Q181" s="35">
        <f t="shared" si="56"/>
        <v>0.97436863927629103</v>
      </c>
      <c r="R181" s="20">
        <v>2653</v>
      </c>
      <c r="S181" s="27">
        <f t="shared" si="90"/>
        <v>68</v>
      </c>
      <c r="T181" s="20">
        <v>2585</v>
      </c>
      <c r="U181" s="20">
        <v>2455</v>
      </c>
      <c r="V181" s="20">
        <f t="shared" si="91"/>
        <v>130</v>
      </c>
      <c r="W181" s="20"/>
      <c r="X181" s="20"/>
      <c r="Y181" s="46">
        <v>2007</v>
      </c>
      <c r="Z181" s="47" t="s">
        <v>45</v>
      </c>
      <c r="AA181" s="35">
        <f t="shared" si="59"/>
        <v>0.91345454545454541</v>
      </c>
      <c r="AB181" s="35">
        <f t="shared" si="60"/>
        <v>0.94011976047904189</v>
      </c>
      <c r="AC181" s="35">
        <f t="shared" si="61"/>
        <v>0.97163636363636363</v>
      </c>
      <c r="AD181" s="20">
        <v>1375</v>
      </c>
      <c r="AE181" s="27">
        <f t="shared" si="92"/>
        <v>39</v>
      </c>
      <c r="AF181" s="20">
        <v>1336</v>
      </c>
      <c r="AG181" s="20">
        <v>1256</v>
      </c>
      <c r="AH181" s="20">
        <f t="shared" si="93"/>
        <v>80</v>
      </c>
      <c r="AI181" s="20"/>
      <c r="AJ181" s="20"/>
      <c r="AK181" s="46">
        <v>2007</v>
      </c>
      <c r="AL181" s="47" t="s">
        <v>45</v>
      </c>
      <c r="AM181" s="35">
        <f t="shared" si="64"/>
        <v>0.907258064516129</v>
      </c>
      <c r="AN181" s="35">
        <f t="shared" si="65"/>
        <v>0.99118942731277537</v>
      </c>
      <c r="AO181" s="35">
        <f t="shared" si="66"/>
        <v>0.91532258064516125</v>
      </c>
      <c r="AP181" s="20">
        <v>248</v>
      </c>
      <c r="AQ181" s="27">
        <f t="shared" si="94"/>
        <v>21</v>
      </c>
      <c r="AR181" s="20">
        <v>227</v>
      </c>
      <c r="AS181" s="20">
        <v>225</v>
      </c>
      <c r="AT181" s="20">
        <f t="shared" si="95"/>
        <v>2</v>
      </c>
      <c r="AU181" s="20"/>
      <c r="AV181" s="20"/>
      <c r="AW181" s="46"/>
      <c r="AX181" s="47"/>
      <c r="AY181" s="35"/>
      <c r="AZ181" s="35"/>
      <c r="BA181" s="35"/>
    </row>
    <row r="182" spans="1:53" s="29" customFormat="1" ht="12.75">
      <c r="A182" s="45">
        <v>2007</v>
      </c>
      <c r="B182" s="48" t="s">
        <v>46</v>
      </c>
      <c r="C182" s="35">
        <f t="shared" si="46"/>
        <v>0.94787878787878788</v>
      </c>
      <c r="D182" s="35">
        <f t="shared" si="47"/>
        <v>0.97142857142857142</v>
      </c>
      <c r="E182" s="35">
        <f t="shared" si="48"/>
        <v>0.97575757575757571</v>
      </c>
      <c r="F182" s="92">
        <f t="shared" si="85"/>
        <v>4125</v>
      </c>
      <c r="G182" s="27">
        <f t="shared" si="86"/>
        <v>100</v>
      </c>
      <c r="H182" s="92">
        <f t="shared" si="87"/>
        <v>4025</v>
      </c>
      <c r="I182" s="92">
        <f t="shared" si="88"/>
        <v>3910</v>
      </c>
      <c r="J182" s="27">
        <f t="shared" si="89"/>
        <v>115</v>
      </c>
      <c r="K182" s="27"/>
      <c r="L182" s="27"/>
      <c r="M182" s="45">
        <v>2007</v>
      </c>
      <c r="N182" s="48" t="s">
        <v>46</v>
      </c>
      <c r="O182" s="35">
        <f t="shared" si="54"/>
        <v>0.94559686888454009</v>
      </c>
      <c r="P182" s="35">
        <f t="shared" si="55"/>
        <v>0.97028112449799198</v>
      </c>
      <c r="Q182" s="35">
        <f t="shared" si="56"/>
        <v>0.97455968688845396</v>
      </c>
      <c r="R182" s="20">
        <v>2555</v>
      </c>
      <c r="S182" s="27">
        <f t="shared" si="90"/>
        <v>65</v>
      </c>
      <c r="T182" s="20">
        <v>2490</v>
      </c>
      <c r="U182" s="20">
        <v>2416</v>
      </c>
      <c r="V182" s="20">
        <f t="shared" si="91"/>
        <v>74</v>
      </c>
      <c r="W182" s="20"/>
      <c r="X182" s="20"/>
      <c r="Y182" s="45">
        <v>2007</v>
      </c>
      <c r="Z182" s="48" t="s">
        <v>46</v>
      </c>
      <c r="AA182" s="35">
        <f t="shared" si="59"/>
        <v>0.95714285714285718</v>
      </c>
      <c r="AB182" s="35">
        <f t="shared" si="60"/>
        <v>0.96953541507996954</v>
      </c>
      <c r="AC182" s="35">
        <f t="shared" si="61"/>
        <v>0.98721804511278199</v>
      </c>
      <c r="AD182" s="20">
        <v>1330</v>
      </c>
      <c r="AE182" s="27">
        <f t="shared" si="92"/>
        <v>17</v>
      </c>
      <c r="AF182" s="20">
        <v>1313</v>
      </c>
      <c r="AG182" s="20">
        <v>1273</v>
      </c>
      <c r="AH182" s="20">
        <f t="shared" si="93"/>
        <v>40</v>
      </c>
      <c r="AI182" s="20"/>
      <c r="AJ182" s="20"/>
      <c r="AK182" s="45">
        <v>2007</v>
      </c>
      <c r="AL182" s="48" t="s">
        <v>46</v>
      </c>
      <c r="AM182" s="35">
        <f t="shared" si="64"/>
        <v>0.92083333333333328</v>
      </c>
      <c r="AN182" s="35">
        <f t="shared" si="65"/>
        <v>0.99549549549549554</v>
      </c>
      <c r="AO182" s="35">
        <f t="shared" si="66"/>
        <v>0.92500000000000004</v>
      </c>
      <c r="AP182" s="20">
        <v>240</v>
      </c>
      <c r="AQ182" s="27">
        <f t="shared" si="94"/>
        <v>18</v>
      </c>
      <c r="AR182" s="20">
        <v>222</v>
      </c>
      <c r="AS182" s="20">
        <v>221</v>
      </c>
      <c r="AT182" s="20">
        <f t="shared" si="95"/>
        <v>1</v>
      </c>
      <c r="AU182" s="20"/>
      <c r="AV182" s="20"/>
      <c r="AW182" s="45"/>
      <c r="AX182" s="48"/>
      <c r="AY182" s="35"/>
      <c r="AZ182" s="35"/>
      <c r="BA182" s="35"/>
    </row>
    <row r="183" spans="1:53" s="29" customFormat="1" ht="12.75">
      <c r="A183" s="46">
        <v>2007</v>
      </c>
      <c r="B183" s="47" t="s">
        <v>47</v>
      </c>
      <c r="C183" s="35">
        <f t="shared" si="46"/>
        <v>0.94761459307764262</v>
      </c>
      <c r="D183" s="35">
        <f t="shared" si="47"/>
        <v>0.9707714422616196</v>
      </c>
      <c r="E183" s="35">
        <f t="shared" si="48"/>
        <v>0.97614593077642653</v>
      </c>
      <c r="F183" s="92">
        <f t="shared" si="85"/>
        <v>4276</v>
      </c>
      <c r="G183" s="27">
        <f t="shared" si="86"/>
        <v>102</v>
      </c>
      <c r="H183" s="92">
        <f t="shared" si="87"/>
        <v>4174</v>
      </c>
      <c r="I183" s="92">
        <f t="shared" si="88"/>
        <v>4052</v>
      </c>
      <c r="J183" s="27">
        <f t="shared" si="89"/>
        <v>122</v>
      </c>
      <c r="K183" s="27"/>
      <c r="L183" s="27"/>
      <c r="M183" s="46">
        <v>2007</v>
      </c>
      <c r="N183" s="47" t="s">
        <v>47</v>
      </c>
      <c r="O183" s="35">
        <f t="shared" si="54"/>
        <v>0.94534489257444398</v>
      </c>
      <c r="P183" s="35">
        <f t="shared" si="55"/>
        <v>0.97284716834755625</v>
      </c>
      <c r="Q183" s="35">
        <f t="shared" si="56"/>
        <v>0.97173011684885036</v>
      </c>
      <c r="R183" s="20">
        <v>2653</v>
      </c>
      <c r="S183" s="27">
        <f t="shared" si="90"/>
        <v>75</v>
      </c>
      <c r="T183" s="20">
        <v>2578</v>
      </c>
      <c r="U183" s="20">
        <v>2508</v>
      </c>
      <c r="V183" s="20">
        <f t="shared" si="91"/>
        <v>70</v>
      </c>
      <c r="W183" s="20"/>
      <c r="X183" s="20"/>
      <c r="Y183" s="46">
        <v>2007</v>
      </c>
      <c r="Z183" s="47" t="s">
        <v>47</v>
      </c>
      <c r="AA183" s="35">
        <f t="shared" si="59"/>
        <v>0.94836363636363641</v>
      </c>
      <c r="AB183" s="35">
        <f t="shared" si="60"/>
        <v>0.96307237813884783</v>
      </c>
      <c r="AC183" s="35">
        <f t="shared" si="61"/>
        <v>0.98472727272727267</v>
      </c>
      <c r="AD183" s="20">
        <v>1375</v>
      </c>
      <c r="AE183" s="27">
        <f t="shared" si="92"/>
        <v>21</v>
      </c>
      <c r="AF183" s="20">
        <v>1354</v>
      </c>
      <c r="AG183" s="20">
        <v>1304</v>
      </c>
      <c r="AH183" s="20">
        <f t="shared" si="93"/>
        <v>50</v>
      </c>
      <c r="AI183" s="20"/>
      <c r="AJ183" s="20"/>
      <c r="AK183" s="46">
        <v>2007</v>
      </c>
      <c r="AL183" s="47" t="s">
        <v>47</v>
      </c>
      <c r="AM183" s="35">
        <f t="shared" si="64"/>
        <v>0.967741935483871</v>
      </c>
      <c r="AN183" s="35">
        <f t="shared" si="65"/>
        <v>0.99173553719008267</v>
      </c>
      <c r="AO183" s="35">
        <f t="shared" si="66"/>
        <v>0.97580645161290325</v>
      </c>
      <c r="AP183" s="20">
        <v>248</v>
      </c>
      <c r="AQ183" s="27">
        <f t="shared" si="94"/>
        <v>6</v>
      </c>
      <c r="AR183" s="20">
        <v>242</v>
      </c>
      <c r="AS183" s="20">
        <v>240</v>
      </c>
      <c r="AT183" s="20">
        <f t="shared" si="95"/>
        <v>2</v>
      </c>
      <c r="AU183" s="20"/>
      <c r="AV183" s="20"/>
      <c r="AW183" s="46"/>
      <c r="AX183" s="47"/>
      <c r="AY183" s="35"/>
      <c r="AZ183" s="35"/>
      <c r="BA183" s="35"/>
    </row>
    <row r="184" spans="1:53" s="29" customFormat="1" ht="12.75">
      <c r="A184" s="45">
        <v>2007</v>
      </c>
      <c r="B184" s="48" t="s">
        <v>48</v>
      </c>
      <c r="C184" s="35">
        <f t="shared" si="46"/>
        <v>0.95767195767195767</v>
      </c>
      <c r="D184" s="35">
        <f t="shared" si="47"/>
        <v>0.9766985528574933</v>
      </c>
      <c r="E184" s="35">
        <f t="shared" si="48"/>
        <v>0.98051948051948057</v>
      </c>
      <c r="F184" s="92">
        <f t="shared" si="85"/>
        <v>4158</v>
      </c>
      <c r="G184" s="27">
        <f t="shared" si="86"/>
        <v>81</v>
      </c>
      <c r="H184" s="92">
        <f t="shared" si="87"/>
        <v>4077</v>
      </c>
      <c r="I184" s="92">
        <f t="shared" si="88"/>
        <v>3982</v>
      </c>
      <c r="J184" s="27">
        <f t="shared" si="89"/>
        <v>95</v>
      </c>
      <c r="K184" s="27"/>
      <c r="L184" s="27"/>
      <c r="M184" s="45">
        <v>2007</v>
      </c>
      <c r="N184" s="48" t="s">
        <v>48</v>
      </c>
      <c r="O184" s="35">
        <f t="shared" si="54"/>
        <v>0.95975232198142413</v>
      </c>
      <c r="P184" s="35">
        <f t="shared" si="55"/>
        <v>0.97868981846882397</v>
      </c>
      <c r="Q184" s="35">
        <f t="shared" si="56"/>
        <v>0.98065015479876161</v>
      </c>
      <c r="R184" s="20">
        <v>2584</v>
      </c>
      <c r="S184" s="27">
        <f t="shared" si="90"/>
        <v>50</v>
      </c>
      <c r="T184" s="20">
        <v>2534</v>
      </c>
      <c r="U184" s="20">
        <v>2480</v>
      </c>
      <c r="V184" s="20">
        <f t="shared" si="91"/>
        <v>54</v>
      </c>
      <c r="W184" s="20"/>
      <c r="X184" s="20"/>
      <c r="Y184" s="45">
        <v>2007</v>
      </c>
      <c r="Z184" s="48" t="s">
        <v>48</v>
      </c>
      <c r="AA184" s="35">
        <f t="shared" si="59"/>
        <v>0.95352323838080955</v>
      </c>
      <c r="AB184" s="35">
        <f t="shared" si="60"/>
        <v>0.97025171624713957</v>
      </c>
      <c r="AC184" s="35">
        <f t="shared" si="61"/>
        <v>0.98275862068965514</v>
      </c>
      <c r="AD184" s="20">
        <v>1334</v>
      </c>
      <c r="AE184" s="27">
        <f t="shared" si="92"/>
        <v>23</v>
      </c>
      <c r="AF184" s="20">
        <v>1311</v>
      </c>
      <c r="AG184" s="20">
        <v>1272</v>
      </c>
      <c r="AH184" s="20">
        <f t="shared" si="93"/>
        <v>39</v>
      </c>
      <c r="AI184" s="20"/>
      <c r="AJ184" s="20"/>
      <c r="AK184" s="45">
        <v>2007</v>
      </c>
      <c r="AL184" s="48" t="s">
        <v>48</v>
      </c>
      <c r="AM184" s="35">
        <f t="shared" si="64"/>
        <v>0.95833333333333337</v>
      </c>
      <c r="AN184" s="35">
        <f t="shared" si="65"/>
        <v>0.99137931034482762</v>
      </c>
      <c r="AO184" s="35">
        <f t="shared" si="66"/>
        <v>0.96666666666666667</v>
      </c>
      <c r="AP184" s="20">
        <v>240</v>
      </c>
      <c r="AQ184" s="27">
        <f t="shared" si="94"/>
        <v>8</v>
      </c>
      <c r="AR184" s="20">
        <v>232</v>
      </c>
      <c r="AS184" s="20">
        <v>230</v>
      </c>
      <c r="AT184" s="20">
        <f t="shared" si="95"/>
        <v>2</v>
      </c>
      <c r="AU184" s="20"/>
      <c r="AV184" s="20"/>
      <c r="AW184" s="45"/>
      <c r="AX184" s="48"/>
      <c r="AY184" s="35"/>
      <c r="AZ184" s="35"/>
      <c r="BA184" s="35"/>
    </row>
    <row r="185" spans="1:53" s="29" customFormat="1" ht="12.75">
      <c r="A185" s="46">
        <v>2007</v>
      </c>
      <c r="B185" s="47" t="s">
        <v>49</v>
      </c>
      <c r="C185" s="35">
        <f t="shared" si="46"/>
        <v>0.94628490298154277</v>
      </c>
      <c r="D185" s="35">
        <f t="shared" si="47"/>
        <v>0.97655677655677653</v>
      </c>
      <c r="E185" s="35">
        <f t="shared" si="48"/>
        <v>0.96900141978230003</v>
      </c>
      <c r="F185" s="92">
        <f t="shared" si="85"/>
        <v>4226</v>
      </c>
      <c r="G185" s="27">
        <f t="shared" si="86"/>
        <v>131</v>
      </c>
      <c r="H185" s="92">
        <f t="shared" si="87"/>
        <v>4095</v>
      </c>
      <c r="I185" s="92">
        <f t="shared" si="88"/>
        <v>3999</v>
      </c>
      <c r="J185" s="27">
        <f t="shared" si="89"/>
        <v>96</v>
      </c>
      <c r="K185" s="27"/>
      <c r="L185" s="27"/>
      <c r="M185" s="46">
        <v>2007</v>
      </c>
      <c r="N185" s="47" t="s">
        <v>49</v>
      </c>
      <c r="O185" s="35">
        <f t="shared" si="54"/>
        <v>0.95212562236690923</v>
      </c>
      <c r="P185" s="35">
        <f t="shared" si="55"/>
        <v>0.97797010228166803</v>
      </c>
      <c r="Q185" s="35">
        <f t="shared" si="56"/>
        <v>0.97357334354653391</v>
      </c>
      <c r="R185" s="20">
        <v>2611</v>
      </c>
      <c r="S185" s="27">
        <f t="shared" si="90"/>
        <v>69</v>
      </c>
      <c r="T185" s="20">
        <v>2542</v>
      </c>
      <c r="U185" s="20">
        <v>2486</v>
      </c>
      <c r="V185" s="20">
        <f t="shared" si="91"/>
        <v>56</v>
      </c>
      <c r="W185" s="20"/>
      <c r="X185" s="20"/>
      <c r="Y185" s="46">
        <v>2007</v>
      </c>
      <c r="Z185" s="47" t="s">
        <v>49</v>
      </c>
      <c r="AA185" s="35">
        <f t="shared" si="59"/>
        <v>0.93489392831016827</v>
      </c>
      <c r="AB185" s="35">
        <f t="shared" si="60"/>
        <v>0.97112462006079026</v>
      </c>
      <c r="AC185" s="35">
        <f t="shared" si="61"/>
        <v>0.96269202633504025</v>
      </c>
      <c r="AD185" s="20">
        <v>1367</v>
      </c>
      <c r="AE185" s="27">
        <f t="shared" si="92"/>
        <v>51</v>
      </c>
      <c r="AF185" s="20">
        <v>1316</v>
      </c>
      <c r="AG185" s="20">
        <v>1278</v>
      </c>
      <c r="AH185" s="20">
        <f t="shared" si="93"/>
        <v>38</v>
      </c>
      <c r="AI185" s="20"/>
      <c r="AJ185" s="20"/>
      <c r="AK185" s="46">
        <v>2007</v>
      </c>
      <c r="AL185" s="47" t="s">
        <v>49</v>
      </c>
      <c r="AM185" s="35">
        <f t="shared" si="64"/>
        <v>0.94758064516129037</v>
      </c>
      <c r="AN185" s="35">
        <f t="shared" si="65"/>
        <v>0.99156118143459915</v>
      </c>
      <c r="AO185" s="35">
        <f t="shared" si="66"/>
        <v>0.95564516129032262</v>
      </c>
      <c r="AP185" s="20">
        <v>248</v>
      </c>
      <c r="AQ185" s="27">
        <f t="shared" si="94"/>
        <v>11</v>
      </c>
      <c r="AR185" s="20">
        <v>237</v>
      </c>
      <c r="AS185" s="20">
        <v>235</v>
      </c>
      <c r="AT185" s="20">
        <f t="shared" si="95"/>
        <v>2</v>
      </c>
      <c r="AU185" s="20"/>
      <c r="AV185" s="20"/>
      <c r="AW185" s="46"/>
      <c r="AX185" s="47"/>
      <c r="AY185" s="35"/>
      <c r="AZ185" s="35"/>
      <c r="BA185" s="35"/>
    </row>
    <row r="186" spans="1:53" s="29" customFormat="1" ht="12.75">
      <c r="A186" s="45">
        <v>2008</v>
      </c>
      <c r="B186" s="48" t="s">
        <v>38</v>
      </c>
      <c r="C186" s="35">
        <f t="shared" si="46"/>
        <v>0.92025257249766135</v>
      </c>
      <c r="D186" s="35">
        <f t="shared" si="47"/>
        <v>0.9445511281805089</v>
      </c>
      <c r="E186" s="35">
        <f t="shared" si="48"/>
        <v>0.97427502338634242</v>
      </c>
      <c r="F186" s="92">
        <f t="shared" ref="F186:F197" si="96">+R186+AD186+AP186</f>
        <v>4276</v>
      </c>
      <c r="G186" s="27">
        <f t="shared" ref="G186:G197" si="97">F186-H186</f>
        <v>110</v>
      </c>
      <c r="H186" s="92">
        <f t="shared" ref="H186:H197" si="98">+T186+AF186+AR186</f>
        <v>4166</v>
      </c>
      <c r="I186" s="92">
        <f t="shared" ref="I186:I197" si="99">+U186+AG186+AS186</f>
        <v>3935</v>
      </c>
      <c r="J186" s="27">
        <f t="shared" ref="J186:J197" si="100">H186-I186</f>
        <v>231</v>
      </c>
      <c r="K186" s="27"/>
      <c r="L186" s="27"/>
      <c r="M186" s="45">
        <v>2008</v>
      </c>
      <c r="N186" s="48" t="s">
        <v>38</v>
      </c>
      <c r="O186" s="35">
        <f t="shared" si="54"/>
        <v>0.92800603090840561</v>
      </c>
      <c r="P186" s="35">
        <f t="shared" si="55"/>
        <v>0.95021227325357005</v>
      </c>
      <c r="Q186" s="35">
        <f t="shared" si="56"/>
        <v>0.976630229928383</v>
      </c>
      <c r="R186" s="20">
        <v>2653</v>
      </c>
      <c r="S186" s="27">
        <f t="shared" ref="S186:S197" si="101">R186-T186</f>
        <v>62</v>
      </c>
      <c r="T186" s="20">
        <v>2591</v>
      </c>
      <c r="U186" s="20">
        <v>2462</v>
      </c>
      <c r="V186" s="20">
        <f t="shared" ref="V186:V197" si="102">T186-U186</f>
        <v>129</v>
      </c>
      <c r="W186" s="20"/>
      <c r="X186" s="20"/>
      <c r="Y186" s="45">
        <v>2008</v>
      </c>
      <c r="Z186" s="48" t="s">
        <v>38</v>
      </c>
      <c r="AA186" s="35">
        <f t="shared" si="59"/>
        <v>0.89818181818181819</v>
      </c>
      <c r="AB186" s="35">
        <f t="shared" si="60"/>
        <v>0.92648162040510129</v>
      </c>
      <c r="AC186" s="35">
        <f t="shared" si="61"/>
        <v>0.96945454545454546</v>
      </c>
      <c r="AD186" s="20">
        <v>1375</v>
      </c>
      <c r="AE186" s="27">
        <f t="shared" ref="AE186:AE197" si="103">AD186-AF186</f>
        <v>42</v>
      </c>
      <c r="AF186" s="20">
        <v>1333</v>
      </c>
      <c r="AG186" s="20">
        <v>1235</v>
      </c>
      <c r="AH186" s="20">
        <f t="shared" ref="AH186:AH197" si="104">AF186-AG186</f>
        <v>98</v>
      </c>
      <c r="AI186" s="20"/>
      <c r="AJ186" s="20"/>
      <c r="AK186" s="45">
        <v>2008</v>
      </c>
      <c r="AL186" s="48" t="s">
        <v>38</v>
      </c>
      <c r="AM186" s="35">
        <f t="shared" si="64"/>
        <v>0.95967741935483875</v>
      </c>
      <c r="AN186" s="35">
        <f t="shared" si="65"/>
        <v>0.98347107438016534</v>
      </c>
      <c r="AO186" s="35">
        <f t="shared" si="66"/>
        <v>0.97580645161290325</v>
      </c>
      <c r="AP186" s="20">
        <v>248</v>
      </c>
      <c r="AQ186" s="27">
        <f t="shared" ref="AQ186:AQ197" si="105">AP186-AR186</f>
        <v>6</v>
      </c>
      <c r="AR186" s="20">
        <v>242</v>
      </c>
      <c r="AS186" s="20">
        <v>238</v>
      </c>
      <c r="AT186" s="20">
        <f t="shared" ref="AT186:AT197" si="106">AR186-AS186</f>
        <v>4</v>
      </c>
      <c r="AU186" s="20"/>
      <c r="AV186" s="20"/>
      <c r="AW186" s="45"/>
      <c r="AX186" s="48"/>
      <c r="AY186" s="35"/>
      <c r="AZ186" s="35"/>
      <c r="BA186" s="35"/>
    </row>
    <row r="187" spans="1:53" s="29" customFormat="1" ht="12.75">
      <c r="A187" s="46">
        <v>2008</v>
      </c>
      <c r="B187" s="47" t="s">
        <v>39</v>
      </c>
      <c r="C187" s="35">
        <f t="shared" si="46"/>
        <v>0.84383561643835614</v>
      </c>
      <c r="D187" s="35">
        <f t="shared" si="47"/>
        <v>0.89416732647136443</v>
      </c>
      <c r="E187" s="35">
        <f t="shared" si="48"/>
        <v>0.94371108343711085</v>
      </c>
      <c r="F187" s="92">
        <f t="shared" si="96"/>
        <v>4015</v>
      </c>
      <c r="G187" s="27">
        <f t="shared" si="97"/>
        <v>226</v>
      </c>
      <c r="H187" s="92">
        <f t="shared" si="98"/>
        <v>3789</v>
      </c>
      <c r="I187" s="92">
        <f t="shared" si="99"/>
        <v>3388</v>
      </c>
      <c r="J187" s="27">
        <f t="shared" si="100"/>
        <v>401</v>
      </c>
      <c r="K187" s="27"/>
      <c r="L187" s="27"/>
      <c r="M187" s="46">
        <v>2008</v>
      </c>
      <c r="N187" s="47" t="s">
        <v>39</v>
      </c>
      <c r="O187" s="35">
        <f t="shared" si="54"/>
        <v>0.86447473937449881</v>
      </c>
      <c r="P187" s="35">
        <f t="shared" si="55"/>
        <v>0.89386401326699838</v>
      </c>
      <c r="Q187" s="35">
        <f t="shared" si="56"/>
        <v>0.96712109061748197</v>
      </c>
      <c r="R187" s="20">
        <v>2494</v>
      </c>
      <c r="S187" s="27">
        <f t="shared" si="101"/>
        <v>82</v>
      </c>
      <c r="T187" s="20">
        <v>2412</v>
      </c>
      <c r="U187" s="20">
        <v>2156</v>
      </c>
      <c r="V187" s="20">
        <f t="shared" si="102"/>
        <v>256</v>
      </c>
      <c r="W187" s="20"/>
      <c r="X187" s="20"/>
      <c r="Y187" s="46">
        <v>2008</v>
      </c>
      <c r="Z187" s="47" t="s">
        <v>39</v>
      </c>
      <c r="AA187" s="35">
        <f t="shared" si="59"/>
        <v>0.7820015515903801</v>
      </c>
      <c r="AB187" s="35">
        <f t="shared" si="60"/>
        <v>0.875</v>
      </c>
      <c r="AC187" s="35">
        <f t="shared" si="61"/>
        <v>0.89371605896043449</v>
      </c>
      <c r="AD187" s="20">
        <v>1289</v>
      </c>
      <c r="AE187" s="27">
        <f t="shared" si="103"/>
        <v>137</v>
      </c>
      <c r="AF187" s="20">
        <v>1152</v>
      </c>
      <c r="AG187" s="20">
        <v>1008</v>
      </c>
      <c r="AH187" s="20">
        <f t="shared" si="104"/>
        <v>144</v>
      </c>
      <c r="AI187" s="20"/>
      <c r="AJ187" s="20"/>
      <c r="AK187" s="46">
        <v>2008</v>
      </c>
      <c r="AL187" s="47" t="s">
        <v>39</v>
      </c>
      <c r="AM187" s="35">
        <f t="shared" si="64"/>
        <v>0.96551724137931039</v>
      </c>
      <c r="AN187" s="35">
        <f t="shared" si="65"/>
        <v>0.99555555555555553</v>
      </c>
      <c r="AO187" s="35">
        <f t="shared" si="66"/>
        <v>0.96982758620689657</v>
      </c>
      <c r="AP187" s="20">
        <v>232</v>
      </c>
      <c r="AQ187" s="27">
        <f t="shared" si="105"/>
        <v>7</v>
      </c>
      <c r="AR187" s="20">
        <v>225</v>
      </c>
      <c r="AS187" s="20">
        <v>224</v>
      </c>
      <c r="AT187" s="20">
        <f t="shared" si="106"/>
        <v>1</v>
      </c>
      <c r="AU187" s="20"/>
      <c r="AV187" s="20"/>
      <c r="AW187" s="46"/>
      <c r="AX187" s="47"/>
      <c r="AY187" s="35"/>
      <c r="AZ187" s="35"/>
      <c r="BA187" s="35"/>
    </row>
    <row r="188" spans="1:53" s="29" customFormat="1" ht="12.75">
      <c r="A188" s="45">
        <v>2008</v>
      </c>
      <c r="B188" s="48" t="s">
        <v>40</v>
      </c>
      <c r="C188" s="35">
        <f t="shared" si="46"/>
        <v>0.91583688952110009</v>
      </c>
      <c r="D188" s="35">
        <f t="shared" si="47"/>
        <v>0.95218141483855068</v>
      </c>
      <c r="E188" s="35">
        <f t="shared" si="48"/>
        <v>0.96183025130393551</v>
      </c>
      <c r="F188" s="92">
        <f t="shared" si="96"/>
        <v>4218</v>
      </c>
      <c r="G188" s="27">
        <f t="shared" si="97"/>
        <v>161</v>
      </c>
      <c r="H188" s="92">
        <f t="shared" si="98"/>
        <v>4057</v>
      </c>
      <c r="I188" s="92">
        <f t="shared" si="99"/>
        <v>3863</v>
      </c>
      <c r="J188" s="27">
        <f t="shared" si="100"/>
        <v>194</v>
      </c>
      <c r="K188" s="27"/>
      <c r="L188" s="27"/>
      <c r="M188" s="45">
        <v>2008</v>
      </c>
      <c r="N188" s="48" t="s">
        <v>40</v>
      </c>
      <c r="O188" s="35">
        <f t="shared" si="54"/>
        <v>0.93930080676142913</v>
      </c>
      <c r="P188" s="35">
        <f t="shared" si="55"/>
        <v>0.96108490566037741</v>
      </c>
      <c r="Q188" s="35">
        <f t="shared" si="56"/>
        <v>0.97733384556281211</v>
      </c>
      <c r="R188" s="20">
        <v>2603</v>
      </c>
      <c r="S188" s="27">
        <f t="shared" si="101"/>
        <v>59</v>
      </c>
      <c r="T188" s="20">
        <v>2544</v>
      </c>
      <c r="U188" s="20">
        <v>2445</v>
      </c>
      <c r="V188" s="20">
        <f t="shared" si="102"/>
        <v>99</v>
      </c>
      <c r="W188" s="20"/>
      <c r="X188" s="20"/>
      <c r="Y188" s="45">
        <v>2008</v>
      </c>
      <c r="Z188" s="48" t="s">
        <v>40</v>
      </c>
      <c r="AA188" s="35">
        <f t="shared" si="59"/>
        <v>0.87198244330651065</v>
      </c>
      <c r="AB188" s="35">
        <f t="shared" si="60"/>
        <v>0.92690513219284598</v>
      </c>
      <c r="AC188" s="35">
        <f t="shared" si="61"/>
        <v>0.9407461594732992</v>
      </c>
      <c r="AD188" s="20">
        <v>1367</v>
      </c>
      <c r="AE188" s="27">
        <f t="shared" si="103"/>
        <v>81</v>
      </c>
      <c r="AF188" s="20">
        <v>1286</v>
      </c>
      <c r="AG188" s="20">
        <v>1192</v>
      </c>
      <c r="AH188" s="20">
        <f t="shared" si="104"/>
        <v>94</v>
      </c>
      <c r="AI188" s="20"/>
      <c r="AJ188" s="20"/>
      <c r="AK188" s="45">
        <v>2008</v>
      </c>
      <c r="AL188" s="48" t="s">
        <v>40</v>
      </c>
      <c r="AM188" s="35">
        <f t="shared" si="64"/>
        <v>0.91129032258064513</v>
      </c>
      <c r="AN188" s="35">
        <f t="shared" si="65"/>
        <v>0.99559471365638763</v>
      </c>
      <c r="AO188" s="35">
        <f t="shared" si="66"/>
        <v>0.91532258064516125</v>
      </c>
      <c r="AP188" s="20">
        <v>248</v>
      </c>
      <c r="AQ188" s="27">
        <f t="shared" si="105"/>
        <v>21</v>
      </c>
      <c r="AR188" s="20">
        <v>227</v>
      </c>
      <c r="AS188" s="20">
        <v>226</v>
      </c>
      <c r="AT188" s="20">
        <f t="shared" si="106"/>
        <v>1</v>
      </c>
      <c r="AU188" s="20"/>
      <c r="AV188" s="20"/>
      <c r="AW188" s="45"/>
      <c r="AX188" s="48"/>
      <c r="AY188" s="35"/>
      <c r="AZ188" s="35"/>
      <c r="BA188" s="35"/>
    </row>
    <row r="189" spans="1:53" s="29" customFormat="1" ht="12.75">
      <c r="A189" s="46">
        <v>2008</v>
      </c>
      <c r="B189" s="47" t="s">
        <v>41</v>
      </c>
      <c r="C189" s="35">
        <f t="shared" si="46"/>
        <v>0.89523348657149771</v>
      </c>
      <c r="D189" s="35">
        <f t="shared" si="47"/>
        <v>0.94774590163934425</v>
      </c>
      <c r="E189" s="35">
        <f t="shared" si="48"/>
        <v>0.94459230583111542</v>
      </c>
      <c r="F189" s="92">
        <f t="shared" si="96"/>
        <v>4133</v>
      </c>
      <c r="G189" s="27">
        <f t="shared" si="97"/>
        <v>229</v>
      </c>
      <c r="H189" s="92">
        <f t="shared" si="98"/>
        <v>3904</v>
      </c>
      <c r="I189" s="92">
        <f t="shared" si="99"/>
        <v>3700</v>
      </c>
      <c r="J189" s="27">
        <f t="shared" si="100"/>
        <v>204</v>
      </c>
      <c r="K189" s="27"/>
      <c r="L189" s="27"/>
      <c r="M189" s="46">
        <v>2008</v>
      </c>
      <c r="N189" s="47" t="s">
        <v>41</v>
      </c>
      <c r="O189" s="35">
        <f t="shared" si="54"/>
        <v>0.90674990245805698</v>
      </c>
      <c r="P189" s="35">
        <f t="shared" si="55"/>
        <v>0.95559210526315785</v>
      </c>
      <c r="Q189" s="35">
        <f t="shared" si="56"/>
        <v>0.94888802184939525</v>
      </c>
      <c r="R189" s="20">
        <v>2563</v>
      </c>
      <c r="S189" s="27">
        <f t="shared" si="101"/>
        <v>131</v>
      </c>
      <c r="T189" s="20">
        <v>2432</v>
      </c>
      <c r="U189" s="20">
        <v>2324</v>
      </c>
      <c r="V189" s="20">
        <f t="shared" si="102"/>
        <v>108</v>
      </c>
      <c r="W189" s="20"/>
      <c r="X189" s="20"/>
      <c r="Y189" s="46">
        <v>2008</v>
      </c>
      <c r="Z189" s="47" t="s">
        <v>41</v>
      </c>
      <c r="AA189" s="35">
        <f t="shared" si="59"/>
        <v>0.85789473684210527</v>
      </c>
      <c r="AB189" s="35">
        <f t="shared" si="60"/>
        <v>0.92613636363636365</v>
      </c>
      <c r="AC189" s="35">
        <f t="shared" si="61"/>
        <v>0.9263157894736842</v>
      </c>
      <c r="AD189" s="20">
        <v>1330</v>
      </c>
      <c r="AE189" s="27">
        <f t="shared" si="103"/>
        <v>98</v>
      </c>
      <c r="AF189" s="20">
        <v>1232</v>
      </c>
      <c r="AG189" s="20">
        <v>1141</v>
      </c>
      <c r="AH189" s="20">
        <f t="shared" si="104"/>
        <v>91</v>
      </c>
      <c r="AI189" s="20"/>
      <c r="AJ189" s="20"/>
      <c r="AK189" s="46">
        <v>2008</v>
      </c>
      <c r="AL189" s="47" t="s">
        <v>41</v>
      </c>
      <c r="AM189" s="35">
        <f t="shared" si="64"/>
        <v>0.97916666666666663</v>
      </c>
      <c r="AN189" s="35">
        <f t="shared" si="65"/>
        <v>0.97916666666666663</v>
      </c>
      <c r="AO189" s="35">
        <f t="shared" si="66"/>
        <v>1</v>
      </c>
      <c r="AP189" s="20">
        <v>240</v>
      </c>
      <c r="AQ189" s="27">
        <f t="shared" si="105"/>
        <v>0</v>
      </c>
      <c r="AR189" s="20">
        <v>240</v>
      </c>
      <c r="AS189" s="20">
        <v>235</v>
      </c>
      <c r="AT189" s="20">
        <f t="shared" si="106"/>
        <v>5</v>
      </c>
      <c r="AU189" s="20"/>
      <c r="AV189" s="20"/>
      <c r="AW189" s="46"/>
      <c r="AX189" s="47"/>
      <c r="AY189" s="35"/>
      <c r="AZ189" s="35"/>
      <c r="BA189" s="35"/>
    </row>
    <row r="190" spans="1:53" s="29" customFormat="1" ht="12.75">
      <c r="A190" s="45">
        <v>2008</v>
      </c>
      <c r="B190" s="48" t="s">
        <v>42</v>
      </c>
      <c r="C190" s="35">
        <f t="shared" si="46"/>
        <v>0.93720712277413309</v>
      </c>
      <c r="D190" s="35">
        <f t="shared" si="47"/>
        <v>0.95397090388743144</v>
      </c>
      <c r="E190" s="35">
        <f t="shared" si="48"/>
        <v>0.98242736644798501</v>
      </c>
      <c r="F190" s="92">
        <f t="shared" si="96"/>
        <v>4268</v>
      </c>
      <c r="G190" s="27">
        <f t="shared" si="97"/>
        <v>75</v>
      </c>
      <c r="H190" s="92">
        <f t="shared" si="98"/>
        <v>4193</v>
      </c>
      <c r="I190" s="92">
        <f t="shared" si="99"/>
        <v>4000</v>
      </c>
      <c r="J190" s="27">
        <f t="shared" si="100"/>
        <v>193</v>
      </c>
      <c r="K190" s="27"/>
      <c r="L190" s="27"/>
      <c r="M190" s="45">
        <v>2008</v>
      </c>
      <c r="N190" s="48" t="s">
        <v>42</v>
      </c>
      <c r="O190" s="35">
        <f t="shared" si="54"/>
        <v>0.94480151228733456</v>
      </c>
      <c r="P190" s="35">
        <f t="shared" si="55"/>
        <v>0.96004610065309259</v>
      </c>
      <c r="Q190" s="35">
        <f t="shared" si="56"/>
        <v>0.98412098298676753</v>
      </c>
      <c r="R190" s="20">
        <v>2645</v>
      </c>
      <c r="S190" s="27">
        <f t="shared" si="101"/>
        <v>42</v>
      </c>
      <c r="T190" s="20">
        <v>2603</v>
      </c>
      <c r="U190" s="20">
        <v>2499</v>
      </c>
      <c r="V190" s="20">
        <f t="shared" si="102"/>
        <v>104</v>
      </c>
      <c r="W190" s="20"/>
      <c r="X190" s="20"/>
      <c r="Y190" s="45">
        <v>2008</v>
      </c>
      <c r="Z190" s="48" t="s">
        <v>42</v>
      </c>
      <c r="AA190" s="35">
        <f t="shared" si="59"/>
        <v>0.91272727272727272</v>
      </c>
      <c r="AB190" s="35">
        <f t="shared" si="60"/>
        <v>0.93517138599105809</v>
      </c>
      <c r="AC190" s="35">
        <f t="shared" si="61"/>
        <v>0.97599999999999998</v>
      </c>
      <c r="AD190" s="20">
        <v>1375</v>
      </c>
      <c r="AE190" s="27">
        <f t="shared" si="103"/>
        <v>33</v>
      </c>
      <c r="AF190" s="20">
        <v>1342</v>
      </c>
      <c r="AG190" s="20">
        <v>1255</v>
      </c>
      <c r="AH190" s="20">
        <f t="shared" si="104"/>
        <v>87</v>
      </c>
      <c r="AI190" s="20"/>
      <c r="AJ190" s="20"/>
      <c r="AK190" s="45">
        <v>2008</v>
      </c>
      <c r="AL190" s="48" t="s">
        <v>42</v>
      </c>
      <c r="AM190" s="35">
        <f t="shared" si="64"/>
        <v>0.99193548387096775</v>
      </c>
      <c r="AN190" s="35">
        <f t="shared" si="65"/>
        <v>0.99193548387096775</v>
      </c>
      <c r="AO190" s="35">
        <f t="shared" si="66"/>
        <v>1</v>
      </c>
      <c r="AP190" s="20">
        <v>248</v>
      </c>
      <c r="AQ190" s="27">
        <f t="shared" si="105"/>
        <v>0</v>
      </c>
      <c r="AR190" s="20">
        <v>248</v>
      </c>
      <c r="AS190" s="20">
        <v>246</v>
      </c>
      <c r="AT190" s="20">
        <f t="shared" si="106"/>
        <v>2</v>
      </c>
      <c r="AU190" s="20"/>
      <c r="AV190" s="20"/>
      <c r="AW190" s="45"/>
      <c r="AX190" s="48"/>
      <c r="AY190" s="35"/>
      <c r="AZ190" s="35"/>
      <c r="BA190" s="35"/>
    </row>
    <row r="191" spans="1:53" s="29" customFormat="1" ht="12.75">
      <c r="A191" s="46">
        <v>2008</v>
      </c>
      <c r="B191" s="47" t="s">
        <v>43</v>
      </c>
      <c r="C191" s="35">
        <f t="shared" si="46"/>
        <v>0.94206426484907502</v>
      </c>
      <c r="D191" s="35">
        <f t="shared" si="47"/>
        <v>0.9598214285714286</v>
      </c>
      <c r="E191" s="35">
        <f t="shared" si="48"/>
        <v>0.98149951314508277</v>
      </c>
      <c r="F191" s="92">
        <f t="shared" si="96"/>
        <v>4108</v>
      </c>
      <c r="G191" s="27">
        <f t="shared" si="97"/>
        <v>76</v>
      </c>
      <c r="H191" s="92">
        <f t="shared" si="98"/>
        <v>4032</v>
      </c>
      <c r="I191" s="92">
        <f t="shared" si="99"/>
        <v>3870</v>
      </c>
      <c r="J191" s="27">
        <f t="shared" si="100"/>
        <v>162</v>
      </c>
      <c r="K191" s="27"/>
      <c r="L191" s="27"/>
      <c r="M191" s="46">
        <v>2008</v>
      </c>
      <c r="N191" s="47" t="s">
        <v>43</v>
      </c>
      <c r="O191" s="35">
        <f t="shared" si="54"/>
        <v>0.94649881982690798</v>
      </c>
      <c r="P191" s="35">
        <f t="shared" si="55"/>
        <v>0.96201519392243107</v>
      </c>
      <c r="Q191" s="35">
        <f t="shared" si="56"/>
        <v>0.9838709677419355</v>
      </c>
      <c r="R191" s="20">
        <v>2542</v>
      </c>
      <c r="S191" s="27">
        <f t="shared" si="101"/>
        <v>41</v>
      </c>
      <c r="T191" s="20">
        <v>2501</v>
      </c>
      <c r="U191" s="20">
        <v>2406</v>
      </c>
      <c r="V191" s="20">
        <f t="shared" si="102"/>
        <v>95</v>
      </c>
      <c r="W191" s="20"/>
      <c r="X191" s="20"/>
      <c r="Y191" s="46">
        <v>2008</v>
      </c>
      <c r="Z191" s="47" t="s">
        <v>43</v>
      </c>
      <c r="AA191" s="35">
        <f t="shared" si="59"/>
        <v>0.93363499245852188</v>
      </c>
      <c r="AB191" s="35">
        <f t="shared" si="60"/>
        <v>0.95157571099154492</v>
      </c>
      <c r="AC191" s="35">
        <f t="shared" si="61"/>
        <v>0.9811463046757164</v>
      </c>
      <c r="AD191" s="20">
        <v>1326</v>
      </c>
      <c r="AE191" s="27">
        <f t="shared" si="103"/>
        <v>25</v>
      </c>
      <c r="AF191" s="20">
        <v>1301</v>
      </c>
      <c r="AG191" s="20">
        <v>1238</v>
      </c>
      <c r="AH191" s="20">
        <f t="shared" si="104"/>
        <v>63</v>
      </c>
      <c r="AI191" s="20"/>
      <c r="AJ191" s="20"/>
      <c r="AK191" s="46">
        <v>2008</v>
      </c>
      <c r="AL191" s="47" t="s">
        <v>43</v>
      </c>
      <c r="AM191" s="35">
        <f t="shared" si="64"/>
        <v>0.94166666666666665</v>
      </c>
      <c r="AN191" s="35">
        <f t="shared" si="65"/>
        <v>0.9826086956521739</v>
      </c>
      <c r="AO191" s="35">
        <f t="shared" si="66"/>
        <v>0.95833333333333337</v>
      </c>
      <c r="AP191" s="20">
        <v>240</v>
      </c>
      <c r="AQ191" s="27">
        <f t="shared" si="105"/>
        <v>10</v>
      </c>
      <c r="AR191" s="20">
        <v>230</v>
      </c>
      <c r="AS191" s="20">
        <v>226</v>
      </c>
      <c r="AT191" s="20">
        <f t="shared" si="106"/>
        <v>4</v>
      </c>
      <c r="AU191" s="20"/>
      <c r="AV191" s="20"/>
      <c r="AW191" s="46"/>
      <c r="AX191" s="47"/>
      <c r="AY191" s="35"/>
      <c r="AZ191" s="35"/>
      <c r="BA191" s="35"/>
    </row>
    <row r="192" spans="1:53" s="29" customFormat="1" ht="12.75">
      <c r="A192" s="45">
        <v>2008</v>
      </c>
      <c r="B192" s="48" t="s">
        <v>44</v>
      </c>
      <c r="C192" s="35">
        <f t="shared" si="46"/>
        <v>0.9179497996203333</v>
      </c>
      <c r="D192" s="35">
        <f t="shared" si="47"/>
        <v>0.93894282632146708</v>
      </c>
      <c r="E192" s="35">
        <f t="shared" si="48"/>
        <v>0.97764184771145324</v>
      </c>
      <c r="F192" s="92">
        <f t="shared" si="96"/>
        <v>4741</v>
      </c>
      <c r="G192" s="27">
        <f t="shared" si="97"/>
        <v>106</v>
      </c>
      <c r="H192" s="92">
        <f t="shared" si="98"/>
        <v>4635</v>
      </c>
      <c r="I192" s="92">
        <f t="shared" si="99"/>
        <v>4352</v>
      </c>
      <c r="J192" s="27">
        <f t="shared" si="100"/>
        <v>283</v>
      </c>
      <c r="K192" s="27"/>
      <c r="L192" s="27"/>
      <c r="M192" s="45">
        <v>2008</v>
      </c>
      <c r="N192" s="48" t="s">
        <v>44</v>
      </c>
      <c r="O192" s="35">
        <f t="shared" si="54"/>
        <v>0.93003533568904595</v>
      </c>
      <c r="P192" s="35">
        <f t="shared" si="55"/>
        <v>0.94676258992805751</v>
      </c>
      <c r="Q192" s="35">
        <f t="shared" si="56"/>
        <v>0.98233215547703179</v>
      </c>
      <c r="R192" s="20">
        <v>2830</v>
      </c>
      <c r="S192" s="27">
        <f t="shared" si="101"/>
        <v>50</v>
      </c>
      <c r="T192" s="20">
        <v>2780</v>
      </c>
      <c r="U192" s="20">
        <v>2632</v>
      </c>
      <c r="V192" s="20">
        <f t="shared" si="102"/>
        <v>148</v>
      </c>
      <c r="W192" s="20"/>
      <c r="X192" s="20"/>
      <c r="Y192" s="45">
        <v>2008</v>
      </c>
      <c r="Z192" s="48" t="s">
        <v>44</v>
      </c>
      <c r="AA192" s="35">
        <f t="shared" si="59"/>
        <v>0.89147762109135498</v>
      </c>
      <c r="AB192" s="35">
        <f t="shared" si="60"/>
        <v>0.92200380469245402</v>
      </c>
      <c r="AC192" s="35">
        <f t="shared" si="61"/>
        <v>0.9668914776210914</v>
      </c>
      <c r="AD192" s="20">
        <v>1631</v>
      </c>
      <c r="AE192" s="27">
        <f t="shared" si="103"/>
        <v>54</v>
      </c>
      <c r="AF192" s="20">
        <v>1577</v>
      </c>
      <c r="AG192" s="20">
        <v>1454</v>
      </c>
      <c r="AH192" s="20">
        <f t="shared" si="104"/>
        <v>123</v>
      </c>
      <c r="AI192" s="20"/>
      <c r="AJ192" s="20"/>
      <c r="AK192" s="45">
        <v>2008</v>
      </c>
      <c r="AL192" s="48" t="s">
        <v>44</v>
      </c>
      <c r="AM192" s="35">
        <f t="shared" si="64"/>
        <v>0.95</v>
      </c>
      <c r="AN192" s="35">
        <f t="shared" si="65"/>
        <v>0.95683453237410077</v>
      </c>
      <c r="AO192" s="35">
        <f t="shared" si="66"/>
        <v>0.99285714285714288</v>
      </c>
      <c r="AP192" s="20">
        <v>280</v>
      </c>
      <c r="AQ192" s="27">
        <f t="shared" si="105"/>
        <v>2</v>
      </c>
      <c r="AR192" s="20">
        <v>278</v>
      </c>
      <c r="AS192" s="20">
        <v>266</v>
      </c>
      <c r="AT192" s="20">
        <f t="shared" si="106"/>
        <v>12</v>
      </c>
      <c r="AU192" s="20"/>
      <c r="AV192" s="20"/>
      <c r="AW192" s="45"/>
      <c r="AX192" s="48"/>
      <c r="AY192" s="35"/>
      <c r="AZ192" s="35"/>
      <c r="BA192" s="35"/>
    </row>
    <row r="193" spans="1:53" s="29" customFormat="1" ht="12.75">
      <c r="A193" s="46">
        <v>2008</v>
      </c>
      <c r="B193" s="47" t="s">
        <v>45</v>
      </c>
      <c r="C193" s="35">
        <f t="shared" si="46"/>
        <v>0.91860465116279066</v>
      </c>
      <c r="D193" s="35">
        <f t="shared" si="47"/>
        <v>0.94429028815368199</v>
      </c>
      <c r="E193" s="35">
        <f t="shared" si="48"/>
        <v>0.9727990033222591</v>
      </c>
      <c r="F193" s="92">
        <f t="shared" si="96"/>
        <v>4816</v>
      </c>
      <c r="G193" s="27">
        <f t="shared" si="97"/>
        <v>131</v>
      </c>
      <c r="H193" s="92">
        <f t="shared" si="98"/>
        <v>4685</v>
      </c>
      <c r="I193" s="92">
        <f t="shared" si="99"/>
        <v>4424</v>
      </c>
      <c r="J193" s="27">
        <f t="shared" si="100"/>
        <v>261</v>
      </c>
      <c r="K193" s="27"/>
      <c r="L193" s="27"/>
      <c r="M193" s="46">
        <v>2008</v>
      </c>
      <c r="N193" s="47" t="s">
        <v>45</v>
      </c>
      <c r="O193" s="35">
        <f t="shared" si="54"/>
        <v>0.93884007029876981</v>
      </c>
      <c r="P193" s="35">
        <f t="shared" si="55"/>
        <v>0.95700465782873523</v>
      </c>
      <c r="Q193" s="35">
        <f t="shared" si="56"/>
        <v>0.98101933216168713</v>
      </c>
      <c r="R193" s="20">
        <v>2845</v>
      </c>
      <c r="S193" s="27">
        <f t="shared" si="101"/>
        <v>54</v>
      </c>
      <c r="T193" s="20">
        <v>2791</v>
      </c>
      <c r="U193" s="20">
        <v>2671</v>
      </c>
      <c r="V193" s="20">
        <f t="shared" si="102"/>
        <v>120</v>
      </c>
      <c r="W193" s="20"/>
      <c r="X193" s="20"/>
      <c r="Y193" s="46">
        <v>2008</v>
      </c>
      <c r="Z193" s="47" t="s">
        <v>45</v>
      </c>
      <c r="AA193" s="35">
        <f t="shared" si="59"/>
        <v>0.87285629804849196</v>
      </c>
      <c r="AB193" s="35">
        <f t="shared" si="60"/>
        <v>0.9139318885448916</v>
      </c>
      <c r="AC193" s="35">
        <f t="shared" si="61"/>
        <v>0.9550561797752809</v>
      </c>
      <c r="AD193" s="20">
        <v>1691</v>
      </c>
      <c r="AE193" s="27">
        <f t="shared" si="103"/>
        <v>76</v>
      </c>
      <c r="AF193" s="20">
        <v>1615</v>
      </c>
      <c r="AG193" s="20">
        <v>1476</v>
      </c>
      <c r="AH193" s="20">
        <f t="shared" si="104"/>
        <v>139</v>
      </c>
      <c r="AI193" s="20"/>
      <c r="AJ193" s="20"/>
      <c r="AK193" s="46">
        <v>2008</v>
      </c>
      <c r="AL193" s="47" t="s">
        <v>45</v>
      </c>
      <c r="AM193" s="35">
        <f t="shared" si="64"/>
        <v>0.98928571428571432</v>
      </c>
      <c r="AN193" s="35">
        <f t="shared" si="65"/>
        <v>0.99283154121863804</v>
      </c>
      <c r="AO193" s="35">
        <f t="shared" si="66"/>
        <v>0.99642857142857144</v>
      </c>
      <c r="AP193" s="20">
        <v>280</v>
      </c>
      <c r="AQ193" s="27">
        <f t="shared" si="105"/>
        <v>1</v>
      </c>
      <c r="AR193" s="20">
        <v>279</v>
      </c>
      <c r="AS193" s="20">
        <v>277</v>
      </c>
      <c r="AT193" s="20">
        <f t="shared" si="106"/>
        <v>2</v>
      </c>
      <c r="AU193" s="20"/>
      <c r="AV193" s="20"/>
      <c r="AW193" s="46"/>
      <c r="AX193" s="47"/>
      <c r="AY193" s="35"/>
      <c r="AZ193" s="35"/>
      <c r="BA193" s="35"/>
    </row>
    <row r="194" spans="1:53" s="29" customFormat="1" ht="12.75">
      <c r="A194" s="45">
        <v>2008</v>
      </c>
      <c r="B194" s="48" t="s">
        <v>46</v>
      </c>
      <c r="C194" s="35">
        <f t="shared" si="46"/>
        <v>0.87714467273882657</v>
      </c>
      <c r="D194" s="35">
        <f t="shared" si="47"/>
        <v>0.91777482269503541</v>
      </c>
      <c r="E194" s="35">
        <f t="shared" si="48"/>
        <v>0.9557297182800254</v>
      </c>
      <c r="F194" s="92">
        <f t="shared" si="96"/>
        <v>4721</v>
      </c>
      <c r="G194" s="27">
        <f t="shared" si="97"/>
        <v>209</v>
      </c>
      <c r="H194" s="92">
        <f t="shared" si="98"/>
        <v>4512</v>
      </c>
      <c r="I194" s="92">
        <f t="shared" si="99"/>
        <v>4141</v>
      </c>
      <c r="J194" s="27">
        <f t="shared" si="100"/>
        <v>371</v>
      </c>
      <c r="K194" s="27"/>
      <c r="L194" s="27"/>
      <c r="M194" s="45">
        <v>2008</v>
      </c>
      <c r="N194" s="48" t="s">
        <v>46</v>
      </c>
      <c r="O194" s="35">
        <f t="shared" si="54"/>
        <v>0.88634739099356685</v>
      </c>
      <c r="P194" s="35">
        <f t="shared" si="55"/>
        <v>0.92296241161146264</v>
      </c>
      <c r="Q194" s="35">
        <f t="shared" si="56"/>
        <v>0.96032880629020734</v>
      </c>
      <c r="R194" s="20">
        <v>2798</v>
      </c>
      <c r="S194" s="27">
        <f t="shared" si="101"/>
        <v>111</v>
      </c>
      <c r="T194" s="20">
        <v>2687</v>
      </c>
      <c r="U194" s="20">
        <v>2480</v>
      </c>
      <c r="V194" s="20">
        <f t="shared" si="102"/>
        <v>207</v>
      </c>
      <c r="W194" s="20"/>
      <c r="X194" s="20"/>
      <c r="Y194" s="45">
        <v>2008</v>
      </c>
      <c r="Z194" s="48" t="s">
        <v>46</v>
      </c>
      <c r="AA194" s="35">
        <f t="shared" si="59"/>
        <v>0.84713763702801459</v>
      </c>
      <c r="AB194" s="35">
        <f t="shared" si="60"/>
        <v>0.89568576947842882</v>
      </c>
      <c r="AC194" s="35">
        <f t="shared" si="61"/>
        <v>0.94579780755176612</v>
      </c>
      <c r="AD194" s="20">
        <v>1642</v>
      </c>
      <c r="AE194" s="27">
        <f t="shared" si="103"/>
        <v>89</v>
      </c>
      <c r="AF194" s="20">
        <v>1553</v>
      </c>
      <c r="AG194" s="20">
        <v>1391</v>
      </c>
      <c r="AH194" s="20">
        <f t="shared" si="104"/>
        <v>162</v>
      </c>
      <c r="AI194" s="20"/>
      <c r="AJ194" s="20"/>
      <c r="AK194" s="45">
        <v>2008</v>
      </c>
      <c r="AL194" s="48" t="s">
        <v>46</v>
      </c>
      <c r="AM194" s="35">
        <f t="shared" si="64"/>
        <v>0.96085409252669041</v>
      </c>
      <c r="AN194" s="35">
        <f t="shared" si="65"/>
        <v>0.99264705882352944</v>
      </c>
      <c r="AO194" s="35">
        <f t="shared" si="66"/>
        <v>0.96797153024911031</v>
      </c>
      <c r="AP194" s="20">
        <v>281</v>
      </c>
      <c r="AQ194" s="27">
        <f t="shared" si="105"/>
        <v>9</v>
      </c>
      <c r="AR194" s="20">
        <v>272</v>
      </c>
      <c r="AS194" s="20">
        <v>270</v>
      </c>
      <c r="AT194" s="20">
        <f t="shared" si="106"/>
        <v>2</v>
      </c>
      <c r="AU194" s="20"/>
      <c r="AV194" s="20"/>
      <c r="AW194" s="45"/>
      <c r="AX194" s="48"/>
      <c r="AY194" s="35"/>
      <c r="AZ194" s="35"/>
      <c r="BA194" s="35"/>
    </row>
    <row r="195" spans="1:53" s="29" customFormat="1" ht="12.75">
      <c r="A195" s="46">
        <v>2008</v>
      </c>
      <c r="B195" s="47" t="s">
        <v>47</v>
      </c>
      <c r="C195" s="35">
        <f t="shared" si="46"/>
        <v>0.91180712961055022</v>
      </c>
      <c r="D195" s="35">
        <f t="shared" si="47"/>
        <v>0.93059936908517349</v>
      </c>
      <c r="E195" s="35">
        <f t="shared" si="48"/>
        <v>0.97980630537811664</v>
      </c>
      <c r="F195" s="92">
        <f t="shared" si="96"/>
        <v>4853</v>
      </c>
      <c r="G195" s="27">
        <f t="shared" si="97"/>
        <v>98</v>
      </c>
      <c r="H195" s="92">
        <f t="shared" si="98"/>
        <v>4755</v>
      </c>
      <c r="I195" s="92">
        <f t="shared" si="99"/>
        <v>4425</v>
      </c>
      <c r="J195" s="27">
        <f t="shared" si="100"/>
        <v>330</v>
      </c>
      <c r="K195" s="27"/>
      <c r="L195" s="27"/>
      <c r="M195" s="46">
        <v>2008</v>
      </c>
      <c r="N195" s="47" t="s">
        <v>47</v>
      </c>
      <c r="O195" s="35">
        <f t="shared" si="54"/>
        <v>0.92620953706926556</v>
      </c>
      <c r="P195" s="35">
        <f t="shared" si="55"/>
        <v>0.94161358811040341</v>
      </c>
      <c r="Q195" s="35">
        <f t="shared" si="56"/>
        <v>0.98364079359554468</v>
      </c>
      <c r="R195" s="20">
        <v>2873</v>
      </c>
      <c r="S195" s="27">
        <f t="shared" si="101"/>
        <v>47</v>
      </c>
      <c r="T195" s="20">
        <v>2826</v>
      </c>
      <c r="U195" s="20">
        <v>2661</v>
      </c>
      <c r="V195" s="20">
        <f t="shared" si="102"/>
        <v>165</v>
      </c>
      <c r="W195" s="20"/>
      <c r="X195" s="20"/>
      <c r="Y195" s="46">
        <v>2008</v>
      </c>
      <c r="Z195" s="47" t="s">
        <v>47</v>
      </c>
      <c r="AA195" s="35">
        <f t="shared" si="59"/>
        <v>0.87300649734199642</v>
      </c>
      <c r="AB195" s="35">
        <f t="shared" si="60"/>
        <v>0.90012180267965891</v>
      </c>
      <c r="AC195" s="35">
        <f t="shared" si="61"/>
        <v>0.96987595983461317</v>
      </c>
      <c r="AD195" s="20">
        <v>1693</v>
      </c>
      <c r="AE195" s="27">
        <f t="shared" si="103"/>
        <v>51</v>
      </c>
      <c r="AF195" s="20">
        <v>1642</v>
      </c>
      <c r="AG195" s="20">
        <v>1478</v>
      </c>
      <c r="AH195" s="20">
        <f t="shared" si="104"/>
        <v>164</v>
      </c>
      <c r="AI195" s="20"/>
      <c r="AJ195" s="20"/>
      <c r="AK195" s="46">
        <v>2008</v>
      </c>
      <c r="AL195" s="47" t="s">
        <v>47</v>
      </c>
      <c r="AM195" s="35">
        <f t="shared" si="64"/>
        <v>0.99651567944250874</v>
      </c>
      <c r="AN195" s="35">
        <f t="shared" si="65"/>
        <v>0.99651567944250874</v>
      </c>
      <c r="AO195" s="35">
        <f t="shared" si="66"/>
        <v>1</v>
      </c>
      <c r="AP195" s="20">
        <v>287</v>
      </c>
      <c r="AQ195" s="27">
        <f t="shared" si="105"/>
        <v>0</v>
      </c>
      <c r="AR195" s="20">
        <v>287</v>
      </c>
      <c r="AS195" s="20">
        <v>286</v>
      </c>
      <c r="AT195" s="20">
        <f t="shared" si="106"/>
        <v>1</v>
      </c>
      <c r="AU195" s="20"/>
      <c r="AV195" s="20"/>
      <c r="AW195" s="46"/>
      <c r="AX195" s="47"/>
      <c r="AY195" s="35"/>
      <c r="AZ195" s="35"/>
      <c r="BA195" s="35"/>
    </row>
    <row r="196" spans="1:53" s="29" customFormat="1" ht="12.75">
      <c r="A196" s="45">
        <v>2008</v>
      </c>
      <c r="B196" s="48" t="s">
        <v>48</v>
      </c>
      <c r="C196" s="35">
        <f t="shared" si="46"/>
        <v>0.85784418356456782</v>
      </c>
      <c r="D196" s="35">
        <f t="shared" si="47"/>
        <v>0.89669790272199912</v>
      </c>
      <c r="E196" s="35">
        <f t="shared" si="48"/>
        <v>0.9566702241195304</v>
      </c>
      <c r="F196" s="92">
        <f t="shared" si="96"/>
        <v>4685</v>
      </c>
      <c r="G196" s="27">
        <f t="shared" si="97"/>
        <v>203</v>
      </c>
      <c r="H196" s="92">
        <f t="shared" si="98"/>
        <v>4482</v>
      </c>
      <c r="I196" s="92">
        <f t="shared" si="99"/>
        <v>4019</v>
      </c>
      <c r="J196" s="27">
        <f t="shared" si="100"/>
        <v>463</v>
      </c>
      <c r="K196" s="27"/>
      <c r="L196" s="27"/>
      <c r="M196" s="45">
        <v>2008</v>
      </c>
      <c r="N196" s="48" t="s">
        <v>48</v>
      </c>
      <c r="O196" s="35">
        <f t="shared" si="54"/>
        <v>0.88303249097472925</v>
      </c>
      <c r="P196" s="35">
        <f t="shared" si="55"/>
        <v>0.91541916167664672</v>
      </c>
      <c r="Q196" s="35">
        <f t="shared" si="56"/>
        <v>0.9646209386281589</v>
      </c>
      <c r="R196" s="20">
        <v>2770</v>
      </c>
      <c r="S196" s="27">
        <f t="shared" si="101"/>
        <v>98</v>
      </c>
      <c r="T196" s="20">
        <v>2672</v>
      </c>
      <c r="U196" s="20">
        <v>2446</v>
      </c>
      <c r="V196" s="20">
        <f t="shared" si="102"/>
        <v>226</v>
      </c>
      <c r="W196" s="20"/>
      <c r="X196" s="20"/>
      <c r="Y196" s="45">
        <v>2008</v>
      </c>
      <c r="Z196" s="48" t="s">
        <v>48</v>
      </c>
      <c r="AA196" s="35">
        <f t="shared" si="59"/>
        <v>0.79695121951219516</v>
      </c>
      <c r="AB196" s="35">
        <f t="shared" si="60"/>
        <v>0.85146579804560263</v>
      </c>
      <c r="AC196" s="35">
        <f t="shared" si="61"/>
        <v>0.93597560975609762</v>
      </c>
      <c r="AD196" s="20">
        <v>1640</v>
      </c>
      <c r="AE196" s="27">
        <f t="shared" si="103"/>
        <v>105</v>
      </c>
      <c r="AF196" s="20">
        <v>1535</v>
      </c>
      <c r="AG196" s="20">
        <v>1307</v>
      </c>
      <c r="AH196" s="20">
        <f t="shared" si="104"/>
        <v>228</v>
      </c>
      <c r="AI196" s="20"/>
      <c r="AJ196" s="20"/>
      <c r="AK196" s="45">
        <v>2008</v>
      </c>
      <c r="AL196" s="48" t="s">
        <v>48</v>
      </c>
      <c r="AM196" s="35">
        <f t="shared" si="64"/>
        <v>0.96727272727272728</v>
      </c>
      <c r="AN196" s="35">
        <f t="shared" si="65"/>
        <v>0.96727272727272728</v>
      </c>
      <c r="AO196" s="35">
        <f t="shared" si="66"/>
        <v>1</v>
      </c>
      <c r="AP196" s="20">
        <v>275</v>
      </c>
      <c r="AQ196" s="27">
        <f t="shared" si="105"/>
        <v>0</v>
      </c>
      <c r="AR196" s="20">
        <v>275</v>
      </c>
      <c r="AS196" s="20">
        <v>266</v>
      </c>
      <c r="AT196" s="20">
        <f t="shared" si="106"/>
        <v>9</v>
      </c>
      <c r="AU196" s="20"/>
      <c r="AV196" s="20"/>
      <c r="AW196" s="45"/>
      <c r="AX196" s="48"/>
      <c r="AY196" s="35"/>
      <c r="AZ196" s="35"/>
      <c r="BA196" s="35"/>
    </row>
    <row r="197" spans="1:53" s="29" customFormat="1" ht="12.75">
      <c r="A197" s="46">
        <v>2008</v>
      </c>
      <c r="B197" s="47" t="s">
        <v>49</v>
      </c>
      <c r="C197" s="35">
        <f t="shared" si="46"/>
        <v>0.80373056994818648</v>
      </c>
      <c r="D197" s="35">
        <f t="shared" si="47"/>
        <v>0.86659217877094974</v>
      </c>
      <c r="E197" s="35">
        <f t="shared" si="48"/>
        <v>0.92746113989637302</v>
      </c>
      <c r="F197" s="92">
        <f t="shared" si="96"/>
        <v>4825</v>
      </c>
      <c r="G197" s="27">
        <f t="shared" si="97"/>
        <v>350</v>
      </c>
      <c r="H197" s="92">
        <f t="shared" si="98"/>
        <v>4475</v>
      </c>
      <c r="I197" s="92">
        <f t="shared" si="99"/>
        <v>3878</v>
      </c>
      <c r="J197" s="27">
        <f t="shared" si="100"/>
        <v>597</v>
      </c>
      <c r="K197" s="27"/>
      <c r="L197" s="27"/>
      <c r="M197" s="46">
        <v>2008</v>
      </c>
      <c r="N197" s="47" t="s">
        <v>49</v>
      </c>
      <c r="O197" s="35">
        <f t="shared" si="54"/>
        <v>0.84636969484391444</v>
      </c>
      <c r="P197" s="35">
        <f t="shared" si="55"/>
        <v>0.89007746219107342</v>
      </c>
      <c r="Q197" s="35">
        <f t="shared" si="56"/>
        <v>0.95089442300947036</v>
      </c>
      <c r="R197" s="20">
        <v>2851</v>
      </c>
      <c r="S197" s="27">
        <f t="shared" si="101"/>
        <v>140</v>
      </c>
      <c r="T197" s="20">
        <v>2711</v>
      </c>
      <c r="U197" s="20">
        <v>2413</v>
      </c>
      <c r="V197" s="20">
        <f t="shared" si="102"/>
        <v>298</v>
      </c>
      <c r="W197" s="20"/>
      <c r="X197" s="20"/>
      <c r="Y197" s="46">
        <v>2008</v>
      </c>
      <c r="Z197" s="47" t="s">
        <v>49</v>
      </c>
      <c r="AA197" s="35">
        <f t="shared" si="59"/>
        <v>0.77383066903493192</v>
      </c>
      <c r="AB197" s="35">
        <f t="shared" si="60"/>
        <v>0.817385866166354</v>
      </c>
      <c r="AC197" s="35">
        <f t="shared" si="61"/>
        <v>0.94671403197158077</v>
      </c>
      <c r="AD197" s="20">
        <v>1689</v>
      </c>
      <c r="AE197" s="27">
        <f t="shared" si="103"/>
        <v>90</v>
      </c>
      <c r="AF197" s="20">
        <v>1599</v>
      </c>
      <c r="AG197" s="20">
        <v>1307</v>
      </c>
      <c r="AH197" s="20">
        <f t="shared" si="104"/>
        <v>292</v>
      </c>
      <c r="AI197" s="20"/>
      <c r="AJ197" s="20"/>
      <c r="AK197" s="46">
        <v>2008</v>
      </c>
      <c r="AL197" s="47" t="s">
        <v>49</v>
      </c>
      <c r="AM197" s="35">
        <f t="shared" si="64"/>
        <v>0.55438596491228065</v>
      </c>
      <c r="AN197" s="35">
        <f t="shared" si="65"/>
        <v>0.95757575757575752</v>
      </c>
      <c r="AO197" s="35">
        <f t="shared" si="66"/>
        <v>0.57894736842105265</v>
      </c>
      <c r="AP197" s="20">
        <v>285</v>
      </c>
      <c r="AQ197" s="27">
        <f t="shared" si="105"/>
        <v>120</v>
      </c>
      <c r="AR197" s="20">
        <v>165</v>
      </c>
      <c r="AS197" s="20">
        <v>158</v>
      </c>
      <c r="AT197" s="20">
        <f t="shared" si="106"/>
        <v>7</v>
      </c>
      <c r="AU197" s="20"/>
      <c r="AV197" s="20"/>
      <c r="AW197" s="46"/>
      <c r="AX197" s="47"/>
      <c r="AY197" s="35"/>
      <c r="AZ197" s="35"/>
      <c r="BA197" s="35"/>
    </row>
    <row r="198" spans="1:53" s="29" customFormat="1" ht="12.75">
      <c r="A198" s="45">
        <v>2009</v>
      </c>
      <c r="B198" s="48" t="s">
        <v>38</v>
      </c>
      <c r="C198" s="35">
        <f t="shared" si="46"/>
        <v>0.82422116773261811</v>
      </c>
      <c r="D198" s="35">
        <f t="shared" si="47"/>
        <v>0.87341495408832537</v>
      </c>
      <c r="E198" s="35">
        <f t="shared" si="48"/>
        <v>0.94367650092840938</v>
      </c>
      <c r="F198" s="92">
        <f t="shared" ref="F198:F209" si="107">+R198+AD198+AP198</f>
        <v>4847</v>
      </c>
      <c r="G198" s="27">
        <f t="shared" ref="G198:G209" si="108">F198-H198</f>
        <v>273</v>
      </c>
      <c r="H198" s="92">
        <f t="shared" ref="H198:H209" si="109">+T198+AF198+AR198</f>
        <v>4574</v>
      </c>
      <c r="I198" s="92">
        <f t="shared" ref="I198:I209" si="110">+U198+AG198+AS198</f>
        <v>3995</v>
      </c>
      <c r="J198" s="27">
        <f t="shared" ref="J198:J209" si="111">H198-I198</f>
        <v>579</v>
      </c>
      <c r="K198" s="27"/>
      <c r="L198" s="27"/>
      <c r="M198" s="45">
        <v>2009</v>
      </c>
      <c r="N198" s="48" t="s">
        <v>38</v>
      </c>
      <c r="O198" s="35">
        <f t="shared" si="54"/>
        <v>0.84792465992326471</v>
      </c>
      <c r="P198" s="35">
        <f t="shared" si="55"/>
        <v>0.89440765268579836</v>
      </c>
      <c r="Q198" s="35">
        <f t="shared" si="56"/>
        <v>0.94802929891873033</v>
      </c>
      <c r="R198" s="20">
        <v>2867</v>
      </c>
      <c r="S198" s="27">
        <f t="shared" ref="S198:S209" si="112">R198-T198</f>
        <v>149</v>
      </c>
      <c r="T198" s="20">
        <v>2718</v>
      </c>
      <c r="U198" s="20">
        <v>2431</v>
      </c>
      <c r="V198" s="20">
        <f t="shared" ref="V198:V209" si="113">T198-U198</f>
        <v>287</v>
      </c>
      <c r="W198" s="20"/>
      <c r="X198" s="20"/>
      <c r="Y198" s="45">
        <v>2009</v>
      </c>
      <c r="Z198" s="48" t="s">
        <v>38</v>
      </c>
      <c r="AA198" s="35">
        <f t="shared" si="59"/>
        <v>0.77581120943952797</v>
      </c>
      <c r="AB198" s="35">
        <f t="shared" si="60"/>
        <v>0.82445141065830718</v>
      </c>
      <c r="AC198" s="35">
        <f t="shared" si="61"/>
        <v>0.94100294985250732</v>
      </c>
      <c r="AD198" s="20">
        <v>1695</v>
      </c>
      <c r="AE198" s="27">
        <f t="shared" ref="AE198:AE209" si="114">AD198-AF198</f>
        <v>100</v>
      </c>
      <c r="AF198" s="20">
        <v>1595</v>
      </c>
      <c r="AG198" s="20">
        <v>1315</v>
      </c>
      <c r="AH198" s="20">
        <f t="shared" ref="AH198:AH209" si="115">AF198-AG198</f>
        <v>280</v>
      </c>
      <c r="AI198" s="20"/>
      <c r="AJ198" s="20"/>
      <c r="AK198" s="45">
        <v>2009</v>
      </c>
      <c r="AL198" s="48" t="s">
        <v>38</v>
      </c>
      <c r="AM198" s="35">
        <f t="shared" si="64"/>
        <v>0.87368421052631584</v>
      </c>
      <c r="AN198" s="35">
        <f t="shared" si="65"/>
        <v>0.95402298850574707</v>
      </c>
      <c r="AO198" s="35">
        <f t="shared" si="66"/>
        <v>0.91578947368421049</v>
      </c>
      <c r="AP198" s="20">
        <v>285</v>
      </c>
      <c r="AQ198" s="27">
        <f t="shared" ref="AQ198:AQ209" si="116">AP198-AR198</f>
        <v>24</v>
      </c>
      <c r="AR198" s="20">
        <v>261</v>
      </c>
      <c r="AS198" s="20">
        <v>249</v>
      </c>
      <c r="AT198" s="20">
        <f t="shared" ref="AT198:AT209" si="117">AR198-AS198</f>
        <v>12</v>
      </c>
      <c r="AU198" s="20"/>
      <c r="AV198" s="20"/>
      <c r="AW198" s="45"/>
      <c r="AX198" s="48"/>
      <c r="AY198" s="35"/>
      <c r="AZ198" s="35"/>
      <c r="BA198" s="35"/>
    </row>
    <row r="199" spans="1:53" s="29" customFormat="1" ht="12.75">
      <c r="A199" s="46">
        <v>2009</v>
      </c>
      <c r="B199" s="47" t="s">
        <v>39</v>
      </c>
      <c r="C199" s="35">
        <f t="shared" ref="C199:C262" si="118">I199/F199</f>
        <v>0.81710646041856227</v>
      </c>
      <c r="D199" s="35">
        <f t="shared" ref="D199:D262" si="119">I199/H199</f>
        <v>0.86658624849215926</v>
      </c>
      <c r="E199" s="35">
        <f t="shared" ref="E199:E262" si="120">H199/F199</f>
        <v>0.94290263876251135</v>
      </c>
      <c r="F199" s="92">
        <f t="shared" si="107"/>
        <v>4396</v>
      </c>
      <c r="G199" s="27">
        <f t="shared" si="108"/>
        <v>251</v>
      </c>
      <c r="H199" s="92">
        <f t="shared" si="109"/>
        <v>4145</v>
      </c>
      <c r="I199" s="92">
        <f t="shared" si="110"/>
        <v>3592</v>
      </c>
      <c r="J199" s="27">
        <f t="shared" si="111"/>
        <v>553</v>
      </c>
      <c r="K199" s="27"/>
      <c r="L199" s="27"/>
      <c r="M199" s="46">
        <v>2009</v>
      </c>
      <c r="N199" s="47" t="s">
        <v>39</v>
      </c>
      <c r="O199" s="35">
        <f t="shared" ref="O199:O262" si="121">U199/R199</f>
        <v>0.88556067588325649</v>
      </c>
      <c r="P199" s="35">
        <f t="shared" ref="P199:P262" si="122">U199/T199</f>
        <v>0.91799363057324845</v>
      </c>
      <c r="Q199" s="35">
        <f t="shared" ref="Q199:Q262" si="123">T199/R199</f>
        <v>0.96466973886328722</v>
      </c>
      <c r="R199" s="20">
        <v>2604</v>
      </c>
      <c r="S199" s="27">
        <f t="shared" si="112"/>
        <v>92</v>
      </c>
      <c r="T199" s="20">
        <v>2512</v>
      </c>
      <c r="U199" s="20">
        <v>2306</v>
      </c>
      <c r="V199" s="20">
        <f t="shared" si="113"/>
        <v>206</v>
      </c>
      <c r="W199" s="20"/>
      <c r="X199" s="20"/>
      <c r="Y199" s="46">
        <v>2009</v>
      </c>
      <c r="Z199" s="47" t="s">
        <v>39</v>
      </c>
      <c r="AA199" s="35">
        <f t="shared" ref="AA199:AA262" si="124">AG199/AD199</f>
        <v>0.70039164490861616</v>
      </c>
      <c r="AB199" s="35">
        <f t="shared" ref="AB199:AB262" si="125">AG199/AF199</f>
        <v>0.7588401697312589</v>
      </c>
      <c r="AC199" s="35">
        <f t="shared" ref="AC199:AC262" si="126">AF199/AD199</f>
        <v>0.92297650130548303</v>
      </c>
      <c r="AD199" s="20">
        <v>1532</v>
      </c>
      <c r="AE199" s="27">
        <f t="shared" si="114"/>
        <v>118</v>
      </c>
      <c r="AF199" s="20">
        <v>1414</v>
      </c>
      <c r="AG199" s="20">
        <v>1073</v>
      </c>
      <c r="AH199" s="20">
        <f t="shared" si="115"/>
        <v>341</v>
      </c>
      <c r="AI199" s="20"/>
      <c r="AJ199" s="20"/>
      <c r="AK199" s="46">
        <v>2009</v>
      </c>
      <c r="AL199" s="47" t="s">
        <v>39</v>
      </c>
      <c r="AM199" s="35">
        <f t="shared" ref="AM199:AM262" si="127">AS199/AP199</f>
        <v>0.81923076923076921</v>
      </c>
      <c r="AN199" s="35">
        <f t="shared" ref="AN199:AN262" si="128">AS199/AR199</f>
        <v>0.9726027397260274</v>
      </c>
      <c r="AO199" s="35">
        <f t="shared" ref="AO199:AO262" si="129">AR199/AP199</f>
        <v>0.84230769230769231</v>
      </c>
      <c r="AP199" s="20">
        <v>260</v>
      </c>
      <c r="AQ199" s="27">
        <f t="shared" si="116"/>
        <v>41</v>
      </c>
      <c r="AR199" s="20">
        <v>219</v>
      </c>
      <c r="AS199" s="20">
        <v>213</v>
      </c>
      <c r="AT199" s="20">
        <f t="shared" si="117"/>
        <v>6</v>
      </c>
      <c r="AU199" s="20"/>
      <c r="AV199" s="20"/>
      <c r="AW199" s="46"/>
      <c r="AX199" s="47"/>
      <c r="AY199" s="35"/>
      <c r="AZ199" s="35"/>
      <c r="BA199" s="35"/>
    </row>
    <row r="200" spans="1:53" s="29" customFormat="1" ht="12.75">
      <c r="A200" s="45">
        <v>2009</v>
      </c>
      <c r="B200" s="48" t="s">
        <v>40</v>
      </c>
      <c r="C200" s="35">
        <f t="shared" si="118"/>
        <v>0.73984245439469321</v>
      </c>
      <c r="D200" s="35">
        <f t="shared" si="119"/>
        <v>0.77401865105183254</v>
      </c>
      <c r="E200" s="35">
        <f t="shared" si="120"/>
        <v>0.9558457711442786</v>
      </c>
      <c r="F200" s="92">
        <f t="shared" si="107"/>
        <v>4824</v>
      </c>
      <c r="G200" s="27">
        <f t="shared" si="108"/>
        <v>213</v>
      </c>
      <c r="H200" s="92">
        <f t="shared" si="109"/>
        <v>4611</v>
      </c>
      <c r="I200" s="92">
        <f t="shared" si="110"/>
        <v>3569</v>
      </c>
      <c r="J200" s="27">
        <f t="shared" si="111"/>
        <v>1042</v>
      </c>
      <c r="K200" s="27"/>
      <c r="L200" s="27"/>
      <c r="M200" s="45">
        <v>2009</v>
      </c>
      <c r="N200" s="48" t="s">
        <v>40</v>
      </c>
      <c r="O200" s="35">
        <f t="shared" si="121"/>
        <v>0.80848824973693445</v>
      </c>
      <c r="P200" s="35">
        <f t="shared" si="122"/>
        <v>0.82973362131029516</v>
      </c>
      <c r="Q200" s="35">
        <f t="shared" si="123"/>
        <v>0.97439494914065239</v>
      </c>
      <c r="R200" s="20">
        <v>2851</v>
      </c>
      <c r="S200" s="27">
        <f t="shared" si="112"/>
        <v>73</v>
      </c>
      <c r="T200" s="20">
        <v>2778</v>
      </c>
      <c r="U200" s="20">
        <v>2305</v>
      </c>
      <c r="V200" s="20">
        <f t="shared" si="113"/>
        <v>473</v>
      </c>
      <c r="W200" s="20"/>
      <c r="X200" s="20"/>
      <c r="Y200" s="45">
        <v>2009</v>
      </c>
      <c r="Z200" s="48" t="s">
        <v>40</v>
      </c>
      <c r="AA200" s="35">
        <f t="shared" si="124"/>
        <v>0.58910597986974544</v>
      </c>
      <c r="AB200" s="35">
        <f t="shared" si="125"/>
        <v>0.63987138263665599</v>
      </c>
      <c r="AC200" s="35">
        <f t="shared" si="126"/>
        <v>0.9206631142687981</v>
      </c>
      <c r="AD200" s="20">
        <v>1689</v>
      </c>
      <c r="AE200" s="27">
        <f t="shared" si="114"/>
        <v>134</v>
      </c>
      <c r="AF200" s="20">
        <v>1555</v>
      </c>
      <c r="AG200" s="20">
        <v>995</v>
      </c>
      <c r="AH200" s="20">
        <f t="shared" si="115"/>
        <v>560</v>
      </c>
      <c r="AI200" s="20"/>
      <c r="AJ200" s="20"/>
      <c r="AK200" s="45">
        <v>2009</v>
      </c>
      <c r="AL200" s="48" t="s">
        <v>40</v>
      </c>
      <c r="AM200" s="35">
        <f t="shared" si="127"/>
        <v>0.94718309859154926</v>
      </c>
      <c r="AN200" s="35">
        <f t="shared" si="128"/>
        <v>0.96762589928057552</v>
      </c>
      <c r="AO200" s="35">
        <f t="shared" si="129"/>
        <v>0.97887323943661975</v>
      </c>
      <c r="AP200" s="20">
        <v>284</v>
      </c>
      <c r="AQ200" s="27">
        <f t="shared" si="116"/>
        <v>6</v>
      </c>
      <c r="AR200" s="20">
        <v>278</v>
      </c>
      <c r="AS200" s="20">
        <v>269</v>
      </c>
      <c r="AT200" s="20">
        <f t="shared" si="117"/>
        <v>9</v>
      </c>
      <c r="AU200" s="20"/>
      <c r="AV200" s="20"/>
      <c r="AW200" s="45"/>
      <c r="AX200" s="48"/>
      <c r="AY200" s="35"/>
      <c r="AZ200" s="35"/>
      <c r="BA200" s="35"/>
    </row>
    <row r="201" spans="1:53" s="29" customFormat="1" ht="12.75">
      <c r="A201" s="46">
        <v>2009</v>
      </c>
      <c r="B201" s="47" t="s">
        <v>41</v>
      </c>
      <c r="C201" s="35">
        <f t="shared" si="118"/>
        <v>0.77413127413127414</v>
      </c>
      <c r="D201" s="35">
        <f t="shared" si="119"/>
        <v>0.81119352663519895</v>
      </c>
      <c r="E201" s="35">
        <f t="shared" si="120"/>
        <v>0.95431145431145437</v>
      </c>
      <c r="F201" s="92">
        <f t="shared" si="107"/>
        <v>4662</v>
      </c>
      <c r="G201" s="27">
        <f t="shared" si="108"/>
        <v>213</v>
      </c>
      <c r="H201" s="92">
        <f t="shared" si="109"/>
        <v>4449</v>
      </c>
      <c r="I201" s="92">
        <f t="shared" si="110"/>
        <v>3609</v>
      </c>
      <c r="J201" s="27">
        <f t="shared" si="111"/>
        <v>840</v>
      </c>
      <c r="K201" s="27"/>
      <c r="L201" s="27"/>
      <c r="M201" s="46">
        <v>2009</v>
      </c>
      <c r="N201" s="47" t="s">
        <v>41</v>
      </c>
      <c r="O201" s="35">
        <f t="shared" si="121"/>
        <v>0.8155410312273057</v>
      </c>
      <c r="P201" s="35">
        <f t="shared" si="122"/>
        <v>0.84658876743309464</v>
      </c>
      <c r="Q201" s="35">
        <f t="shared" si="123"/>
        <v>0.96332607116920843</v>
      </c>
      <c r="R201" s="20">
        <v>2754</v>
      </c>
      <c r="S201" s="27">
        <f t="shared" si="112"/>
        <v>101</v>
      </c>
      <c r="T201" s="20">
        <v>2653</v>
      </c>
      <c r="U201" s="20">
        <v>2246</v>
      </c>
      <c r="V201" s="20">
        <f t="shared" si="113"/>
        <v>407</v>
      </c>
      <c r="W201" s="20"/>
      <c r="X201" s="20"/>
      <c r="Y201" s="46">
        <v>2009</v>
      </c>
      <c r="Z201" s="47" t="s">
        <v>41</v>
      </c>
      <c r="AA201" s="35">
        <f t="shared" si="124"/>
        <v>0.67625458996328025</v>
      </c>
      <c r="AB201" s="35">
        <f t="shared" si="125"/>
        <v>0.72127937336814618</v>
      </c>
      <c r="AC201" s="35">
        <f t="shared" si="126"/>
        <v>0.93757649938800491</v>
      </c>
      <c r="AD201" s="20">
        <v>1634</v>
      </c>
      <c r="AE201" s="27">
        <f t="shared" si="114"/>
        <v>102</v>
      </c>
      <c r="AF201" s="20">
        <v>1532</v>
      </c>
      <c r="AG201" s="20">
        <v>1105</v>
      </c>
      <c r="AH201" s="20">
        <f t="shared" si="115"/>
        <v>427</v>
      </c>
      <c r="AI201" s="20"/>
      <c r="AJ201" s="20"/>
      <c r="AK201" s="46">
        <v>2009</v>
      </c>
      <c r="AL201" s="47" t="s">
        <v>41</v>
      </c>
      <c r="AM201" s="35">
        <f t="shared" si="127"/>
        <v>0.94160583941605835</v>
      </c>
      <c r="AN201" s="35">
        <f t="shared" si="128"/>
        <v>0.97727272727272729</v>
      </c>
      <c r="AO201" s="35">
        <f t="shared" si="129"/>
        <v>0.96350364963503654</v>
      </c>
      <c r="AP201" s="20">
        <v>274</v>
      </c>
      <c r="AQ201" s="27">
        <f t="shared" si="116"/>
        <v>10</v>
      </c>
      <c r="AR201" s="20">
        <v>264</v>
      </c>
      <c r="AS201" s="20">
        <v>258</v>
      </c>
      <c r="AT201" s="20">
        <f t="shared" si="117"/>
        <v>6</v>
      </c>
      <c r="AU201" s="20"/>
      <c r="AV201" s="20"/>
      <c r="AW201" s="46"/>
      <c r="AX201" s="47"/>
      <c r="AY201" s="35"/>
      <c r="AZ201" s="35"/>
      <c r="BA201" s="35"/>
    </row>
    <row r="202" spans="1:53" s="29" customFormat="1" ht="12.75">
      <c r="A202" s="45">
        <v>2009</v>
      </c>
      <c r="B202" s="48" t="s">
        <v>42</v>
      </c>
      <c r="C202" s="35">
        <f t="shared" si="118"/>
        <v>0.7876383378575903</v>
      </c>
      <c r="D202" s="35">
        <f t="shared" si="119"/>
        <v>0.81804380828453693</v>
      </c>
      <c r="E202" s="35">
        <f t="shared" si="120"/>
        <v>0.96283148882856551</v>
      </c>
      <c r="F202" s="92">
        <f t="shared" si="107"/>
        <v>4789</v>
      </c>
      <c r="G202" s="27">
        <f t="shared" si="108"/>
        <v>178</v>
      </c>
      <c r="H202" s="92">
        <f t="shared" si="109"/>
        <v>4611</v>
      </c>
      <c r="I202" s="92">
        <f t="shared" si="110"/>
        <v>3772</v>
      </c>
      <c r="J202" s="27">
        <f t="shared" si="111"/>
        <v>839</v>
      </c>
      <c r="K202" s="27"/>
      <c r="L202" s="27"/>
      <c r="M202" s="45">
        <v>2009</v>
      </c>
      <c r="N202" s="48" t="s">
        <v>42</v>
      </c>
      <c r="O202" s="35">
        <f t="shared" si="121"/>
        <v>0.84980517180304638</v>
      </c>
      <c r="P202" s="35">
        <f t="shared" si="122"/>
        <v>0.87141300399564114</v>
      </c>
      <c r="Q202" s="35">
        <f t="shared" si="123"/>
        <v>0.97520368402408786</v>
      </c>
      <c r="R202" s="20">
        <v>2823</v>
      </c>
      <c r="S202" s="27">
        <f t="shared" si="112"/>
        <v>70</v>
      </c>
      <c r="T202" s="20">
        <v>2753</v>
      </c>
      <c r="U202" s="20">
        <v>2399</v>
      </c>
      <c r="V202" s="20">
        <f t="shared" si="113"/>
        <v>354</v>
      </c>
      <c r="W202" s="20"/>
      <c r="X202" s="20"/>
      <c r="Y202" s="45">
        <v>2009</v>
      </c>
      <c r="Z202" s="48" t="s">
        <v>42</v>
      </c>
      <c r="AA202" s="35">
        <f t="shared" si="124"/>
        <v>0.66330764671013631</v>
      </c>
      <c r="AB202" s="35">
        <f t="shared" si="125"/>
        <v>0.70288944723618085</v>
      </c>
      <c r="AC202" s="35">
        <f t="shared" si="126"/>
        <v>0.94368701837581503</v>
      </c>
      <c r="AD202" s="20">
        <v>1687</v>
      </c>
      <c r="AE202" s="27">
        <f t="shared" si="114"/>
        <v>95</v>
      </c>
      <c r="AF202" s="20">
        <v>1592</v>
      </c>
      <c r="AG202" s="20">
        <v>1119</v>
      </c>
      <c r="AH202" s="20">
        <f t="shared" si="115"/>
        <v>473</v>
      </c>
      <c r="AI202" s="20"/>
      <c r="AJ202" s="20"/>
      <c r="AK202" s="45">
        <v>2009</v>
      </c>
      <c r="AL202" s="48" t="s">
        <v>42</v>
      </c>
      <c r="AM202" s="35">
        <f t="shared" si="127"/>
        <v>0.91039426523297495</v>
      </c>
      <c r="AN202" s="35">
        <f t="shared" si="128"/>
        <v>0.95488721804511278</v>
      </c>
      <c r="AO202" s="35">
        <f t="shared" si="129"/>
        <v>0.95340501792114696</v>
      </c>
      <c r="AP202" s="20">
        <v>279</v>
      </c>
      <c r="AQ202" s="27">
        <f t="shared" si="116"/>
        <v>13</v>
      </c>
      <c r="AR202" s="20">
        <v>266</v>
      </c>
      <c r="AS202" s="20">
        <v>254</v>
      </c>
      <c r="AT202" s="20">
        <f t="shared" si="117"/>
        <v>12</v>
      </c>
      <c r="AU202" s="20"/>
      <c r="AV202" s="20"/>
      <c r="AW202" s="45"/>
      <c r="AX202" s="48"/>
      <c r="AY202" s="35"/>
      <c r="AZ202" s="35"/>
      <c r="BA202" s="35"/>
    </row>
    <row r="203" spans="1:53" s="29" customFormat="1" ht="12.75">
      <c r="A203" s="46">
        <v>2009</v>
      </c>
      <c r="B203" s="47" t="s">
        <v>43</v>
      </c>
      <c r="C203" s="35">
        <f t="shared" si="118"/>
        <v>0.77616712854402048</v>
      </c>
      <c r="D203" s="35">
        <f t="shared" si="119"/>
        <v>0.82524932003626472</v>
      </c>
      <c r="E203" s="35">
        <f t="shared" si="120"/>
        <v>0.94052440844169682</v>
      </c>
      <c r="F203" s="92">
        <f t="shared" si="107"/>
        <v>4691</v>
      </c>
      <c r="G203" s="27">
        <f t="shared" si="108"/>
        <v>279</v>
      </c>
      <c r="H203" s="92">
        <f t="shared" si="109"/>
        <v>4412</v>
      </c>
      <c r="I203" s="92">
        <f t="shared" si="110"/>
        <v>3641</v>
      </c>
      <c r="J203" s="27">
        <f t="shared" si="111"/>
        <v>771</v>
      </c>
      <c r="K203" s="27"/>
      <c r="L203" s="27"/>
      <c r="M203" s="46">
        <v>2009</v>
      </c>
      <c r="N203" s="47" t="s">
        <v>43</v>
      </c>
      <c r="O203" s="35">
        <f t="shared" si="121"/>
        <v>0.82817002881844382</v>
      </c>
      <c r="P203" s="35">
        <f t="shared" si="122"/>
        <v>0.86493604213694508</v>
      </c>
      <c r="Q203" s="35">
        <f t="shared" si="123"/>
        <v>0.95749279538904897</v>
      </c>
      <c r="R203" s="20">
        <v>2776</v>
      </c>
      <c r="S203" s="27">
        <f t="shared" si="112"/>
        <v>118</v>
      </c>
      <c r="T203" s="20">
        <v>2658</v>
      </c>
      <c r="U203" s="20">
        <v>2299</v>
      </c>
      <c r="V203" s="20">
        <f t="shared" si="113"/>
        <v>359</v>
      </c>
      <c r="W203" s="20"/>
      <c r="X203" s="20"/>
      <c r="Y203" s="46">
        <v>2009</v>
      </c>
      <c r="Z203" s="47" t="s">
        <v>43</v>
      </c>
      <c r="AA203" s="35">
        <f t="shared" si="124"/>
        <v>0.66178266178266176</v>
      </c>
      <c r="AB203" s="35">
        <f t="shared" si="125"/>
        <v>0.72556894243641235</v>
      </c>
      <c r="AC203" s="35">
        <f t="shared" si="126"/>
        <v>0.91208791208791207</v>
      </c>
      <c r="AD203" s="20">
        <v>1638</v>
      </c>
      <c r="AE203" s="27">
        <f t="shared" si="114"/>
        <v>144</v>
      </c>
      <c r="AF203" s="20">
        <v>1494</v>
      </c>
      <c r="AG203" s="20">
        <v>1084</v>
      </c>
      <c r="AH203" s="20">
        <f t="shared" si="115"/>
        <v>410</v>
      </c>
      <c r="AI203" s="20"/>
      <c r="AJ203" s="20"/>
      <c r="AK203" s="46">
        <v>2009</v>
      </c>
      <c r="AL203" s="47" t="s">
        <v>43</v>
      </c>
      <c r="AM203" s="35">
        <f t="shared" si="127"/>
        <v>0.93140794223826717</v>
      </c>
      <c r="AN203" s="35">
        <f t="shared" si="128"/>
        <v>0.99230769230769234</v>
      </c>
      <c r="AO203" s="35">
        <f t="shared" si="129"/>
        <v>0.93862815884476536</v>
      </c>
      <c r="AP203" s="20">
        <v>277</v>
      </c>
      <c r="AQ203" s="27">
        <f t="shared" si="116"/>
        <v>17</v>
      </c>
      <c r="AR203" s="20">
        <v>260</v>
      </c>
      <c r="AS203" s="20">
        <v>258</v>
      </c>
      <c r="AT203" s="20">
        <f t="shared" si="117"/>
        <v>2</v>
      </c>
      <c r="AU203" s="20"/>
      <c r="AV203" s="20"/>
      <c r="AW203" s="46"/>
      <c r="AX203" s="47"/>
      <c r="AY203" s="35"/>
      <c r="AZ203" s="35"/>
      <c r="BA203" s="35"/>
    </row>
    <row r="204" spans="1:53" s="29" customFormat="1" ht="12.75">
      <c r="A204" s="45">
        <v>2009</v>
      </c>
      <c r="B204" s="48" t="s">
        <v>44</v>
      </c>
      <c r="C204" s="35">
        <f t="shared" si="118"/>
        <v>0.82834743140086653</v>
      </c>
      <c r="D204" s="35">
        <f t="shared" si="119"/>
        <v>0.85699039487726791</v>
      </c>
      <c r="E204" s="35">
        <f t="shared" si="120"/>
        <v>0.96657726428718793</v>
      </c>
      <c r="F204" s="92">
        <f t="shared" si="107"/>
        <v>4847</v>
      </c>
      <c r="G204" s="27">
        <f t="shared" si="108"/>
        <v>162</v>
      </c>
      <c r="H204" s="92">
        <f t="shared" si="109"/>
        <v>4685</v>
      </c>
      <c r="I204" s="92">
        <f t="shared" si="110"/>
        <v>4015</v>
      </c>
      <c r="J204" s="27">
        <f t="shared" si="111"/>
        <v>670</v>
      </c>
      <c r="K204" s="27"/>
      <c r="L204" s="27"/>
      <c r="M204" s="45">
        <v>2009</v>
      </c>
      <c r="N204" s="48" t="s">
        <v>44</v>
      </c>
      <c r="O204" s="35">
        <f t="shared" si="121"/>
        <v>0.86117893268224621</v>
      </c>
      <c r="P204" s="35">
        <f t="shared" si="122"/>
        <v>0.8868534482758621</v>
      </c>
      <c r="Q204" s="35">
        <f t="shared" si="123"/>
        <v>0.97104987792117192</v>
      </c>
      <c r="R204" s="20">
        <v>2867</v>
      </c>
      <c r="S204" s="27">
        <f t="shared" si="112"/>
        <v>83</v>
      </c>
      <c r="T204" s="20">
        <v>2784</v>
      </c>
      <c r="U204" s="20">
        <v>2469</v>
      </c>
      <c r="V204" s="20">
        <f t="shared" si="113"/>
        <v>315</v>
      </c>
      <c r="W204" s="20"/>
      <c r="X204" s="20"/>
      <c r="Y204" s="45">
        <v>2009</v>
      </c>
      <c r="Z204" s="48" t="s">
        <v>44</v>
      </c>
      <c r="AA204" s="35">
        <f t="shared" si="124"/>
        <v>0.75634218289085542</v>
      </c>
      <c r="AB204" s="35">
        <f t="shared" si="125"/>
        <v>0.78698588090853283</v>
      </c>
      <c r="AC204" s="35">
        <f t="shared" si="126"/>
        <v>0.9610619469026549</v>
      </c>
      <c r="AD204" s="20">
        <v>1695</v>
      </c>
      <c r="AE204" s="27">
        <f t="shared" si="114"/>
        <v>66</v>
      </c>
      <c r="AF204" s="20">
        <v>1629</v>
      </c>
      <c r="AG204" s="20">
        <v>1282</v>
      </c>
      <c r="AH204" s="20">
        <f t="shared" si="115"/>
        <v>347</v>
      </c>
      <c r="AI204" s="20"/>
      <c r="AJ204" s="20"/>
      <c r="AK204" s="45">
        <v>2009</v>
      </c>
      <c r="AL204" s="48" t="s">
        <v>44</v>
      </c>
      <c r="AM204" s="35">
        <f t="shared" si="127"/>
        <v>0.9263157894736842</v>
      </c>
      <c r="AN204" s="35">
        <f t="shared" si="128"/>
        <v>0.97058823529411764</v>
      </c>
      <c r="AO204" s="35">
        <f t="shared" si="129"/>
        <v>0.95438596491228067</v>
      </c>
      <c r="AP204" s="20">
        <v>285</v>
      </c>
      <c r="AQ204" s="27">
        <f t="shared" si="116"/>
        <v>13</v>
      </c>
      <c r="AR204" s="20">
        <v>272</v>
      </c>
      <c r="AS204" s="20">
        <v>264</v>
      </c>
      <c r="AT204" s="20">
        <f t="shared" si="117"/>
        <v>8</v>
      </c>
      <c r="AU204" s="20"/>
      <c r="AV204" s="20"/>
      <c r="AW204" s="45"/>
      <c r="AX204" s="48"/>
      <c r="AY204" s="35"/>
      <c r="AZ204" s="35"/>
      <c r="BA204" s="35"/>
    </row>
    <row r="205" spans="1:53" s="29" customFormat="1" ht="12.75">
      <c r="A205" s="46">
        <v>2009</v>
      </c>
      <c r="B205" s="47" t="s">
        <v>45</v>
      </c>
      <c r="C205" s="35">
        <f t="shared" si="118"/>
        <v>0.8262764632627646</v>
      </c>
      <c r="D205" s="35">
        <f t="shared" si="119"/>
        <v>0.84630102040816324</v>
      </c>
      <c r="E205" s="35">
        <f t="shared" si="120"/>
        <v>0.97633872976338731</v>
      </c>
      <c r="F205" s="92">
        <f t="shared" si="107"/>
        <v>4818</v>
      </c>
      <c r="G205" s="27">
        <f t="shared" si="108"/>
        <v>114</v>
      </c>
      <c r="H205" s="92">
        <f t="shared" si="109"/>
        <v>4704</v>
      </c>
      <c r="I205" s="92">
        <f t="shared" si="110"/>
        <v>3981</v>
      </c>
      <c r="J205" s="27">
        <f t="shared" si="111"/>
        <v>723</v>
      </c>
      <c r="K205" s="27"/>
      <c r="L205" s="27"/>
      <c r="M205" s="46">
        <v>2009</v>
      </c>
      <c r="N205" s="47" t="s">
        <v>45</v>
      </c>
      <c r="O205" s="35">
        <f t="shared" si="121"/>
        <v>0.8537785588752197</v>
      </c>
      <c r="P205" s="35">
        <f t="shared" si="122"/>
        <v>0.86843046120843759</v>
      </c>
      <c r="Q205" s="35">
        <f t="shared" si="123"/>
        <v>0.98312829525483303</v>
      </c>
      <c r="R205" s="20">
        <v>2845</v>
      </c>
      <c r="S205" s="27">
        <f t="shared" si="112"/>
        <v>48</v>
      </c>
      <c r="T205" s="20">
        <v>2797</v>
      </c>
      <c r="U205" s="20">
        <v>2429</v>
      </c>
      <c r="V205" s="20">
        <f t="shared" si="113"/>
        <v>368</v>
      </c>
      <c r="W205" s="20"/>
      <c r="X205" s="20"/>
      <c r="Y205" s="46">
        <v>2009</v>
      </c>
      <c r="Z205" s="47" t="s">
        <v>45</v>
      </c>
      <c r="AA205" s="35">
        <f t="shared" si="124"/>
        <v>0.75931401537551746</v>
      </c>
      <c r="AB205" s="35">
        <f t="shared" si="125"/>
        <v>0.78773006134969326</v>
      </c>
      <c r="AC205" s="35">
        <f t="shared" si="126"/>
        <v>0.96392667060910708</v>
      </c>
      <c r="AD205" s="20">
        <v>1691</v>
      </c>
      <c r="AE205" s="27">
        <f t="shared" si="114"/>
        <v>61</v>
      </c>
      <c r="AF205" s="20">
        <v>1630</v>
      </c>
      <c r="AG205" s="20">
        <v>1284</v>
      </c>
      <c r="AH205" s="20">
        <f t="shared" si="115"/>
        <v>346</v>
      </c>
      <c r="AI205" s="20"/>
      <c r="AJ205" s="20"/>
      <c r="AK205" s="46">
        <v>2009</v>
      </c>
      <c r="AL205" s="47" t="s">
        <v>45</v>
      </c>
      <c r="AM205" s="35">
        <f t="shared" si="127"/>
        <v>0.95035460992907805</v>
      </c>
      <c r="AN205" s="35">
        <f t="shared" si="128"/>
        <v>0.96750902527075811</v>
      </c>
      <c r="AO205" s="35">
        <f t="shared" si="129"/>
        <v>0.98226950354609932</v>
      </c>
      <c r="AP205" s="20">
        <v>282</v>
      </c>
      <c r="AQ205" s="27">
        <f t="shared" si="116"/>
        <v>5</v>
      </c>
      <c r="AR205" s="20">
        <v>277</v>
      </c>
      <c r="AS205" s="20">
        <v>268</v>
      </c>
      <c r="AT205" s="20">
        <f t="shared" si="117"/>
        <v>9</v>
      </c>
      <c r="AU205" s="20"/>
      <c r="AV205" s="20"/>
      <c r="AW205" s="46"/>
      <c r="AX205" s="47"/>
      <c r="AY205" s="35"/>
      <c r="AZ205" s="35"/>
      <c r="BA205" s="35"/>
    </row>
    <row r="206" spans="1:53" s="29" customFormat="1" ht="12.75">
      <c r="A206" s="45">
        <v>2009</v>
      </c>
      <c r="B206" s="48" t="s">
        <v>46</v>
      </c>
      <c r="C206" s="35">
        <f t="shared" si="118"/>
        <v>0.80338983050847457</v>
      </c>
      <c r="D206" s="35">
        <f t="shared" si="119"/>
        <v>0.84341637010676151</v>
      </c>
      <c r="E206" s="35">
        <f t="shared" si="120"/>
        <v>0.9525423728813559</v>
      </c>
      <c r="F206" s="92">
        <f t="shared" si="107"/>
        <v>4720</v>
      </c>
      <c r="G206" s="27">
        <f t="shared" si="108"/>
        <v>224</v>
      </c>
      <c r="H206" s="92">
        <f t="shared" si="109"/>
        <v>4496</v>
      </c>
      <c r="I206" s="92">
        <f t="shared" si="110"/>
        <v>3792</v>
      </c>
      <c r="J206" s="27">
        <f t="shared" si="111"/>
        <v>704</v>
      </c>
      <c r="K206" s="27"/>
      <c r="L206" s="27"/>
      <c r="M206" s="45">
        <v>2009</v>
      </c>
      <c r="N206" s="48" t="s">
        <v>46</v>
      </c>
      <c r="O206" s="35">
        <f t="shared" si="121"/>
        <v>0.83059328091493922</v>
      </c>
      <c r="P206" s="35">
        <f t="shared" si="122"/>
        <v>0.87335588124765129</v>
      </c>
      <c r="Q206" s="35">
        <f t="shared" si="123"/>
        <v>0.95103645461043607</v>
      </c>
      <c r="R206" s="20">
        <v>2798</v>
      </c>
      <c r="S206" s="27">
        <f t="shared" si="112"/>
        <v>137</v>
      </c>
      <c r="T206" s="20">
        <v>2661</v>
      </c>
      <c r="U206" s="20">
        <v>2324</v>
      </c>
      <c r="V206" s="20">
        <f t="shared" si="113"/>
        <v>337</v>
      </c>
      <c r="W206" s="20"/>
      <c r="X206" s="20"/>
      <c r="Y206" s="45">
        <v>2009</v>
      </c>
      <c r="Z206" s="48" t="s">
        <v>46</v>
      </c>
      <c r="AA206" s="35">
        <f t="shared" si="124"/>
        <v>0.72838002436053595</v>
      </c>
      <c r="AB206" s="35">
        <f t="shared" si="125"/>
        <v>0.76765083440308091</v>
      </c>
      <c r="AC206" s="35">
        <f t="shared" si="126"/>
        <v>0.9488428745432399</v>
      </c>
      <c r="AD206" s="20">
        <v>1642</v>
      </c>
      <c r="AE206" s="27">
        <f t="shared" si="114"/>
        <v>84</v>
      </c>
      <c r="AF206" s="20">
        <v>1558</v>
      </c>
      <c r="AG206" s="20">
        <v>1196</v>
      </c>
      <c r="AH206" s="20">
        <f t="shared" si="115"/>
        <v>362</v>
      </c>
      <c r="AI206" s="20"/>
      <c r="AJ206" s="20"/>
      <c r="AK206" s="45">
        <v>2009</v>
      </c>
      <c r="AL206" s="48" t="s">
        <v>46</v>
      </c>
      <c r="AM206" s="35">
        <f t="shared" si="127"/>
        <v>0.97142857142857142</v>
      </c>
      <c r="AN206" s="35">
        <f t="shared" si="128"/>
        <v>0.98194945848375448</v>
      </c>
      <c r="AO206" s="35">
        <f t="shared" si="129"/>
        <v>0.98928571428571432</v>
      </c>
      <c r="AP206" s="20">
        <v>280</v>
      </c>
      <c r="AQ206" s="27">
        <f t="shared" si="116"/>
        <v>3</v>
      </c>
      <c r="AR206" s="20">
        <v>277</v>
      </c>
      <c r="AS206" s="20">
        <v>272</v>
      </c>
      <c r="AT206" s="20">
        <f t="shared" si="117"/>
        <v>5</v>
      </c>
      <c r="AU206" s="20"/>
      <c r="AV206" s="20"/>
      <c r="AW206" s="45"/>
      <c r="AX206" s="48"/>
      <c r="AY206" s="35"/>
      <c r="AZ206" s="35"/>
      <c r="BA206" s="35"/>
    </row>
    <row r="207" spans="1:53" s="29" customFormat="1" ht="12.75">
      <c r="A207" s="46">
        <v>2009</v>
      </c>
      <c r="B207" s="47" t="s">
        <v>47</v>
      </c>
      <c r="C207" s="35">
        <f t="shared" si="118"/>
        <v>0.80730348669279972</v>
      </c>
      <c r="D207" s="35">
        <f t="shared" si="119"/>
        <v>0.83043293718166389</v>
      </c>
      <c r="E207" s="35">
        <f t="shared" si="120"/>
        <v>0.97214772023932328</v>
      </c>
      <c r="F207" s="92">
        <f t="shared" si="107"/>
        <v>4847</v>
      </c>
      <c r="G207" s="27">
        <f t="shared" si="108"/>
        <v>135</v>
      </c>
      <c r="H207" s="92">
        <f t="shared" si="109"/>
        <v>4712</v>
      </c>
      <c r="I207" s="92">
        <f t="shared" si="110"/>
        <v>3913</v>
      </c>
      <c r="J207" s="27">
        <f t="shared" si="111"/>
        <v>799</v>
      </c>
      <c r="K207" s="27"/>
      <c r="L207" s="27"/>
      <c r="M207" s="46">
        <v>2009</v>
      </c>
      <c r="N207" s="47" t="s">
        <v>47</v>
      </c>
      <c r="O207" s="35">
        <f t="shared" si="121"/>
        <v>0.8256016742239275</v>
      </c>
      <c r="P207" s="35">
        <f t="shared" si="122"/>
        <v>0.8462638541294244</v>
      </c>
      <c r="Q207" s="35">
        <f t="shared" si="123"/>
        <v>0.97558423439134989</v>
      </c>
      <c r="R207" s="20">
        <v>2867</v>
      </c>
      <c r="S207" s="27">
        <f t="shared" si="112"/>
        <v>70</v>
      </c>
      <c r="T207" s="20">
        <v>2797</v>
      </c>
      <c r="U207" s="20">
        <v>2367</v>
      </c>
      <c r="V207" s="20">
        <f t="shared" si="113"/>
        <v>430</v>
      </c>
      <c r="W207" s="20"/>
      <c r="X207" s="20"/>
      <c r="Y207" s="46">
        <v>2009</v>
      </c>
      <c r="Z207" s="47" t="s">
        <v>47</v>
      </c>
      <c r="AA207" s="35">
        <f t="shared" si="124"/>
        <v>0.7469026548672566</v>
      </c>
      <c r="AB207" s="35">
        <f t="shared" si="125"/>
        <v>0.77621091354996929</v>
      </c>
      <c r="AC207" s="35">
        <f t="shared" si="126"/>
        <v>0.96224188790560472</v>
      </c>
      <c r="AD207" s="20">
        <v>1695</v>
      </c>
      <c r="AE207" s="27">
        <f t="shared" si="114"/>
        <v>64</v>
      </c>
      <c r="AF207" s="20">
        <v>1631</v>
      </c>
      <c r="AG207" s="20">
        <v>1266</v>
      </c>
      <c r="AH207" s="20">
        <f t="shared" si="115"/>
        <v>365</v>
      </c>
      <c r="AI207" s="20"/>
      <c r="AJ207" s="20"/>
      <c r="AK207" s="46">
        <v>2009</v>
      </c>
      <c r="AL207" s="47" t="s">
        <v>47</v>
      </c>
      <c r="AM207" s="35">
        <f t="shared" si="127"/>
        <v>0.98245614035087714</v>
      </c>
      <c r="AN207" s="35">
        <f t="shared" si="128"/>
        <v>0.9859154929577465</v>
      </c>
      <c r="AO207" s="35">
        <f t="shared" si="129"/>
        <v>0.99649122807017543</v>
      </c>
      <c r="AP207" s="20">
        <v>285</v>
      </c>
      <c r="AQ207" s="27">
        <f t="shared" si="116"/>
        <v>1</v>
      </c>
      <c r="AR207" s="20">
        <v>284</v>
      </c>
      <c r="AS207" s="20">
        <v>280</v>
      </c>
      <c r="AT207" s="20">
        <f t="shared" si="117"/>
        <v>4</v>
      </c>
      <c r="AU207" s="20"/>
      <c r="AV207" s="20"/>
      <c r="AW207" s="46"/>
      <c r="AX207" s="47"/>
      <c r="AY207" s="35"/>
      <c r="AZ207" s="35"/>
      <c r="BA207" s="35"/>
    </row>
    <row r="208" spans="1:53" s="29" customFormat="1" ht="12.75">
      <c r="A208" s="45">
        <v>2009</v>
      </c>
      <c r="B208" s="48" t="s">
        <v>48</v>
      </c>
      <c r="C208" s="35">
        <f t="shared" si="118"/>
        <v>0.75399701556171395</v>
      </c>
      <c r="D208" s="35">
        <f t="shared" si="119"/>
        <v>0.80901189387008232</v>
      </c>
      <c r="E208" s="35">
        <f t="shared" si="120"/>
        <v>0.93199744191004052</v>
      </c>
      <c r="F208" s="92">
        <f t="shared" si="107"/>
        <v>4691</v>
      </c>
      <c r="G208" s="27">
        <f t="shared" si="108"/>
        <v>319</v>
      </c>
      <c r="H208" s="92">
        <f t="shared" si="109"/>
        <v>4372</v>
      </c>
      <c r="I208" s="92">
        <f t="shared" si="110"/>
        <v>3537</v>
      </c>
      <c r="J208" s="27">
        <f t="shared" si="111"/>
        <v>835</v>
      </c>
      <c r="K208" s="27"/>
      <c r="L208" s="27"/>
      <c r="M208" s="45">
        <v>2009</v>
      </c>
      <c r="N208" s="48" t="s">
        <v>48</v>
      </c>
      <c r="O208" s="35">
        <f t="shared" si="121"/>
        <v>0.77089337175792505</v>
      </c>
      <c r="P208" s="35">
        <f t="shared" si="122"/>
        <v>0.83398285268901018</v>
      </c>
      <c r="Q208" s="35">
        <f t="shared" si="123"/>
        <v>0.92435158501440917</v>
      </c>
      <c r="R208" s="20">
        <v>2776</v>
      </c>
      <c r="S208" s="27">
        <f t="shared" si="112"/>
        <v>210</v>
      </c>
      <c r="T208" s="20">
        <v>2566</v>
      </c>
      <c r="U208" s="20">
        <v>2140</v>
      </c>
      <c r="V208" s="20">
        <f t="shared" si="113"/>
        <v>426</v>
      </c>
      <c r="W208" s="20"/>
      <c r="X208" s="20"/>
      <c r="Y208" s="45">
        <v>2009</v>
      </c>
      <c r="Z208" s="48" t="s">
        <v>48</v>
      </c>
      <c r="AA208" s="35">
        <f t="shared" si="124"/>
        <v>0.70085470085470081</v>
      </c>
      <c r="AB208" s="35">
        <f t="shared" si="125"/>
        <v>0.73921442369607215</v>
      </c>
      <c r="AC208" s="35">
        <f t="shared" si="126"/>
        <v>0.94810744810744807</v>
      </c>
      <c r="AD208" s="20">
        <v>1638</v>
      </c>
      <c r="AE208" s="27">
        <f t="shared" si="114"/>
        <v>85</v>
      </c>
      <c r="AF208" s="20">
        <v>1553</v>
      </c>
      <c r="AG208" s="20">
        <v>1148</v>
      </c>
      <c r="AH208" s="20">
        <f t="shared" si="115"/>
        <v>405</v>
      </c>
      <c r="AI208" s="20"/>
      <c r="AJ208" s="20"/>
      <c r="AK208" s="45">
        <v>2009</v>
      </c>
      <c r="AL208" s="48" t="s">
        <v>48</v>
      </c>
      <c r="AM208" s="35">
        <f t="shared" si="127"/>
        <v>0.89891696750902528</v>
      </c>
      <c r="AN208" s="35">
        <f t="shared" si="128"/>
        <v>0.98418972332015808</v>
      </c>
      <c r="AO208" s="35">
        <f t="shared" si="129"/>
        <v>0.91335740072202165</v>
      </c>
      <c r="AP208" s="20">
        <v>277</v>
      </c>
      <c r="AQ208" s="27">
        <f t="shared" si="116"/>
        <v>24</v>
      </c>
      <c r="AR208" s="20">
        <v>253</v>
      </c>
      <c r="AS208" s="20">
        <v>249</v>
      </c>
      <c r="AT208" s="20">
        <f t="shared" si="117"/>
        <v>4</v>
      </c>
      <c r="AU208" s="20"/>
      <c r="AV208" s="20"/>
      <c r="AW208" s="45"/>
      <c r="AX208" s="48"/>
      <c r="AY208" s="35"/>
      <c r="AZ208" s="35"/>
      <c r="BA208" s="35"/>
    </row>
    <row r="209" spans="1:53" s="29" customFormat="1" ht="12.75">
      <c r="A209" s="46">
        <v>2009</v>
      </c>
      <c r="B209" s="47" t="s">
        <v>49</v>
      </c>
      <c r="C209" s="35">
        <f t="shared" si="118"/>
        <v>0.8063847429519071</v>
      </c>
      <c r="D209" s="35">
        <f t="shared" si="119"/>
        <v>0.86061946902654862</v>
      </c>
      <c r="E209" s="35">
        <f t="shared" si="120"/>
        <v>0.93698175787728022</v>
      </c>
      <c r="F209" s="92">
        <f t="shared" si="107"/>
        <v>4824</v>
      </c>
      <c r="G209" s="27">
        <f t="shared" si="108"/>
        <v>304</v>
      </c>
      <c r="H209" s="92">
        <f t="shared" si="109"/>
        <v>4520</v>
      </c>
      <c r="I209" s="92">
        <f t="shared" si="110"/>
        <v>3890</v>
      </c>
      <c r="J209" s="27">
        <f t="shared" si="111"/>
        <v>630</v>
      </c>
      <c r="K209" s="27"/>
      <c r="L209" s="27"/>
      <c r="M209" s="46">
        <v>2009</v>
      </c>
      <c r="N209" s="47" t="s">
        <v>49</v>
      </c>
      <c r="O209" s="35">
        <f t="shared" si="121"/>
        <v>0.86320589266923886</v>
      </c>
      <c r="P209" s="35">
        <f t="shared" si="122"/>
        <v>0.8798712906685735</v>
      </c>
      <c r="Q209" s="35">
        <f t="shared" si="123"/>
        <v>0.98105927744651</v>
      </c>
      <c r="R209" s="20">
        <v>2851</v>
      </c>
      <c r="S209" s="27">
        <f t="shared" si="112"/>
        <v>54</v>
      </c>
      <c r="T209" s="20">
        <v>2797</v>
      </c>
      <c r="U209" s="20">
        <v>2461</v>
      </c>
      <c r="V209" s="20">
        <f t="shared" si="113"/>
        <v>336</v>
      </c>
      <c r="W209" s="20"/>
      <c r="X209" s="20"/>
      <c r="Y209" s="46">
        <v>2009</v>
      </c>
      <c r="Z209" s="47" t="s">
        <v>49</v>
      </c>
      <c r="AA209" s="35">
        <f t="shared" si="124"/>
        <v>0.80935464772054466</v>
      </c>
      <c r="AB209" s="35">
        <f t="shared" si="125"/>
        <v>0.82898726500909647</v>
      </c>
      <c r="AC209" s="35">
        <f t="shared" si="126"/>
        <v>0.97631734754292476</v>
      </c>
      <c r="AD209" s="20">
        <v>1689</v>
      </c>
      <c r="AE209" s="27">
        <f t="shared" si="114"/>
        <v>40</v>
      </c>
      <c r="AF209" s="20">
        <v>1649</v>
      </c>
      <c r="AG209" s="20">
        <v>1367</v>
      </c>
      <c r="AH209" s="20">
        <f t="shared" si="115"/>
        <v>282</v>
      </c>
      <c r="AI209" s="20"/>
      <c r="AJ209" s="20"/>
      <c r="AK209" s="46">
        <v>2009</v>
      </c>
      <c r="AL209" s="47" t="s">
        <v>49</v>
      </c>
      <c r="AM209" s="35">
        <f t="shared" si="127"/>
        <v>0.21830985915492956</v>
      </c>
      <c r="AN209" s="35">
        <f t="shared" si="128"/>
        <v>0.83783783783783783</v>
      </c>
      <c r="AO209" s="35">
        <f t="shared" si="129"/>
        <v>0.26056338028169013</v>
      </c>
      <c r="AP209" s="20">
        <v>284</v>
      </c>
      <c r="AQ209" s="27">
        <f t="shared" si="116"/>
        <v>210</v>
      </c>
      <c r="AR209" s="20">
        <v>74</v>
      </c>
      <c r="AS209" s="20">
        <v>62</v>
      </c>
      <c r="AT209" s="20">
        <f t="shared" si="117"/>
        <v>12</v>
      </c>
      <c r="AU209" s="20"/>
      <c r="AV209" s="20"/>
      <c r="AW209" s="46"/>
      <c r="AX209" s="47"/>
      <c r="AY209" s="35"/>
      <c r="AZ209" s="35"/>
      <c r="BA209" s="35"/>
    </row>
    <row r="210" spans="1:53" s="29" customFormat="1" ht="12.75">
      <c r="A210" s="45">
        <v>2010</v>
      </c>
      <c r="B210" s="48" t="s">
        <v>38</v>
      </c>
      <c r="C210" s="35">
        <f t="shared" si="118"/>
        <v>0.87754254877542548</v>
      </c>
      <c r="D210" s="35">
        <f t="shared" si="119"/>
        <v>0.89690284259652098</v>
      </c>
      <c r="E210" s="35">
        <f t="shared" si="120"/>
        <v>0.97841427978414275</v>
      </c>
      <c r="F210" s="92">
        <f t="shared" ref="F210:F221" si="130">+R210+AD210+AP210</f>
        <v>4818</v>
      </c>
      <c r="G210" s="27">
        <f t="shared" ref="G210:G221" si="131">F210-H210</f>
        <v>104</v>
      </c>
      <c r="H210" s="92">
        <f t="shared" ref="H210:H221" si="132">+T210+AF210+AR210</f>
        <v>4714</v>
      </c>
      <c r="I210" s="92">
        <f t="shared" ref="I210:I221" si="133">+U210+AG210+AS210</f>
        <v>4228</v>
      </c>
      <c r="J210" s="27">
        <f t="shared" ref="J210:J221" si="134">H210-I210</f>
        <v>486</v>
      </c>
      <c r="K210" s="27"/>
      <c r="L210" s="27"/>
      <c r="M210" s="45">
        <v>2010</v>
      </c>
      <c r="N210" s="48" t="s">
        <v>38</v>
      </c>
      <c r="O210" s="35">
        <f t="shared" si="121"/>
        <v>0.89595782073813712</v>
      </c>
      <c r="P210" s="35">
        <f t="shared" si="122"/>
        <v>0.9100321313816494</v>
      </c>
      <c r="Q210" s="35">
        <f t="shared" si="123"/>
        <v>0.98453427065026367</v>
      </c>
      <c r="R210" s="20">
        <v>2845</v>
      </c>
      <c r="S210" s="27">
        <f t="shared" ref="S210:S221" si="135">R210-T210</f>
        <v>44</v>
      </c>
      <c r="T210" s="20">
        <v>2801</v>
      </c>
      <c r="U210" s="20">
        <v>2549</v>
      </c>
      <c r="V210" s="20">
        <f t="shared" ref="V210:V221" si="136">T210-U210</f>
        <v>252</v>
      </c>
      <c r="W210" s="20"/>
      <c r="X210" s="20"/>
      <c r="Y210" s="45">
        <v>2010</v>
      </c>
      <c r="Z210" s="48" t="s">
        <v>38</v>
      </c>
      <c r="AA210" s="35">
        <f t="shared" si="124"/>
        <v>0.82909520993494978</v>
      </c>
      <c r="AB210" s="35">
        <f t="shared" si="125"/>
        <v>0.85959534028203555</v>
      </c>
      <c r="AC210" s="35">
        <f t="shared" si="126"/>
        <v>0.96451803666469549</v>
      </c>
      <c r="AD210" s="20">
        <v>1691</v>
      </c>
      <c r="AE210" s="27">
        <f t="shared" ref="AE210:AE221" si="137">AD210-AF210</f>
        <v>60</v>
      </c>
      <c r="AF210" s="20">
        <v>1631</v>
      </c>
      <c r="AG210" s="20">
        <v>1402</v>
      </c>
      <c r="AH210" s="20">
        <f t="shared" ref="AH210:AH221" si="138">AF210-AG210</f>
        <v>229</v>
      </c>
      <c r="AI210" s="20"/>
      <c r="AJ210" s="20"/>
      <c r="AK210" s="45">
        <v>2010</v>
      </c>
      <c r="AL210" s="48" t="s">
        <v>38</v>
      </c>
      <c r="AM210" s="35">
        <f t="shared" si="127"/>
        <v>0.98226950354609932</v>
      </c>
      <c r="AN210" s="35">
        <f t="shared" si="128"/>
        <v>0.98226950354609932</v>
      </c>
      <c r="AO210" s="35">
        <f t="shared" si="129"/>
        <v>1</v>
      </c>
      <c r="AP210" s="20">
        <v>282</v>
      </c>
      <c r="AQ210" s="27">
        <f t="shared" ref="AQ210:AQ221" si="139">AP210-AR210</f>
        <v>0</v>
      </c>
      <c r="AR210" s="20">
        <v>282</v>
      </c>
      <c r="AS210" s="20">
        <v>277</v>
      </c>
      <c r="AT210" s="20">
        <f t="shared" ref="AT210:AT221" si="140">AR210-AS210</f>
        <v>5</v>
      </c>
      <c r="AU210" s="20"/>
      <c r="AV210" s="20"/>
      <c r="AW210" s="45"/>
      <c r="AX210" s="48"/>
      <c r="AY210" s="35"/>
      <c r="AZ210" s="35"/>
      <c r="BA210" s="35"/>
    </row>
    <row r="211" spans="1:53" s="29" customFormat="1" ht="12.75">
      <c r="A211" s="46">
        <v>2010</v>
      </c>
      <c r="B211" s="47" t="s">
        <v>39</v>
      </c>
      <c r="C211" s="35">
        <f t="shared" si="118"/>
        <v>0.79686078252957238</v>
      </c>
      <c r="D211" s="35">
        <f t="shared" si="119"/>
        <v>0.83305588585017831</v>
      </c>
      <c r="E211" s="35">
        <f t="shared" si="120"/>
        <v>0.95655141037306646</v>
      </c>
      <c r="F211" s="92">
        <f t="shared" si="130"/>
        <v>4396</v>
      </c>
      <c r="G211" s="27">
        <f t="shared" si="131"/>
        <v>191</v>
      </c>
      <c r="H211" s="92">
        <f t="shared" si="132"/>
        <v>4205</v>
      </c>
      <c r="I211" s="92">
        <f t="shared" si="133"/>
        <v>3503</v>
      </c>
      <c r="J211" s="27">
        <f t="shared" si="134"/>
        <v>702</v>
      </c>
      <c r="K211" s="27"/>
      <c r="L211" s="27"/>
      <c r="M211" s="46">
        <v>2010</v>
      </c>
      <c r="N211" s="47" t="s">
        <v>39</v>
      </c>
      <c r="O211" s="35">
        <f t="shared" si="121"/>
        <v>0.82296466973886329</v>
      </c>
      <c r="P211" s="35">
        <f t="shared" si="122"/>
        <v>0.84938565200158544</v>
      </c>
      <c r="Q211" s="35">
        <f t="shared" si="123"/>
        <v>0.96889400921658986</v>
      </c>
      <c r="R211" s="20">
        <v>2604</v>
      </c>
      <c r="S211" s="27">
        <f t="shared" si="135"/>
        <v>81</v>
      </c>
      <c r="T211" s="20">
        <v>2523</v>
      </c>
      <c r="U211" s="20">
        <v>2143</v>
      </c>
      <c r="V211" s="20">
        <f t="shared" si="136"/>
        <v>380</v>
      </c>
      <c r="W211" s="20"/>
      <c r="X211" s="20"/>
      <c r="Y211" s="46">
        <v>2010</v>
      </c>
      <c r="Z211" s="47" t="s">
        <v>39</v>
      </c>
      <c r="AA211" s="35">
        <f t="shared" si="124"/>
        <v>0.74477806788511747</v>
      </c>
      <c r="AB211" s="35">
        <f t="shared" si="125"/>
        <v>0.78365384615384615</v>
      </c>
      <c r="AC211" s="35">
        <f t="shared" si="126"/>
        <v>0.95039164490861616</v>
      </c>
      <c r="AD211" s="20">
        <v>1532</v>
      </c>
      <c r="AE211" s="27">
        <f t="shared" si="137"/>
        <v>76</v>
      </c>
      <c r="AF211" s="20">
        <v>1456</v>
      </c>
      <c r="AG211" s="20">
        <v>1141</v>
      </c>
      <c r="AH211" s="20">
        <f t="shared" si="138"/>
        <v>315</v>
      </c>
      <c r="AI211" s="20"/>
      <c r="AJ211" s="20"/>
      <c r="AK211" s="46">
        <v>2010</v>
      </c>
      <c r="AL211" s="47" t="s">
        <v>39</v>
      </c>
      <c r="AM211" s="35">
        <f t="shared" si="127"/>
        <v>0.84230769230769231</v>
      </c>
      <c r="AN211" s="35">
        <f t="shared" si="128"/>
        <v>0.96902654867256632</v>
      </c>
      <c r="AO211" s="35">
        <f t="shared" si="129"/>
        <v>0.86923076923076925</v>
      </c>
      <c r="AP211" s="20">
        <v>260</v>
      </c>
      <c r="AQ211" s="27">
        <f t="shared" si="139"/>
        <v>34</v>
      </c>
      <c r="AR211" s="20">
        <v>226</v>
      </c>
      <c r="AS211" s="20">
        <v>219</v>
      </c>
      <c r="AT211" s="20">
        <f t="shared" si="140"/>
        <v>7</v>
      </c>
      <c r="AU211" s="20"/>
      <c r="AV211" s="20"/>
      <c r="AW211" s="46"/>
      <c r="AX211" s="47"/>
      <c r="AY211" s="35"/>
      <c r="AZ211" s="35"/>
      <c r="BA211" s="35"/>
    </row>
    <row r="212" spans="1:53" s="29" customFormat="1" ht="12.75">
      <c r="A212" s="45">
        <v>2010</v>
      </c>
      <c r="B212" s="48" t="s">
        <v>40</v>
      </c>
      <c r="C212" s="35">
        <f t="shared" si="118"/>
        <v>0.8357716876159077</v>
      </c>
      <c r="D212" s="35">
        <f t="shared" si="119"/>
        <v>0.85389473684210526</v>
      </c>
      <c r="E212" s="35">
        <f t="shared" si="120"/>
        <v>0.97877601483618382</v>
      </c>
      <c r="F212" s="92">
        <f t="shared" si="130"/>
        <v>4853</v>
      </c>
      <c r="G212" s="27">
        <f t="shared" si="131"/>
        <v>103</v>
      </c>
      <c r="H212" s="92">
        <f t="shared" si="132"/>
        <v>4750</v>
      </c>
      <c r="I212" s="92">
        <f t="shared" si="133"/>
        <v>4056</v>
      </c>
      <c r="J212" s="27">
        <f t="shared" si="134"/>
        <v>694</v>
      </c>
      <c r="K212" s="27"/>
      <c r="L212" s="27"/>
      <c r="M212" s="45">
        <v>2010</v>
      </c>
      <c r="N212" s="48" t="s">
        <v>40</v>
      </c>
      <c r="O212" s="35">
        <f t="shared" si="121"/>
        <v>0.85520361990950222</v>
      </c>
      <c r="P212" s="35">
        <f t="shared" si="122"/>
        <v>0.86942675159235672</v>
      </c>
      <c r="Q212" s="35">
        <f t="shared" si="123"/>
        <v>0.98364079359554468</v>
      </c>
      <c r="R212" s="20">
        <v>2873</v>
      </c>
      <c r="S212" s="27">
        <f t="shared" si="135"/>
        <v>47</v>
      </c>
      <c r="T212" s="20">
        <v>2826</v>
      </c>
      <c r="U212" s="20">
        <v>2457</v>
      </c>
      <c r="V212" s="20">
        <f t="shared" si="136"/>
        <v>369</v>
      </c>
      <c r="W212" s="20"/>
      <c r="X212" s="20"/>
      <c r="Y212" s="45">
        <v>2010</v>
      </c>
      <c r="Z212" s="48" t="s">
        <v>40</v>
      </c>
      <c r="AA212" s="35">
        <f t="shared" si="124"/>
        <v>0.78086237448316598</v>
      </c>
      <c r="AB212" s="35">
        <f t="shared" si="125"/>
        <v>0.80315917375455648</v>
      </c>
      <c r="AC212" s="35">
        <f t="shared" si="126"/>
        <v>0.9722386296515062</v>
      </c>
      <c r="AD212" s="20">
        <v>1693</v>
      </c>
      <c r="AE212" s="27">
        <f t="shared" si="137"/>
        <v>47</v>
      </c>
      <c r="AF212" s="20">
        <v>1646</v>
      </c>
      <c r="AG212" s="20">
        <v>1322</v>
      </c>
      <c r="AH212" s="20">
        <f t="shared" si="138"/>
        <v>324</v>
      </c>
      <c r="AI212" s="20"/>
      <c r="AJ212" s="20"/>
      <c r="AK212" s="45">
        <v>2010</v>
      </c>
      <c r="AL212" s="48" t="s">
        <v>40</v>
      </c>
      <c r="AM212" s="35">
        <f t="shared" si="127"/>
        <v>0.96515679442508706</v>
      </c>
      <c r="AN212" s="35">
        <f t="shared" si="128"/>
        <v>0.99640287769784175</v>
      </c>
      <c r="AO212" s="35">
        <f t="shared" si="129"/>
        <v>0.96864111498257843</v>
      </c>
      <c r="AP212" s="20">
        <v>287</v>
      </c>
      <c r="AQ212" s="27">
        <f t="shared" si="139"/>
        <v>9</v>
      </c>
      <c r="AR212" s="20">
        <v>278</v>
      </c>
      <c r="AS212" s="20">
        <v>277</v>
      </c>
      <c r="AT212" s="20">
        <f t="shared" si="140"/>
        <v>1</v>
      </c>
      <c r="AU212" s="20"/>
      <c r="AV212" s="20"/>
      <c r="AW212" s="45"/>
      <c r="AX212" s="48"/>
      <c r="AY212" s="35"/>
      <c r="AZ212" s="35"/>
      <c r="BA212" s="35"/>
    </row>
    <row r="213" spans="1:53" s="29" customFormat="1" ht="12.75">
      <c r="A213" s="46">
        <v>2010</v>
      </c>
      <c r="B213" s="47" t="s">
        <v>41</v>
      </c>
      <c r="C213" s="35">
        <f t="shared" si="118"/>
        <v>0.77886872998932766</v>
      </c>
      <c r="D213" s="35">
        <f t="shared" si="119"/>
        <v>0.82166178788561139</v>
      </c>
      <c r="E213" s="35">
        <f t="shared" si="120"/>
        <v>0.94791889007470653</v>
      </c>
      <c r="F213" s="92">
        <f t="shared" si="130"/>
        <v>4685</v>
      </c>
      <c r="G213" s="27">
        <f t="shared" si="131"/>
        <v>244</v>
      </c>
      <c r="H213" s="92">
        <f t="shared" si="132"/>
        <v>4441</v>
      </c>
      <c r="I213" s="92">
        <f t="shared" si="133"/>
        <v>3649</v>
      </c>
      <c r="J213" s="27">
        <f t="shared" si="134"/>
        <v>792</v>
      </c>
      <c r="K213" s="27"/>
      <c r="L213" s="27"/>
      <c r="M213" s="46">
        <v>2010</v>
      </c>
      <c r="N213" s="47" t="s">
        <v>41</v>
      </c>
      <c r="O213" s="35">
        <f t="shared" si="121"/>
        <v>0.77978339350180503</v>
      </c>
      <c r="P213" s="35">
        <f t="shared" si="122"/>
        <v>0.84079408330089533</v>
      </c>
      <c r="Q213" s="35">
        <f t="shared" si="123"/>
        <v>0.92743682310469311</v>
      </c>
      <c r="R213" s="20">
        <v>2770</v>
      </c>
      <c r="S213" s="27">
        <f t="shared" si="135"/>
        <v>201</v>
      </c>
      <c r="T213" s="20">
        <v>2569</v>
      </c>
      <c r="U213" s="20">
        <v>2160</v>
      </c>
      <c r="V213" s="20">
        <f t="shared" si="136"/>
        <v>409</v>
      </c>
      <c r="W213" s="20"/>
      <c r="X213" s="20"/>
      <c r="Y213" s="46">
        <v>2010</v>
      </c>
      <c r="Z213" s="47" t="s">
        <v>41</v>
      </c>
      <c r="AA213" s="35">
        <f t="shared" si="124"/>
        <v>0.75731707317073171</v>
      </c>
      <c r="AB213" s="35">
        <f t="shared" si="125"/>
        <v>0.77383177570093453</v>
      </c>
      <c r="AC213" s="35">
        <f t="shared" si="126"/>
        <v>0.97865853658536583</v>
      </c>
      <c r="AD213" s="20">
        <v>1640</v>
      </c>
      <c r="AE213" s="27">
        <f t="shared" si="137"/>
        <v>35</v>
      </c>
      <c r="AF213" s="20">
        <v>1605</v>
      </c>
      <c r="AG213" s="20">
        <v>1242</v>
      </c>
      <c r="AH213" s="20">
        <f t="shared" si="138"/>
        <v>363</v>
      </c>
      <c r="AI213" s="20"/>
      <c r="AJ213" s="20"/>
      <c r="AK213" s="46">
        <v>2010</v>
      </c>
      <c r="AL213" s="47" t="s">
        <v>41</v>
      </c>
      <c r="AM213" s="35">
        <f t="shared" si="127"/>
        <v>0.89818181818181819</v>
      </c>
      <c r="AN213" s="35">
        <f t="shared" si="128"/>
        <v>0.92509363295880154</v>
      </c>
      <c r="AO213" s="35">
        <f t="shared" si="129"/>
        <v>0.97090909090909094</v>
      </c>
      <c r="AP213" s="20">
        <v>275</v>
      </c>
      <c r="AQ213" s="27">
        <f t="shared" si="139"/>
        <v>8</v>
      </c>
      <c r="AR213" s="20">
        <v>267</v>
      </c>
      <c r="AS213" s="20">
        <v>247</v>
      </c>
      <c r="AT213" s="20">
        <f t="shared" si="140"/>
        <v>20</v>
      </c>
      <c r="AU213" s="20"/>
      <c r="AV213" s="20"/>
      <c r="AW213" s="46"/>
      <c r="AX213" s="47"/>
      <c r="AY213" s="35"/>
      <c r="AZ213" s="35"/>
      <c r="BA213" s="35"/>
    </row>
    <row r="214" spans="1:53" s="29" customFormat="1" ht="12.75">
      <c r="A214" s="45">
        <v>2010</v>
      </c>
      <c r="B214" s="48" t="s">
        <v>42</v>
      </c>
      <c r="C214" s="35">
        <f t="shared" si="118"/>
        <v>0.89760805707091906</v>
      </c>
      <c r="D214" s="35">
        <f t="shared" si="119"/>
        <v>0.90885914595283623</v>
      </c>
      <c r="E214" s="35">
        <f t="shared" si="120"/>
        <v>0.98762064624422996</v>
      </c>
      <c r="F214" s="92">
        <f t="shared" si="130"/>
        <v>4766</v>
      </c>
      <c r="G214" s="27">
        <f t="shared" si="131"/>
        <v>59</v>
      </c>
      <c r="H214" s="92">
        <f t="shared" si="132"/>
        <v>4707</v>
      </c>
      <c r="I214" s="92">
        <f t="shared" si="133"/>
        <v>4278</v>
      </c>
      <c r="J214" s="27">
        <f t="shared" si="134"/>
        <v>429</v>
      </c>
      <c r="K214" s="27"/>
      <c r="L214" s="27"/>
      <c r="M214" s="45">
        <v>2010</v>
      </c>
      <c r="N214" s="48" t="s">
        <v>42</v>
      </c>
      <c r="O214" s="35">
        <f t="shared" si="121"/>
        <v>0.90951193444959033</v>
      </c>
      <c r="P214" s="35">
        <f t="shared" si="122"/>
        <v>0.91702586206896552</v>
      </c>
      <c r="Q214" s="35">
        <f t="shared" si="123"/>
        <v>0.99180619878874243</v>
      </c>
      <c r="R214" s="20">
        <v>2807</v>
      </c>
      <c r="S214" s="27">
        <f t="shared" si="135"/>
        <v>23</v>
      </c>
      <c r="T214" s="20">
        <v>2784</v>
      </c>
      <c r="U214" s="20">
        <v>2553</v>
      </c>
      <c r="V214" s="20">
        <f t="shared" si="136"/>
        <v>231</v>
      </c>
      <c r="W214" s="20"/>
      <c r="X214" s="20"/>
      <c r="Y214" s="45">
        <v>2010</v>
      </c>
      <c r="Z214" s="48" t="s">
        <v>42</v>
      </c>
      <c r="AA214" s="35">
        <f t="shared" si="124"/>
        <v>0.86793575252825694</v>
      </c>
      <c r="AB214" s="35">
        <f t="shared" si="125"/>
        <v>0.8810386473429952</v>
      </c>
      <c r="AC214" s="35">
        <f t="shared" si="126"/>
        <v>0.98512790005948836</v>
      </c>
      <c r="AD214" s="20">
        <v>1681</v>
      </c>
      <c r="AE214" s="27">
        <f t="shared" si="137"/>
        <v>25</v>
      </c>
      <c r="AF214" s="20">
        <v>1656</v>
      </c>
      <c r="AG214" s="20">
        <v>1459</v>
      </c>
      <c r="AH214" s="20">
        <f t="shared" si="138"/>
        <v>197</v>
      </c>
      <c r="AI214" s="20"/>
      <c r="AJ214" s="20"/>
      <c r="AK214" s="45">
        <v>2010</v>
      </c>
      <c r="AL214" s="48" t="s">
        <v>42</v>
      </c>
      <c r="AM214" s="35">
        <f t="shared" si="127"/>
        <v>0.95683453237410077</v>
      </c>
      <c r="AN214" s="35">
        <f t="shared" si="128"/>
        <v>0.99625468164794007</v>
      </c>
      <c r="AO214" s="35">
        <f t="shared" si="129"/>
        <v>0.96043165467625902</v>
      </c>
      <c r="AP214" s="20">
        <v>278</v>
      </c>
      <c r="AQ214" s="27">
        <f t="shared" si="139"/>
        <v>11</v>
      </c>
      <c r="AR214" s="20">
        <v>267</v>
      </c>
      <c r="AS214" s="20">
        <v>266</v>
      </c>
      <c r="AT214" s="20">
        <f t="shared" si="140"/>
        <v>1</v>
      </c>
      <c r="AU214" s="20"/>
      <c r="AV214" s="20"/>
      <c r="AW214" s="45"/>
      <c r="AX214" s="48"/>
      <c r="AY214" s="35"/>
      <c r="AZ214" s="35"/>
      <c r="BA214" s="35"/>
    </row>
    <row r="215" spans="1:53" s="29" customFormat="1" ht="12.75">
      <c r="A215" s="46">
        <v>2010</v>
      </c>
      <c r="B215" s="47" t="s">
        <v>43</v>
      </c>
      <c r="C215" s="35">
        <f t="shared" si="118"/>
        <v>0.8900021317416329</v>
      </c>
      <c r="D215" s="35">
        <f t="shared" si="119"/>
        <v>0.90328861964517526</v>
      </c>
      <c r="E215" s="35">
        <f t="shared" si="120"/>
        <v>0.98529098273289273</v>
      </c>
      <c r="F215" s="92">
        <f t="shared" si="130"/>
        <v>4691</v>
      </c>
      <c r="G215" s="27">
        <f t="shared" si="131"/>
        <v>69</v>
      </c>
      <c r="H215" s="92">
        <f t="shared" si="132"/>
        <v>4622</v>
      </c>
      <c r="I215" s="92">
        <f t="shared" si="133"/>
        <v>4175</v>
      </c>
      <c r="J215" s="27">
        <f t="shared" si="134"/>
        <v>447</v>
      </c>
      <c r="K215" s="27"/>
      <c r="L215" s="27"/>
      <c r="M215" s="46">
        <v>2010</v>
      </c>
      <c r="N215" s="47" t="s">
        <v>43</v>
      </c>
      <c r="O215" s="35">
        <f t="shared" si="121"/>
        <v>0.89661383285302598</v>
      </c>
      <c r="P215" s="35">
        <f t="shared" si="122"/>
        <v>0.91005484460694697</v>
      </c>
      <c r="Q215" s="35">
        <f t="shared" si="123"/>
        <v>0.98523054755043227</v>
      </c>
      <c r="R215" s="20">
        <v>2776</v>
      </c>
      <c r="S215" s="27">
        <f t="shared" si="135"/>
        <v>41</v>
      </c>
      <c r="T215" s="20">
        <v>2735</v>
      </c>
      <c r="U215" s="20">
        <v>2489</v>
      </c>
      <c r="V215" s="20">
        <f t="shared" si="136"/>
        <v>246</v>
      </c>
      <c r="W215" s="20"/>
      <c r="X215" s="20"/>
      <c r="Y215" s="46">
        <v>2010</v>
      </c>
      <c r="Z215" s="47" t="s">
        <v>43</v>
      </c>
      <c r="AA215" s="35">
        <f t="shared" si="124"/>
        <v>0.86935286935286937</v>
      </c>
      <c r="AB215" s="35">
        <f t="shared" si="125"/>
        <v>0.88228004956629491</v>
      </c>
      <c r="AC215" s="35">
        <f t="shared" si="126"/>
        <v>0.9853479853479854</v>
      </c>
      <c r="AD215" s="20">
        <v>1638</v>
      </c>
      <c r="AE215" s="27">
        <f t="shared" si="137"/>
        <v>24</v>
      </c>
      <c r="AF215" s="20">
        <v>1614</v>
      </c>
      <c r="AG215" s="20">
        <v>1424</v>
      </c>
      <c r="AH215" s="20">
        <f t="shared" si="138"/>
        <v>190</v>
      </c>
      <c r="AI215" s="20"/>
      <c r="AJ215" s="20"/>
      <c r="AK215" s="46">
        <v>2010</v>
      </c>
      <c r="AL215" s="47" t="s">
        <v>43</v>
      </c>
      <c r="AM215" s="35">
        <f t="shared" si="127"/>
        <v>0.94584837545126355</v>
      </c>
      <c r="AN215" s="35">
        <f t="shared" si="128"/>
        <v>0.95970695970695974</v>
      </c>
      <c r="AO215" s="35">
        <f t="shared" si="129"/>
        <v>0.98555956678700363</v>
      </c>
      <c r="AP215" s="20">
        <v>277</v>
      </c>
      <c r="AQ215" s="27">
        <f t="shared" si="139"/>
        <v>4</v>
      </c>
      <c r="AR215" s="20">
        <v>273</v>
      </c>
      <c r="AS215" s="20">
        <v>262</v>
      </c>
      <c r="AT215" s="20">
        <f t="shared" si="140"/>
        <v>11</v>
      </c>
      <c r="AU215" s="20"/>
      <c r="AV215" s="20"/>
      <c r="AW215" s="46"/>
      <c r="AX215" s="47"/>
      <c r="AY215" s="35"/>
      <c r="AZ215" s="35"/>
      <c r="BA215" s="35"/>
    </row>
    <row r="216" spans="1:53" s="29" customFormat="1" ht="12.75">
      <c r="A216" s="45">
        <v>2010</v>
      </c>
      <c r="B216" s="48" t="s">
        <v>44</v>
      </c>
      <c r="C216" s="35">
        <f t="shared" si="118"/>
        <v>0.89147926552506707</v>
      </c>
      <c r="D216" s="35">
        <f t="shared" si="119"/>
        <v>0.91430385103681755</v>
      </c>
      <c r="E216" s="35">
        <f t="shared" si="120"/>
        <v>0.97503610480709713</v>
      </c>
      <c r="F216" s="92">
        <f t="shared" si="130"/>
        <v>4847</v>
      </c>
      <c r="G216" s="27">
        <f t="shared" si="131"/>
        <v>121</v>
      </c>
      <c r="H216" s="92">
        <f t="shared" si="132"/>
        <v>4726</v>
      </c>
      <c r="I216" s="92">
        <f t="shared" si="133"/>
        <v>4321</v>
      </c>
      <c r="J216" s="27">
        <f t="shared" si="134"/>
        <v>405</v>
      </c>
      <c r="K216" s="27"/>
      <c r="L216" s="27"/>
      <c r="M216" s="45">
        <v>2010</v>
      </c>
      <c r="N216" s="48" t="s">
        <v>44</v>
      </c>
      <c r="O216" s="35">
        <f t="shared" si="121"/>
        <v>0.89919776770143012</v>
      </c>
      <c r="P216" s="35">
        <f t="shared" si="122"/>
        <v>0.92500897021887329</v>
      </c>
      <c r="Q216" s="35">
        <f t="shared" si="123"/>
        <v>0.97209626787582837</v>
      </c>
      <c r="R216" s="20">
        <v>2867</v>
      </c>
      <c r="S216" s="27">
        <f t="shared" si="135"/>
        <v>80</v>
      </c>
      <c r="T216" s="20">
        <v>2787</v>
      </c>
      <c r="U216" s="20">
        <v>2578</v>
      </c>
      <c r="V216" s="20">
        <f t="shared" si="136"/>
        <v>209</v>
      </c>
      <c r="W216" s="20"/>
      <c r="X216" s="20"/>
      <c r="Y216" s="45">
        <v>2010</v>
      </c>
      <c r="Z216" s="48" t="s">
        <v>44</v>
      </c>
      <c r="AA216" s="35">
        <f t="shared" si="124"/>
        <v>0.87020648967551617</v>
      </c>
      <c r="AB216" s="35">
        <f t="shared" si="125"/>
        <v>0.88801926550270927</v>
      </c>
      <c r="AC216" s="35">
        <f t="shared" si="126"/>
        <v>0.97994100294985254</v>
      </c>
      <c r="AD216" s="20">
        <v>1695</v>
      </c>
      <c r="AE216" s="27">
        <f t="shared" si="137"/>
        <v>34</v>
      </c>
      <c r="AF216" s="20">
        <v>1661</v>
      </c>
      <c r="AG216" s="20">
        <v>1475</v>
      </c>
      <c r="AH216" s="20">
        <f t="shared" si="138"/>
        <v>186</v>
      </c>
      <c r="AI216" s="20"/>
      <c r="AJ216" s="20"/>
      <c r="AK216" s="45">
        <v>2010</v>
      </c>
      <c r="AL216" s="48" t="s">
        <v>44</v>
      </c>
      <c r="AM216" s="35">
        <f t="shared" si="127"/>
        <v>0.94035087719298249</v>
      </c>
      <c r="AN216" s="35">
        <f t="shared" si="128"/>
        <v>0.96402877697841727</v>
      </c>
      <c r="AO216" s="35">
        <f t="shared" si="129"/>
        <v>0.9754385964912281</v>
      </c>
      <c r="AP216" s="20">
        <v>285</v>
      </c>
      <c r="AQ216" s="27">
        <f t="shared" si="139"/>
        <v>7</v>
      </c>
      <c r="AR216" s="20">
        <v>278</v>
      </c>
      <c r="AS216" s="20">
        <v>268</v>
      </c>
      <c r="AT216" s="20">
        <f t="shared" si="140"/>
        <v>10</v>
      </c>
      <c r="AU216" s="20"/>
      <c r="AV216" s="20"/>
      <c r="AW216" s="45"/>
      <c r="AX216" s="48"/>
      <c r="AY216" s="35"/>
      <c r="AZ216" s="35"/>
      <c r="BA216" s="35"/>
    </row>
    <row r="217" spans="1:53" s="29" customFormat="1" ht="12.75">
      <c r="A217" s="46">
        <v>2010</v>
      </c>
      <c r="B217" s="47" t="s">
        <v>45</v>
      </c>
      <c r="C217" s="35">
        <f t="shared" si="118"/>
        <v>0.88847429519071308</v>
      </c>
      <c r="D217" s="35">
        <f t="shared" si="119"/>
        <v>0.91561632129886772</v>
      </c>
      <c r="E217" s="35">
        <f t="shared" si="120"/>
        <v>0.97035655058043113</v>
      </c>
      <c r="F217" s="92">
        <f t="shared" si="130"/>
        <v>4824</v>
      </c>
      <c r="G217" s="27">
        <f t="shared" si="131"/>
        <v>143</v>
      </c>
      <c r="H217" s="92">
        <f t="shared" si="132"/>
        <v>4681</v>
      </c>
      <c r="I217" s="92">
        <f t="shared" si="133"/>
        <v>4286</v>
      </c>
      <c r="J217" s="27">
        <f t="shared" si="134"/>
        <v>395</v>
      </c>
      <c r="K217" s="27"/>
      <c r="L217" s="27"/>
      <c r="M217" s="46">
        <v>2010</v>
      </c>
      <c r="N217" s="47" t="s">
        <v>45</v>
      </c>
      <c r="O217" s="35">
        <f t="shared" si="121"/>
        <v>0.89722904244124868</v>
      </c>
      <c r="P217" s="35">
        <f t="shared" si="122"/>
        <v>0.92346570397111916</v>
      </c>
      <c r="Q217" s="35">
        <f t="shared" si="123"/>
        <v>0.97158891616976495</v>
      </c>
      <c r="R217" s="20">
        <v>2851</v>
      </c>
      <c r="S217" s="27">
        <f t="shared" si="135"/>
        <v>81</v>
      </c>
      <c r="T217" s="20">
        <v>2770</v>
      </c>
      <c r="U217" s="20">
        <v>2558</v>
      </c>
      <c r="V217" s="20">
        <f t="shared" si="136"/>
        <v>212</v>
      </c>
      <c r="W217" s="20"/>
      <c r="X217" s="20"/>
      <c r="Y217" s="46">
        <v>2010</v>
      </c>
      <c r="Z217" s="47" t="s">
        <v>45</v>
      </c>
      <c r="AA217" s="35">
        <f t="shared" si="124"/>
        <v>0.86441681468324449</v>
      </c>
      <c r="AB217" s="35">
        <f t="shared" si="125"/>
        <v>0.8951563458001226</v>
      </c>
      <c r="AC217" s="35">
        <f t="shared" si="126"/>
        <v>0.96566015393724092</v>
      </c>
      <c r="AD217" s="20">
        <v>1689</v>
      </c>
      <c r="AE217" s="27">
        <f t="shared" si="137"/>
        <v>58</v>
      </c>
      <c r="AF217" s="20">
        <v>1631</v>
      </c>
      <c r="AG217" s="20">
        <v>1460</v>
      </c>
      <c r="AH217" s="20">
        <f t="shared" si="138"/>
        <v>171</v>
      </c>
      <c r="AI217" s="20"/>
      <c r="AJ217" s="20"/>
      <c r="AK217" s="46">
        <v>2010</v>
      </c>
      <c r="AL217" s="47" t="s">
        <v>45</v>
      </c>
      <c r="AM217" s="35">
        <f t="shared" si="127"/>
        <v>0.94366197183098588</v>
      </c>
      <c r="AN217" s="35">
        <f t="shared" si="128"/>
        <v>0.95714285714285718</v>
      </c>
      <c r="AO217" s="35">
        <f t="shared" si="129"/>
        <v>0.9859154929577465</v>
      </c>
      <c r="AP217" s="20">
        <v>284</v>
      </c>
      <c r="AQ217" s="27">
        <f t="shared" si="139"/>
        <v>4</v>
      </c>
      <c r="AR217" s="20">
        <v>280</v>
      </c>
      <c r="AS217" s="20">
        <v>268</v>
      </c>
      <c r="AT217" s="20">
        <f t="shared" si="140"/>
        <v>12</v>
      </c>
      <c r="AU217" s="20"/>
      <c r="AV217" s="20"/>
      <c r="AW217" s="46"/>
      <c r="AX217" s="47"/>
      <c r="AY217" s="35"/>
      <c r="AZ217" s="35"/>
      <c r="BA217" s="35"/>
    </row>
    <row r="218" spans="1:53" s="29" customFormat="1" ht="12.75">
      <c r="A218" s="45">
        <v>2010</v>
      </c>
      <c r="B218" s="48" t="s">
        <v>46</v>
      </c>
      <c r="C218" s="35">
        <f t="shared" si="118"/>
        <v>0.88728813559322028</v>
      </c>
      <c r="D218" s="35">
        <f t="shared" si="119"/>
        <v>0.9055135135135135</v>
      </c>
      <c r="E218" s="35">
        <f t="shared" si="120"/>
        <v>0.9798728813559322</v>
      </c>
      <c r="F218" s="92">
        <f t="shared" si="130"/>
        <v>4720</v>
      </c>
      <c r="G218" s="27">
        <f t="shared" si="131"/>
        <v>95</v>
      </c>
      <c r="H218" s="92">
        <f t="shared" si="132"/>
        <v>4625</v>
      </c>
      <c r="I218" s="92">
        <f t="shared" si="133"/>
        <v>4188</v>
      </c>
      <c r="J218" s="27">
        <f t="shared" si="134"/>
        <v>437</v>
      </c>
      <c r="K218" s="27"/>
      <c r="L218" s="27"/>
      <c r="M218" s="45">
        <v>2010</v>
      </c>
      <c r="N218" s="48" t="s">
        <v>46</v>
      </c>
      <c r="O218" s="35">
        <f t="shared" si="121"/>
        <v>0.87919942816297358</v>
      </c>
      <c r="P218" s="35">
        <f t="shared" si="122"/>
        <v>0.90076894910289274</v>
      </c>
      <c r="Q218" s="35">
        <f t="shared" si="123"/>
        <v>0.97605432451751251</v>
      </c>
      <c r="R218" s="20">
        <v>2798</v>
      </c>
      <c r="S218" s="27">
        <f t="shared" si="135"/>
        <v>67</v>
      </c>
      <c r="T218" s="20">
        <v>2731</v>
      </c>
      <c r="U218" s="20">
        <v>2460</v>
      </c>
      <c r="V218" s="20">
        <f t="shared" si="136"/>
        <v>271</v>
      </c>
      <c r="W218" s="20"/>
      <c r="X218" s="20"/>
      <c r="Y218" s="45">
        <v>2010</v>
      </c>
      <c r="Z218" s="48" t="s">
        <v>46</v>
      </c>
      <c r="AA218" s="35">
        <f t="shared" si="124"/>
        <v>0.89220462850182702</v>
      </c>
      <c r="AB218" s="35">
        <f t="shared" si="125"/>
        <v>0.90320591861898891</v>
      </c>
      <c r="AC218" s="35">
        <f t="shared" si="126"/>
        <v>0.98781973203410478</v>
      </c>
      <c r="AD218" s="20">
        <v>1642</v>
      </c>
      <c r="AE218" s="27">
        <f t="shared" si="137"/>
        <v>20</v>
      </c>
      <c r="AF218" s="20">
        <v>1622</v>
      </c>
      <c r="AG218" s="20">
        <v>1465</v>
      </c>
      <c r="AH218" s="20">
        <f t="shared" si="138"/>
        <v>157</v>
      </c>
      <c r="AI218" s="20"/>
      <c r="AJ218" s="20"/>
      <c r="AK218" s="45">
        <v>2010</v>
      </c>
      <c r="AL218" s="48" t="s">
        <v>46</v>
      </c>
      <c r="AM218" s="35">
        <f t="shared" si="127"/>
        <v>0.93928571428571428</v>
      </c>
      <c r="AN218" s="35">
        <f t="shared" si="128"/>
        <v>0.96691176470588236</v>
      </c>
      <c r="AO218" s="35">
        <f t="shared" si="129"/>
        <v>0.97142857142857142</v>
      </c>
      <c r="AP218" s="20">
        <v>280</v>
      </c>
      <c r="AQ218" s="27">
        <f t="shared" si="139"/>
        <v>8</v>
      </c>
      <c r="AR218" s="20">
        <v>272</v>
      </c>
      <c r="AS218" s="20">
        <v>263</v>
      </c>
      <c r="AT218" s="20">
        <f t="shared" si="140"/>
        <v>9</v>
      </c>
      <c r="AU218" s="20"/>
      <c r="AV218" s="20"/>
      <c r="AW218" s="45"/>
      <c r="AX218" s="48"/>
      <c r="AY218" s="35"/>
      <c r="AZ218" s="35"/>
      <c r="BA218" s="35"/>
    </row>
    <row r="219" spans="1:53" s="29" customFormat="1" ht="12.75">
      <c r="A219" s="46">
        <v>2010</v>
      </c>
      <c r="B219" s="47" t="s">
        <v>47</v>
      </c>
      <c r="C219" s="35">
        <f t="shared" si="118"/>
        <v>0.88703278346210068</v>
      </c>
      <c r="D219" s="35">
        <f t="shared" si="119"/>
        <v>0.91650485436893203</v>
      </c>
      <c r="E219" s="35">
        <f t="shared" si="120"/>
        <v>0.96784297348089376</v>
      </c>
      <c r="F219" s="92">
        <f t="shared" si="130"/>
        <v>4789</v>
      </c>
      <c r="G219" s="27">
        <f t="shared" si="131"/>
        <v>154</v>
      </c>
      <c r="H219" s="92">
        <f t="shared" si="132"/>
        <v>4635</v>
      </c>
      <c r="I219" s="92">
        <f t="shared" si="133"/>
        <v>4248</v>
      </c>
      <c r="J219" s="27">
        <f t="shared" si="134"/>
        <v>387</v>
      </c>
      <c r="K219" s="27"/>
      <c r="L219" s="27"/>
      <c r="M219" s="46">
        <v>2010</v>
      </c>
      <c r="N219" s="47" t="s">
        <v>47</v>
      </c>
      <c r="O219" s="35">
        <f t="shared" si="121"/>
        <v>0.90116896918172162</v>
      </c>
      <c r="P219" s="35">
        <f t="shared" si="122"/>
        <v>0.91874322860238355</v>
      </c>
      <c r="Q219" s="35">
        <f t="shared" si="123"/>
        <v>0.9808714133900106</v>
      </c>
      <c r="R219" s="20">
        <v>2823</v>
      </c>
      <c r="S219" s="27">
        <f t="shared" si="135"/>
        <v>54</v>
      </c>
      <c r="T219" s="20">
        <v>2769</v>
      </c>
      <c r="U219" s="20">
        <v>2544</v>
      </c>
      <c r="V219" s="20">
        <f t="shared" si="136"/>
        <v>225</v>
      </c>
      <c r="W219" s="20"/>
      <c r="X219" s="20"/>
      <c r="Y219" s="46">
        <v>2010</v>
      </c>
      <c r="Z219" s="47" t="s">
        <v>47</v>
      </c>
      <c r="AA219" s="35">
        <f t="shared" si="124"/>
        <v>0.85417901600474211</v>
      </c>
      <c r="AB219" s="35">
        <f t="shared" si="125"/>
        <v>0.90118824265165731</v>
      </c>
      <c r="AC219" s="35">
        <f t="shared" si="126"/>
        <v>0.94783639596917602</v>
      </c>
      <c r="AD219" s="20">
        <v>1687</v>
      </c>
      <c r="AE219" s="27">
        <f t="shared" si="137"/>
        <v>88</v>
      </c>
      <c r="AF219" s="20">
        <v>1599</v>
      </c>
      <c r="AG219" s="20">
        <v>1441</v>
      </c>
      <c r="AH219" s="20">
        <f t="shared" si="138"/>
        <v>158</v>
      </c>
      <c r="AI219" s="20"/>
      <c r="AJ219" s="20"/>
      <c r="AK219" s="46">
        <v>2010</v>
      </c>
      <c r="AL219" s="47" t="s">
        <v>47</v>
      </c>
      <c r="AM219" s="35">
        <f t="shared" si="127"/>
        <v>0.94265232974910396</v>
      </c>
      <c r="AN219" s="35">
        <f t="shared" si="128"/>
        <v>0.98501872659176026</v>
      </c>
      <c r="AO219" s="35">
        <f t="shared" si="129"/>
        <v>0.956989247311828</v>
      </c>
      <c r="AP219" s="20">
        <v>279</v>
      </c>
      <c r="AQ219" s="27">
        <f t="shared" si="139"/>
        <v>12</v>
      </c>
      <c r="AR219" s="20">
        <v>267</v>
      </c>
      <c r="AS219" s="20">
        <v>263</v>
      </c>
      <c r="AT219" s="20">
        <f t="shared" si="140"/>
        <v>4</v>
      </c>
      <c r="AU219" s="20"/>
      <c r="AV219" s="20"/>
      <c r="AW219" s="46"/>
      <c r="AX219" s="47"/>
      <c r="AY219" s="35"/>
      <c r="AZ219" s="35"/>
      <c r="BA219" s="35"/>
    </row>
    <row r="220" spans="1:53" s="29" customFormat="1" ht="12.75">
      <c r="A220" s="45">
        <v>2010</v>
      </c>
      <c r="B220" s="48" t="s">
        <v>48</v>
      </c>
      <c r="C220" s="35">
        <f t="shared" si="118"/>
        <v>0.88829673843530166</v>
      </c>
      <c r="D220" s="35">
        <f t="shared" si="119"/>
        <v>0.90883315158124323</v>
      </c>
      <c r="E220" s="35">
        <f t="shared" si="120"/>
        <v>0.97740353869111063</v>
      </c>
      <c r="F220" s="92">
        <f t="shared" si="130"/>
        <v>4691</v>
      </c>
      <c r="G220" s="27">
        <f t="shared" si="131"/>
        <v>106</v>
      </c>
      <c r="H220" s="92">
        <f t="shared" si="132"/>
        <v>4585</v>
      </c>
      <c r="I220" s="92">
        <f t="shared" si="133"/>
        <v>4167</v>
      </c>
      <c r="J220" s="27">
        <f t="shared" si="134"/>
        <v>418</v>
      </c>
      <c r="K220" s="27"/>
      <c r="L220" s="27"/>
      <c r="M220" s="45">
        <v>2010</v>
      </c>
      <c r="N220" s="48" t="s">
        <v>48</v>
      </c>
      <c r="O220" s="35">
        <f t="shared" si="121"/>
        <v>0.90742074927953886</v>
      </c>
      <c r="P220" s="35">
        <f t="shared" si="122"/>
        <v>0.91566703017084694</v>
      </c>
      <c r="Q220" s="35">
        <f t="shared" si="123"/>
        <v>0.99099423631123917</v>
      </c>
      <c r="R220" s="20">
        <v>2776</v>
      </c>
      <c r="S220" s="27">
        <f t="shared" si="135"/>
        <v>25</v>
      </c>
      <c r="T220" s="20">
        <v>2751</v>
      </c>
      <c r="U220" s="20">
        <v>2519</v>
      </c>
      <c r="V220" s="20">
        <f t="shared" si="136"/>
        <v>232</v>
      </c>
      <c r="W220" s="20"/>
      <c r="X220" s="20"/>
      <c r="Y220" s="45">
        <v>2010</v>
      </c>
      <c r="Z220" s="48" t="s">
        <v>48</v>
      </c>
      <c r="AA220" s="35">
        <f t="shared" si="124"/>
        <v>0.8504273504273504</v>
      </c>
      <c r="AB220" s="35">
        <f t="shared" si="125"/>
        <v>0.88332276474318328</v>
      </c>
      <c r="AC220" s="35">
        <f t="shared" si="126"/>
        <v>0.96275946275946278</v>
      </c>
      <c r="AD220" s="20">
        <v>1638</v>
      </c>
      <c r="AE220" s="27">
        <f t="shared" si="137"/>
        <v>61</v>
      </c>
      <c r="AF220" s="20">
        <v>1577</v>
      </c>
      <c r="AG220" s="20">
        <v>1393</v>
      </c>
      <c r="AH220" s="20">
        <f t="shared" si="138"/>
        <v>184</v>
      </c>
      <c r="AI220" s="20"/>
      <c r="AJ220" s="20"/>
      <c r="AK220" s="45">
        <v>2010</v>
      </c>
      <c r="AL220" s="48" t="s">
        <v>48</v>
      </c>
      <c r="AM220" s="35">
        <f t="shared" si="127"/>
        <v>0.92057761732851984</v>
      </c>
      <c r="AN220" s="35">
        <f t="shared" si="128"/>
        <v>0.99221789883268485</v>
      </c>
      <c r="AO220" s="35">
        <f t="shared" si="129"/>
        <v>0.92779783393501802</v>
      </c>
      <c r="AP220" s="20">
        <v>277</v>
      </c>
      <c r="AQ220" s="27">
        <f t="shared" si="139"/>
        <v>20</v>
      </c>
      <c r="AR220" s="20">
        <v>257</v>
      </c>
      <c r="AS220" s="20">
        <v>255</v>
      </c>
      <c r="AT220" s="20">
        <f t="shared" si="140"/>
        <v>2</v>
      </c>
      <c r="AU220" s="20"/>
      <c r="AV220" s="20"/>
      <c r="AW220" s="45"/>
      <c r="AX220" s="48"/>
      <c r="AY220" s="35"/>
      <c r="AZ220" s="35"/>
      <c r="BA220" s="35"/>
    </row>
    <row r="221" spans="1:53" s="29" customFormat="1" ht="12.75">
      <c r="A221" s="46">
        <v>2010</v>
      </c>
      <c r="B221" s="47" t="s">
        <v>49</v>
      </c>
      <c r="C221" s="35">
        <f t="shared" si="118"/>
        <v>0.75695309256953092</v>
      </c>
      <c r="D221" s="35">
        <f t="shared" si="119"/>
        <v>0.91334835962935135</v>
      </c>
      <c r="E221" s="35">
        <f t="shared" si="120"/>
        <v>0.82876712328767121</v>
      </c>
      <c r="F221" s="92">
        <f t="shared" si="130"/>
        <v>4818</v>
      </c>
      <c r="G221" s="27">
        <f t="shared" si="131"/>
        <v>825</v>
      </c>
      <c r="H221" s="92">
        <f t="shared" si="132"/>
        <v>3993</v>
      </c>
      <c r="I221" s="92">
        <f t="shared" si="133"/>
        <v>3647</v>
      </c>
      <c r="J221" s="27">
        <f t="shared" si="134"/>
        <v>346</v>
      </c>
      <c r="K221" s="27"/>
      <c r="L221" s="27"/>
      <c r="M221" s="46">
        <v>2010</v>
      </c>
      <c r="N221" s="47" t="s">
        <v>49</v>
      </c>
      <c r="O221" s="35">
        <f t="shared" si="121"/>
        <v>0.77609841827768011</v>
      </c>
      <c r="P221" s="35">
        <f t="shared" si="122"/>
        <v>0.91580257154707589</v>
      </c>
      <c r="Q221" s="35">
        <f t="shared" si="123"/>
        <v>0.84745166959578211</v>
      </c>
      <c r="R221" s="20">
        <v>2845</v>
      </c>
      <c r="S221" s="27">
        <f t="shared" si="135"/>
        <v>434</v>
      </c>
      <c r="T221" s="20">
        <v>2411</v>
      </c>
      <c r="U221" s="20">
        <v>2208</v>
      </c>
      <c r="V221" s="20">
        <f t="shared" si="136"/>
        <v>203</v>
      </c>
      <c r="W221" s="20"/>
      <c r="X221" s="20"/>
      <c r="Y221" s="46">
        <v>2010</v>
      </c>
      <c r="Z221" s="47" t="s">
        <v>49</v>
      </c>
      <c r="AA221" s="35">
        <f t="shared" si="124"/>
        <v>0.69367238320520397</v>
      </c>
      <c r="AB221" s="35">
        <f t="shared" si="125"/>
        <v>0.8933739527798934</v>
      </c>
      <c r="AC221" s="35">
        <f t="shared" si="126"/>
        <v>0.77646363098758131</v>
      </c>
      <c r="AD221" s="20">
        <v>1691</v>
      </c>
      <c r="AE221" s="27">
        <f t="shared" si="137"/>
        <v>378</v>
      </c>
      <c r="AF221" s="20">
        <v>1313</v>
      </c>
      <c r="AG221" s="20">
        <v>1173</v>
      </c>
      <c r="AH221" s="20">
        <f t="shared" si="138"/>
        <v>140</v>
      </c>
      <c r="AI221" s="20"/>
      <c r="AJ221" s="20"/>
      <c r="AK221" s="46">
        <v>2010</v>
      </c>
      <c r="AL221" s="47" t="s">
        <v>49</v>
      </c>
      <c r="AM221" s="35">
        <f t="shared" si="127"/>
        <v>0.94326241134751776</v>
      </c>
      <c r="AN221" s="35">
        <f t="shared" si="128"/>
        <v>0.98884758364312264</v>
      </c>
      <c r="AO221" s="35">
        <f t="shared" si="129"/>
        <v>0.95390070921985815</v>
      </c>
      <c r="AP221" s="20">
        <v>282</v>
      </c>
      <c r="AQ221" s="27">
        <f t="shared" si="139"/>
        <v>13</v>
      </c>
      <c r="AR221" s="20">
        <v>269</v>
      </c>
      <c r="AS221" s="20">
        <v>266</v>
      </c>
      <c r="AT221" s="20">
        <f t="shared" si="140"/>
        <v>3</v>
      </c>
      <c r="AU221" s="20"/>
      <c r="AV221" s="20"/>
      <c r="AW221" s="46"/>
      <c r="AX221" s="47"/>
      <c r="AY221" s="35"/>
      <c r="AZ221" s="35"/>
      <c r="BA221" s="35"/>
    </row>
    <row r="222" spans="1:53" s="34" customFormat="1" ht="12.95" customHeight="1">
      <c r="A222" s="45">
        <v>2011</v>
      </c>
      <c r="B222" s="48" t="s">
        <v>38</v>
      </c>
      <c r="C222" s="35">
        <f t="shared" si="118"/>
        <v>0.91894693200663347</v>
      </c>
      <c r="D222" s="35">
        <f t="shared" si="119"/>
        <v>0.94198895027624308</v>
      </c>
      <c r="E222" s="35">
        <f t="shared" si="120"/>
        <v>0.9755389718076285</v>
      </c>
      <c r="F222" s="92">
        <f t="shared" ref="F222:F233" si="141">+R222+AD222+AP222</f>
        <v>4824</v>
      </c>
      <c r="G222" s="27">
        <f t="shared" ref="G222:G233" si="142">F222-H222</f>
        <v>118</v>
      </c>
      <c r="H222" s="92">
        <f t="shared" ref="H222:H233" si="143">+T222+AF222+AR222</f>
        <v>4706</v>
      </c>
      <c r="I222" s="92">
        <f t="shared" ref="I222:I233" si="144">+U222+AG222+AS222</f>
        <v>4433</v>
      </c>
      <c r="J222" s="27">
        <f t="shared" ref="J222:J233" si="145">H222-I222</f>
        <v>273</v>
      </c>
      <c r="K222" s="27"/>
      <c r="L222" s="27"/>
      <c r="M222" s="45">
        <v>2011</v>
      </c>
      <c r="N222" s="48" t="s">
        <v>38</v>
      </c>
      <c r="O222" s="35">
        <f t="shared" si="121"/>
        <v>0.92458786390740089</v>
      </c>
      <c r="P222" s="35">
        <f t="shared" si="122"/>
        <v>0.94514162782359268</v>
      </c>
      <c r="Q222" s="35">
        <f t="shared" si="123"/>
        <v>0.97825324447562256</v>
      </c>
      <c r="R222" s="20">
        <v>2851</v>
      </c>
      <c r="S222" s="27">
        <f t="shared" ref="S222:S233" si="146">R222-T222</f>
        <v>62</v>
      </c>
      <c r="T222" s="20">
        <v>2789</v>
      </c>
      <c r="U222" s="20">
        <v>2636</v>
      </c>
      <c r="V222" s="20">
        <f t="shared" ref="V222:V233" si="147">T222-U222</f>
        <v>153</v>
      </c>
      <c r="W222" s="20"/>
      <c r="X222" s="20"/>
      <c r="Y222" s="45">
        <v>2011</v>
      </c>
      <c r="Z222" s="48" t="s">
        <v>38</v>
      </c>
      <c r="AA222" s="35">
        <f t="shared" si="124"/>
        <v>0.90704558910597988</v>
      </c>
      <c r="AB222" s="35">
        <f t="shared" si="125"/>
        <v>0.93187347931873477</v>
      </c>
      <c r="AC222" s="35">
        <f t="shared" si="126"/>
        <v>0.97335701598579039</v>
      </c>
      <c r="AD222" s="20">
        <v>1689</v>
      </c>
      <c r="AE222" s="27">
        <f t="shared" ref="AE222:AE233" si="148">AD222-AF222</f>
        <v>45</v>
      </c>
      <c r="AF222" s="20">
        <v>1644</v>
      </c>
      <c r="AG222" s="20">
        <v>1532</v>
      </c>
      <c r="AH222" s="20">
        <f t="shared" ref="AH222:AH233" si="149">AF222-AG222</f>
        <v>112</v>
      </c>
      <c r="AI222" s="20"/>
      <c r="AJ222" s="20"/>
      <c r="AK222" s="45">
        <v>2011</v>
      </c>
      <c r="AL222" s="48" t="s">
        <v>38</v>
      </c>
      <c r="AM222" s="35">
        <f t="shared" si="127"/>
        <v>0.93309859154929575</v>
      </c>
      <c r="AN222" s="35">
        <f t="shared" si="128"/>
        <v>0.97069597069597069</v>
      </c>
      <c r="AO222" s="35">
        <f t="shared" si="129"/>
        <v>0.96126760563380287</v>
      </c>
      <c r="AP222" s="20">
        <v>284</v>
      </c>
      <c r="AQ222" s="27">
        <f t="shared" ref="AQ222:AQ233" si="150">AP222-AR222</f>
        <v>11</v>
      </c>
      <c r="AR222" s="20">
        <v>273</v>
      </c>
      <c r="AS222" s="20">
        <v>265</v>
      </c>
      <c r="AT222" s="20">
        <f t="shared" ref="AT222:AT233" si="151">AR222-AS222</f>
        <v>8</v>
      </c>
      <c r="AU222" s="20"/>
      <c r="AV222" s="20"/>
      <c r="AW222" s="45"/>
      <c r="AX222" s="48"/>
      <c r="AY222" s="35"/>
      <c r="AZ222" s="35"/>
      <c r="BA222" s="35"/>
    </row>
    <row r="223" spans="1:53" s="34" customFormat="1" ht="12.95" customHeight="1">
      <c r="A223" s="46">
        <v>2011</v>
      </c>
      <c r="B223" s="47" t="s">
        <v>39</v>
      </c>
      <c r="C223" s="35">
        <f t="shared" si="118"/>
        <v>0.9131028207461328</v>
      </c>
      <c r="D223" s="35">
        <f t="shared" si="119"/>
        <v>0.94647488799811363</v>
      </c>
      <c r="E223" s="35">
        <f t="shared" si="120"/>
        <v>0.9647406733393995</v>
      </c>
      <c r="F223" s="92">
        <f t="shared" si="141"/>
        <v>4396</v>
      </c>
      <c r="G223" s="27">
        <f t="shared" si="142"/>
        <v>155</v>
      </c>
      <c r="H223" s="92">
        <f t="shared" si="143"/>
        <v>4241</v>
      </c>
      <c r="I223" s="92">
        <f t="shared" si="144"/>
        <v>4014</v>
      </c>
      <c r="J223" s="27">
        <f t="shared" si="145"/>
        <v>227</v>
      </c>
      <c r="K223" s="27"/>
      <c r="L223" s="27"/>
      <c r="M223" s="46">
        <v>2011</v>
      </c>
      <c r="N223" s="47" t="s">
        <v>39</v>
      </c>
      <c r="O223" s="35">
        <f t="shared" si="121"/>
        <v>0.92511520737327191</v>
      </c>
      <c r="P223" s="35">
        <f t="shared" si="122"/>
        <v>0.95633187772925765</v>
      </c>
      <c r="Q223" s="35">
        <f t="shared" si="123"/>
        <v>0.96735791090629797</v>
      </c>
      <c r="R223" s="20">
        <v>2604</v>
      </c>
      <c r="S223" s="27">
        <f t="shared" si="146"/>
        <v>85</v>
      </c>
      <c r="T223" s="20">
        <v>2519</v>
      </c>
      <c r="U223" s="20">
        <v>2409</v>
      </c>
      <c r="V223" s="20">
        <f t="shared" si="147"/>
        <v>110</v>
      </c>
      <c r="W223" s="20"/>
      <c r="X223" s="20"/>
      <c r="Y223" s="46">
        <v>2011</v>
      </c>
      <c r="Z223" s="47" t="s">
        <v>39</v>
      </c>
      <c r="AA223" s="35">
        <f t="shared" si="124"/>
        <v>0.88968668407310703</v>
      </c>
      <c r="AB223" s="35">
        <f t="shared" si="125"/>
        <v>0.92344173441734423</v>
      </c>
      <c r="AC223" s="35">
        <f t="shared" si="126"/>
        <v>0.96344647519582249</v>
      </c>
      <c r="AD223" s="20">
        <v>1532</v>
      </c>
      <c r="AE223" s="27">
        <f t="shared" si="148"/>
        <v>56</v>
      </c>
      <c r="AF223" s="20">
        <v>1476</v>
      </c>
      <c r="AG223" s="20">
        <v>1363</v>
      </c>
      <c r="AH223" s="20">
        <f t="shared" si="149"/>
        <v>113</v>
      </c>
      <c r="AI223" s="20"/>
      <c r="AJ223" s="20"/>
      <c r="AK223" s="46">
        <v>2011</v>
      </c>
      <c r="AL223" s="47" t="s">
        <v>39</v>
      </c>
      <c r="AM223" s="35">
        <f t="shared" si="127"/>
        <v>0.93076923076923079</v>
      </c>
      <c r="AN223" s="35">
        <f t="shared" si="128"/>
        <v>0.98373983739837401</v>
      </c>
      <c r="AO223" s="35">
        <f t="shared" si="129"/>
        <v>0.94615384615384612</v>
      </c>
      <c r="AP223" s="20">
        <v>260</v>
      </c>
      <c r="AQ223" s="27">
        <f t="shared" si="150"/>
        <v>14</v>
      </c>
      <c r="AR223" s="20">
        <v>246</v>
      </c>
      <c r="AS223" s="20">
        <v>242</v>
      </c>
      <c r="AT223" s="20">
        <f t="shared" si="151"/>
        <v>4</v>
      </c>
      <c r="AU223" s="20"/>
      <c r="AV223" s="20"/>
      <c r="AW223" s="46"/>
      <c r="AX223" s="47"/>
      <c r="AY223" s="35"/>
      <c r="AZ223" s="35"/>
      <c r="BA223" s="35"/>
    </row>
    <row r="224" spans="1:53" s="34" customFormat="1" ht="12.95" customHeight="1">
      <c r="A224" s="45">
        <v>2011</v>
      </c>
      <c r="B224" s="48" t="s">
        <v>40</v>
      </c>
      <c r="C224" s="35">
        <f t="shared" si="118"/>
        <v>0.92299622324800668</v>
      </c>
      <c r="D224" s="35">
        <f t="shared" si="119"/>
        <v>0.94683598794662072</v>
      </c>
      <c r="E224" s="35">
        <f t="shared" si="120"/>
        <v>0.97482165337809479</v>
      </c>
      <c r="F224" s="92">
        <f t="shared" si="141"/>
        <v>4766</v>
      </c>
      <c r="G224" s="27">
        <f t="shared" si="142"/>
        <v>120</v>
      </c>
      <c r="H224" s="92">
        <f t="shared" si="143"/>
        <v>4646</v>
      </c>
      <c r="I224" s="92">
        <f t="shared" si="144"/>
        <v>4399</v>
      </c>
      <c r="J224" s="27">
        <f t="shared" si="145"/>
        <v>247</v>
      </c>
      <c r="K224" s="27"/>
      <c r="L224" s="27"/>
      <c r="M224" s="45">
        <v>2011</v>
      </c>
      <c r="N224" s="48" t="s">
        <v>40</v>
      </c>
      <c r="O224" s="35">
        <f t="shared" si="121"/>
        <v>0.93729960812255075</v>
      </c>
      <c r="P224" s="35">
        <f t="shared" si="122"/>
        <v>0.95464441219158203</v>
      </c>
      <c r="Q224" s="35">
        <f t="shared" si="123"/>
        <v>0.98183113644460274</v>
      </c>
      <c r="R224" s="20">
        <v>2807</v>
      </c>
      <c r="S224" s="27">
        <f t="shared" si="146"/>
        <v>51</v>
      </c>
      <c r="T224" s="20">
        <v>2756</v>
      </c>
      <c r="U224" s="20">
        <v>2631</v>
      </c>
      <c r="V224" s="20">
        <f t="shared" si="147"/>
        <v>125</v>
      </c>
      <c r="W224" s="20"/>
      <c r="X224" s="20"/>
      <c r="Y224" s="45">
        <v>2011</v>
      </c>
      <c r="Z224" s="48" t="s">
        <v>40</v>
      </c>
      <c r="AA224" s="35">
        <f t="shared" si="124"/>
        <v>0.9042236763831053</v>
      </c>
      <c r="AB224" s="35">
        <f t="shared" si="125"/>
        <v>0.93538461538461537</v>
      </c>
      <c r="AC224" s="35">
        <f t="shared" si="126"/>
        <v>0.96668649613325397</v>
      </c>
      <c r="AD224" s="20">
        <v>1681</v>
      </c>
      <c r="AE224" s="27">
        <f t="shared" si="148"/>
        <v>56</v>
      </c>
      <c r="AF224" s="20">
        <v>1625</v>
      </c>
      <c r="AG224" s="20">
        <v>1520</v>
      </c>
      <c r="AH224" s="20">
        <f t="shared" si="149"/>
        <v>105</v>
      </c>
      <c r="AI224" s="20"/>
      <c r="AJ224" s="20"/>
      <c r="AK224" s="45">
        <v>2011</v>
      </c>
      <c r="AL224" s="48" t="s">
        <v>40</v>
      </c>
      <c r="AM224" s="35">
        <f t="shared" si="127"/>
        <v>0.8920863309352518</v>
      </c>
      <c r="AN224" s="35">
        <f t="shared" si="128"/>
        <v>0.9358490566037736</v>
      </c>
      <c r="AO224" s="35">
        <f t="shared" si="129"/>
        <v>0.9532374100719424</v>
      </c>
      <c r="AP224" s="20">
        <v>278</v>
      </c>
      <c r="AQ224" s="27">
        <f t="shared" si="150"/>
        <v>13</v>
      </c>
      <c r="AR224" s="20">
        <v>265</v>
      </c>
      <c r="AS224" s="20">
        <v>248</v>
      </c>
      <c r="AT224" s="20">
        <f t="shared" si="151"/>
        <v>17</v>
      </c>
      <c r="AU224" s="20"/>
      <c r="AV224" s="20"/>
      <c r="AW224" s="45"/>
      <c r="AX224" s="48"/>
      <c r="AY224" s="35"/>
      <c r="AZ224" s="35"/>
      <c r="BA224" s="35"/>
    </row>
    <row r="225" spans="1:53" s="34" customFormat="1" ht="12.95" customHeight="1">
      <c r="A225" s="46">
        <v>2011</v>
      </c>
      <c r="B225" s="47" t="s">
        <v>41</v>
      </c>
      <c r="C225" s="35">
        <f t="shared" si="118"/>
        <v>0.9153780068728522</v>
      </c>
      <c r="D225" s="35">
        <f t="shared" si="119"/>
        <v>0.93752749670039592</v>
      </c>
      <c r="E225" s="35">
        <f t="shared" si="120"/>
        <v>0.97637457044673537</v>
      </c>
      <c r="F225" s="92">
        <f t="shared" si="141"/>
        <v>4656</v>
      </c>
      <c r="G225" s="27">
        <f t="shared" si="142"/>
        <v>110</v>
      </c>
      <c r="H225" s="92">
        <f t="shared" si="143"/>
        <v>4546</v>
      </c>
      <c r="I225" s="92">
        <f t="shared" si="144"/>
        <v>4262</v>
      </c>
      <c r="J225" s="27">
        <f t="shared" si="145"/>
        <v>284</v>
      </c>
      <c r="K225" s="27"/>
      <c r="L225" s="27"/>
      <c r="M225" s="46">
        <v>2011</v>
      </c>
      <c r="N225" s="47" t="s">
        <v>41</v>
      </c>
      <c r="O225" s="35">
        <f t="shared" si="121"/>
        <v>0.92503639010189231</v>
      </c>
      <c r="P225" s="35">
        <f t="shared" si="122"/>
        <v>0.94252873563218387</v>
      </c>
      <c r="Q225" s="35">
        <f t="shared" si="123"/>
        <v>0.98144104803493448</v>
      </c>
      <c r="R225" s="20">
        <v>2748</v>
      </c>
      <c r="S225" s="27">
        <f t="shared" si="146"/>
        <v>51</v>
      </c>
      <c r="T225" s="20">
        <v>2697</v>
      </c>
      <c r="U225" s="20">
        <v>2542</v>
      </c>
      <c r="V225" s="20">
        <f t="shared" si="147"/>
        <v>155</v>
      </c>
      <c r="W225" s="20"/>
      <c r="X225" s="20"/>
      <c r="Y225" s="46">
        <v>2011</v>
      </c>
      <c r="Z225" s="47" t="s">
        <v>41</v>
      </c>
      <c r="AA225" s="35">
        <f t="shared" si="124"/>
        <v>0.90281173594132025</v>
      </c>
      <c r="AB225" s="35">
        <f t="shared" si="125"/>
        <v>0.91967621419676215</v>
      </c>
      <c r="AC225" s="35">
        <f t="shared" si="126"/>
        <v>0.98166259168704162</v>
      </c>
      <c r="AD225" s="20">
        <v>1636</v>
      </c>
      <c r="AE225" s="27">
        <f t="shared" si="148"/>
        <v>30</v>
      </c>
      <c r="AF225" s="20">
        <v>1606</v>
      </c>
      <c r="AG225" s="20">
        <v>1477</v>
      </c>
      <c r="AH225" s="20">
        <f t="shared" si="149"/>
        <v>129</v>
      </c>
      <c r="AI225" s="20"/>
      <c r="AJ225" s="20"/>
      <c r="AK225" s="46">
        <v>2011</v>
      </c>
      <c r="AL225" s="47" t="s">
        <v>41</v>
      </c>
      <c r="AM225" s="35">
        <f t="shared" si="127"/>
        <v>0.89338235294117652</v>
      </c>
      <c r="AN225" s="35">
        <f t="shared" si="128"/>
        <v>1</v>
      </c>
      <c r="AO225" s="35">
        <f t="shared" si="129"/>
        <v>0.89338235294117652</v>
      </c>
      <c r="AP225" s="20">
        <v>272</v>
      </c>
      <c r="AQ225" s="27">
        <f t="shared" si="150"/>
        <v>29</v>
      </c>
      <c r="AR225" s="20">
        <v>243</v>
      </c>
      <c r="AS225" s="20">
        <v>243</v>
      </c>
      <c r="AT225" s="20">
        <f t="shared" si="151"/>
        <v>0</v>
      </c>
      <c r="AU225" s="20"/>
      <c r="AV225" s="20"/>
      <c r="AW225" s="46"/>
      <c r="AX225" s="47"/>
      <c r="AY225" s="35"/>
      <c r="AZ225" s="35"/>
      <c r="BA225" s="35"/>
    </row>
    <row r="226" spans="1:53" s="34" customFormat="1" ht="12.95" customHeight="1">
      <c r="A226" s="45">
        <v>2011</v>
      </c>
      <c r="B226" s="48" t="s">
        <v>42</v>
      </c>
      <c r="C226" s="35">
        <f t="shared" si="118"/>
        <v>0.93573797678275294</v>
      </c>
      <c r="D226" s="35">
        <f t="shared" si="119"/>
        <v>0.95615335733954676</v>
      </c>
      <c r="E226" s="35">
        <f t="shared" si="120"/>
        <v>0.97864842454394696</v>
      </c>
      <c r="F226" s="92">
        <f t="shared" si="141"/>
        <v>4824</v>
      </c>
      <c r="G226" s="27">
        <f t="shared" si="142"/>
        <v>103</v>
      </c>
      <c r="H226" s="92">
        <f t="shared" si="143"/>
        <v>4721</v>
      </c>
      <c r="I226" s="92">
        <f t="shared" si="144"/>
        <v>4514</v>
      </c>
      <c r="J226" s="27">
        <f t="shared" si="145"/>
        <v>207</v>
      </c>
      <c r="K226" s="27"/>
      <c r="L226" s="27"/>
      <c r="M226" s="45">
        <v>2011</v>
      </c>
      <c r="N226" s="48" t="s">
        <v>42</v>
      </c>
      <c r="O226" s="35">
        <f t="shared" si="121"/>
        <v>0.94528235706769559</v>
      </c>
      <c r="P226" s="35">
        <f t="shared" si="122"/>
        <v>0.96078431372549022</v>
      </c>
      <c r="Q226" s="35">
        <f t="shared" si="123"/>
        <v>0.98386531041739744</v>
      </c>
      <c r="R226" s="20">
        <v>2851</v>
      </c>
      <c r="S226" s="27">
        <f t="shared" si="146"/>
        <v>46</v>
      </c>
      <c r="T226" s="20">
        <v>2805</v>
      </c>
      <c r="U226" s="20">
        <v>2695</v>
      </c>
      <c r="V226" s="20">
        <f t="shared" si="147"/>
        <v>110</v>
      </c>
      <c r="W226" s="20"/>
      <c r="X226" s="20"/>
      <c r="Y226" s="45">
        <v>2011</v>
      </c>
      <c r="Z226" s="48" t="s">
        <v>42</v>
      </c>
      <c r="AA226" s="35">
        <f t="shared" si="124"/>
        <v>0.93191237418590878</v>
      </c>
      <c r="AB226" s="35">
        <f t="shared" si="125"/>
        <v>0.94762191450933175</v>
      </c>
      <c r="AC226" s="35">
        <f t="shared" si="126"/>
        <v>0.9834221432800474</v>
      </c>
      <c r="AD226" s="20">
        <v>1689</v>
      </c>
      <c r="AE226" s="27">
        <f t="shared" si="148"/>
        <v>28</v>
      </c>
      <c r="AF226" s="20">
        <v>1661</v>
      </c>
      <c r="AG226" s="20">
        <v>1574</v>
      </c>
      <c r="AH226" s="20">
        <f t="shared" si="149"/>
        <v>87</v>
      </c>
      <c r="AI226" s="20"/>
      <c r="AJ226" s="20"/>
      <c r="AK226" s="45">
        <v>2011</v>
      </c>
      <c r="AL226" s="48" t="s">
        <v>42</v>
      </c>
      <c r="AM226" s="35">
        <f t="shared" si="127"/>
        <v>0.86267605633802813</v>
      </c>
      <c r="AN226" s="35">
        <f t="shared" si="128"/>
        <v>0.96078431372549022</v>
      </c>
      <c r="AO226" s="35">
        <f t="shared" si="129"/>
        <v>0.897887323943662</v>
      </c>
      <c r="AP226" s="20">
        <v>284</v>
      </c>
      <c r="AQ226" s="27">
        <f t="shared" si="150"/>
        <v>29</v>
      </c>
      <c r="AR226" s="20">
        <v>255</v>
      </c>
      <c r="AS226" s="20">
        <v>245</v>
      </c>
      <c r="AT226" s="20">
        <f t="shared" si="151"/>
        <v>10</v>
      </c>
      <c r="AU226" s="20"/>
      <c r="AV226" s="20"/>
      <c r="AW226" s="45"/>
      <c r="AX226" s="48"/>
      <c r="AY226" s="35"/>
      <c r="AZ226" s="35"/>
      <c r="BA226" s="35"/>
    </row>
    <row r="227" spans="1:53" s="34" customFormat="1" ht="12.95" customHeight="1">
      <c r="A227" s="46">
        <v>2011</v>
      </c>
      <c r="B227" s="47" t="s">
        <v>43</v>
      </c>
      <c r="C227" s="35">
        <f t="shared" si="118"/>
        <v>0.92858665529737794</v>
      </c>
      <c r="D227" s="35">
        <f t="shared" si="119"/>
        <v>0.94572297003907946</v>
      </c>
      <c r="E227" s="35">
        <f t="shared" si="120"/>
        <v>0.98188019612023025</v>
      </c>
      <c r="F227" s="92">
        <f t="shared" si="141"/>
        <v>4691</v>
      </c>
      <c r="G227" s="27">
        <f t="shared" si="142"/>
        <v>85</v>
      </c>
      <c r="H227" s="92">
        <f t="shared" si="143"/>
        <v>4606</v>
      </c>
      <c r="I227" s="92">
        <f t="shared" si="144"/>
        <v>4356</v>
      </c>
      <c r="J227" s="27">
        <f t="shared" si="145"/>
        <v>250</v>
      </c>
      <c r="K227" s="27"/>
      <c r="L227" s="27"/>
      <c r="M227" s="46">
        <v>2011</v>
      </c>
      <c r="N227" s="47" t="s">
        <v>43</v>
      </c>
      <c r="O227" s="35">
        <f t="shared" si="121"/>
        <v>0.93083573487031701</v>
      </c>
      <c r="P227" s="35">
        <f t="shared" si="122"/>
        <v>0.94756142280894751</v>
      </c>
      <c r="Q227" s="35">
        <f t="shared" si="123"/>
        <v>0.98234870317002887</v>
      </c>
      <c r="R227" s="20">
        <v>2776</v>
      </c>
      <c r="S227" s="27">
        <f t="shared" si="146"/>
        <v>49</v>
      </c>
      <c r="T227" s="20">
        <v>2727</v>
      </c>
      <c r="U227" s="20">
        <v>2584</v>
      </c>
      <c r="V227" s="20">
        <f t="shared" si="147"/>
        <v>143</v>
      </c>
      <c r="W227" s="20"/>
      <c r="X227" s="20"/>
      <c r="Y227" s="46">
        <v>2011</v>
      </c>
      <c r="Z227" s="47" t="s">
        <v>43</v>
      </c>
      <c r="AA227" s="35">
        <f t="shared" si="124"/>
        <v>0.9218559218559218</v>
      </c>
      <c r="AB227" s="35">
        <f t="shared" si="125"/>
        <v>0.93556381660470878</v>
      </c>
      <c r="AC227" s="35">
        <f t="shared" si="126"/>
        <v>0.9853479853479854</v>
      </c>
      <c r="AD227" s="20">
        <v>1638</v>
      </c>
      <c r="AE227" s="27">
        <f t="shared" si="148"/>
        <v>24</v>
      </c>
      <c r="AF227" s="20">
        <v>1614</v>
      </c>
      <c r="AG227" s="20">
        <v>1510</v>
      </c>
      <c r="AH227" s="20">
        <f t="shared" si="149"/>
        <v>104</v>
      </c>
      <c r="AI227" s="20"/>
      <c r="AJ227" s="20"/>
      <c r="AK227" s="46">
        <v>2011</v>
      </c>
      <c r="AL227" s="47" t="s">
        <v>43</v>
      </c>
      <c r="AM227" s="35">
        <f t="shared" si="127"/>
        <v>0.94584837545126355</v>
      </c>
      <c r="AN227" s="35">
        <f t="shared" si="128"/>
        <v>0.98867924528301887</v>
      </c>
      <c r="AO227" s="35">
        <f t="shared" si="129"/>
        <v>0.95667870036101088</v>
      </c>
      <c r="AP227" s="20">
        <v>277</v>
      </c>
      <c r="AQ227" s="27">
        <f t="shared" si="150"/>
        <v>12</v>
      </c>
      <c r="AR227" s="20">
        <v>265</v>
      </c>
      <c r="AS227" s="20">
        <v>262</v>
      </c>
      <c r="AT227" s="20">
        <f t="shared" si="151"/>
        <v>3</v>
      </c>
      <c r="AU227" s="20"/>
      <c r="AV227" s="20"/>
      <c r="AW227" s="46"/>
      <c r="AX227" s="47"/>
      <c r="AY227" s="35"/>
      <c r="AZ227" s="35"/>
      <c r="BA227" s="35"/>
    </row>
    <row r="228" spans="1:53" s="34" customFormat="1" ht="12.95" customHeight="1">
      <c r="A228" s="45">
        <v>2011</v>
      </c>
      <c r="B228" s="48" t="s">
        <v>44</v>
      </c>
      <c r="C228" s="35">
        <f t="shared" si="118"/>
        <v>0.91998341625207292</v>
      </c>
      <c r="D228" s="35">
        <f t="shared" si="119"/>
        <v>0.95236051502145924</v>
      </c>
      <c r="E228" s="35">
        <f t="shared" si="120"/>
        <v>0.96600331674958539</v>
      </c>
      <c r="F228" s="92">
        <f t="shared" si="141"/>
        <v>4824</v>
      </c>
      <c r="G228" s="27">
        <f t="shared" si="142"/>
        <v>164</v>
      </c>
      <c r="H228" s="92">
        <f t="shared" si="143"/>
        <v>4660</v>
      </c>
      <c r="I228" s="92">
        <f t="shared" si="144"/>
        <v>4438</v>
      </c>
      <c r="J228" s="27">
        <f t="shared" si="145"/>
        <v>222</v>
      </c>
      <c r="K228" s="27"/>
      <c r="L228" s="27"/>
      <c r="M228" s="45">
        <v>2011</v>
      </c>
      <c r="N228" s="48" t="s">
        <v>44</v>
      </c>
      <c r="O228" s="35">
        <f t="shared" si="121"/>
        <v>0.92353560154331815</v>
      </c>
      <c r="P228" s="35">
        <f t="shared" si="122"/>
        <v>0.95675872093023251</v>
      </c>
      <c r="Q228" s="35">
        <f t="shared" si="123"/>
        <v>0.96527534198526832</v>
      </c>
      <c r="R228" s="20">
        <v>2851</v>
      </c>
      <c r="S228" s="27">
        <f t="shared" si="146"/>
        <v>99</v>
      </c>
      <c r="T228" s="20">
        <v>2752</v>
      </c>
      <c r="U228" s="20">
        <v>2633</v>
      </c>
      <c r="V228" s="20">
        <f t="shared" si="147"/>
        <v>119</v>
      </c>
      <c r="W228" s="20"/>
      <c r="X228" s="20"/>
      <c r="Y228" s="45">
        <v>2011</v>
      </c>
      <c r="Z228" s="48" t="s">
        <v>44</v>
      </c>
      <c r="AA228" s="35">
        <f t="shared" si="124"/>
        <v>0.91000592066311425</v>
      </c>
      <c r="AB228" s="35">
        <f t="shared" si="125"/>
        <v>0.94121249234537663</v>
      </c>
      <c r="AC228" s="35">
        <f t="shared" si="126"/>
        <v>0.96684428656009469</v>
      </c>
      <c r="AD228" s="20">
        <v>1689</v>
      </c>
      <c r="AE228" s="27">
        <f t="shared" si="148"/>
        <v>56</v>
      </c>
      <c r="AF228" s="20">
        <v>1633</v>
      </c>
      <c r="AG228" s="20">
        <v>1537</v>
      </c>
      <c r="AH228" s="20">
        <f t="shared" si="149"/>
        <v>96</v>
      </c>
      <c r="AI228" s="20"/>
      <c r="AJ228" s="20"/>
      <c r="AK228" s="45">
        <v>2011</v>
      </c>
      <c r="AL228" s="48" t="s">
        <v>44</v>
      </c>
      <c r="AM228" s="35">
        <f t="shared" si="127"/>
        <v>0.94366197183098588</v>
      </c>
      <c r="AN228" s="35">
        <f t="shared" si="128"/>
        <v>0.97454545454545449</v>
      </c>
      <c r="AO228" s="35">
        <f t="shared" si="129"/>
        <v>0.96830985915492962</v>
      </c>
      <c r="AP228" s="20">
        <v>284</v>
      </c>
      <c r="AQ228" s="27">
        <f t="shared" si="150"/>
        <v>9</v>
      </c>
      <c r="AR228" s="20">
        <v>275</v>
      </c>
      <c r="AS228" s="20">
        <v>268</v>
      </c>
      <c r="AT228" s="20">
        <f t="shared" si="151"/>
        <v>7</v>
      </c>
      <c r="AU228" s="20"/>
      <c r="AV228" s="20"/>
      <c r="AW228" s="45"/>
      <c r="AX228" s="48"/>
      <c r="AY228" s="35"/>
      <c r="AZ228" s="35"/>
      <c r="BA228" s="35"/>
    </row>
    <row r="229" spans="1:53" s="34" customFormat="1" ht="12.95" customHeight="1">
      <c r="A229" s="46">
        <v>2011</v>
      </c>
      <c r="B229" s="47" t="s">
        <v>45</v>
      </c>
      <c r="C229" s="35">
        <f t="shared" si="118"/>
        <v>0.92994024314856794</v>
      </c>
      <c r="D229" s="35">
        <f t="shared" si="119"/>
        <v>0.96103066439522999</v>
      </c>
      <c r="E229" s="35">
        <f t="shared" si="120"/>
        <v>0.96764887698330926</v>
      </c>
      <c r="F229" s="92">
        <f t="shared" si="141"/>
        <v>4853</v>
      </c>
      <c r="G229" s="27">
        <f t="shared" si="142"/>
        <v>157</v>
      </c>
      <c r="H229" s="92">
        <f t="shared" si="143"/>
        <v>4696</v>
      </c>
      <c r="I229" s="92">
        <f t="shared" si="144"/>
        <v>4513</v>
      </c>
      <c r="J229" s="27">
        <f t="shared" si="145"/>
        <v>183</v>
      </c>
      <c r="K229" s="27"/>
      <c r="L229" s="27"/>
      <c r="M229" s="46">
        <v>2011</v>
      </c>
      <c r="N229" s="47" t="s">
        <v>45</v>
      </c>
      <c r="O229" s="35">
        <f t="shared" si="121"/>
        <v>0.9321266968325792</v>
      </c>
      <c r="P229" s="35">
        <f t="shared" si="122"/>
        <v>0.96054519368723101</v>
      </c>
      <c r="Q229" s="35">
        <f t="shared" si="123"/>
        <v>0.97041420118343191</v>
      </c>
      <c r="R229" s="20">
        <v>2873</v>
      </c>
      <c r="S229" s="27">
        <f t="shared" si="146"/>
        <v>85</v>
      </c>
      <c r="T229" s="20">
        <v>2788</v>
      </c>
      <c r="U229" s="20">
        <v>2678</v>
      </c>
      <c r="V229" s="20">
        <f t="shared" si="147"/>
        <v>110</v>
      </c>
      <c r="W229" s="20"/>
      <c r="X229" s="20"/>
      <c r="Y229" s="46">
        <v>2011</v>
      </c>
      <c r="Z229" s="47" t="s">
        <v>45</v>
      </c>
      <c r="AA229" s="35">
        <f t="shared" si="124"/>
        <v>0.91966922622563496</v>
      </c>
      <c r="AB229" s="35">
        <f t="shared" si="125"/>
        <v>0.95815384615384613</v>
      </c>
      <c r="AC229" s="35">
        <f t="shared" si="126"/>
        <v>0.95983461311281748</v>
      </c>
      <c r="AD229" s="20">
        <v>1693</v>
      </c>
      <c r="AE229" s="27">
        <f t="shared" si="148"/>
        <v>68</v>
      </c>
      <c r="AF229" s="20">
        <v>1625</v>
      </c>
      <c r="AG229" s="20">
        <v>1557</v>
      </c>
      <c r="AH229" s="20">
        <f t="shared" si="149"/>
        <v>68</v>
      </c>
      <c r="AI229" s="20"/>
      <c r="AJ229" s="20"/>
      <c r="AK229" s="46">
        <v>2011</v>
      </c>
      <c r="AL229" s="47" t="s">
        <v>45</v>
      </c>
      <c r="AM229" s="35">
        <f t="shared" si="127"/>
        <v>0.96864111498257843</v>
      </c>
      <c r="AN229" s="35">
        <f t="shared" si="128"/>
        <v>0.98233215547703179</v>
      </c>
      <c r="AO229" s="35">
        <f t="shared" si="129"/>
        <v>0.98606271777003485</v>
      </c>
      <c r="AP229" s="20">
        <v>287</v>
      </c>
      <c r="AQ229" s="27">
        <f t="shared" si="150"/>
        <v>4</v>
      </c>
      <c r="AR229" s="20">
        <v>283</v>
      </c>
      <c r="AS229" s="20">
        <v>278</v>
      </c>
      <c r="AT229" s="20">
        <f t="shared" si="151"/>
        <v>5</v>
      </c>
      <c r="AU229" s="20"/>
      <c r="AV229" s="20"/>
      <c r="AW229" s="46"/>
      <c r="AX229" s="47"/>
      <c r="AY229" s="35"/>
      <c r="AZ229" s="35"/>
      <c r="BA229" s="35"/>
    </row>
    <row r="230" spans="1:53" s="34" customFormat="1" ht="12.95" customHeight="1">
      <c r="A230" s="45">
        <v>2011</v>
      </c>
      <c r="B230" s="48" t="s">
        <v>46</v>
      </c>
      <c r="C230" s="35">
        <f t="shared" si="118"/>
        <v>0.93411016949152548</v>
      </c>
      <c r="D230" s="35">
        <f t="shared" si="119"/>
        <v>0.9609851787271142</v>
      </c>
      <c r="E230" s="35">
        <f t="shared" si="120"/>
        <v>0.9720338983050848</v>
      </c>
      <c r="F230" s="92">
        <f t="shared" si="141"/>
        <v>4720</v>
      </c>
      <c r="G230" s="27">
        <f t="shared" si="142"/>
        <v>132</v>
      </c>
      <c r="H230" s="92">
        <f t="shared" si="143"/>
        <v>4588</v>
      </c>
      <c r="I230" s="92">
        <f t="shared" si="144"/>
        <v>4409</v>
      </c>
      <c r="J230" s="27">
        <f t="shared" si="145"/>
        <v>179</v>
      </c>
      <c r="K230" s="27"/>
      <c r="L230" s="27"/>
      <c r="M230" s="45">
        <v>2011</v>
      </c>
      <c r="N230" s="48" t="s">
        <v>46</v>
      </c>
      <c r="O230" s="35">
        <f t="shared" si="121"/>
        <v>0.94460328806290206</v>
      </c>
      <c r="P230" s="35">
        <f t="shared" si="122"/>
        <v>0.96074154852780802</v>
      </c>
      <c r="Q230" s="35">
        <f t="shared" si="123"/>
        <v>0.98320228734810577</v>
      </c>
      <c r="R230" s="20">
        <v>2798</v>
      </c>
      <c r="S230" s="27">
        <f t="shared" si="146"/>
        <v>47</v>
      </c>
      <c r="T230" s="20">
        <v>2751</v>
      </c>
      <c r="U230" s="20">
        <v>2643</v>
      </c>
      <c r="V230" s="20">
        <f t="shared" si="147"/>
        <v>108</v>
      </c>
      <c r="W230" s="20"/>
      <c r="X230" s="20"/>
      <c r="Y230" s="45">
        <v>2011</v>
      </c>
      <c r="Z230" s="48" t="s">
        <v>46</v>
      </c>
      <c r="AA230" s="35">
        <f t="shared" si="124"/>
        <v>0.91047503045066991</v>
      </c>
      <c r="AB230" s="35">
        <f t="shared" si="125"/>
        <v>0.95894804361770369</v>
      </c>
      <c r="AC230" s="35">
        <f t="shared" si="126"/>
        <v>0.94945188794153468</v>
      </c>
      <c r="AD230" s="20">
        <v>1642</v>
      </c>
      <c r="AE230" s="27">
        <f t="shared" si="148"/>
        <v>83</v>
      </c>
      <c r="AF230" s="20">
        <v>1559</v>
      </c>
      <c r="AG230" s="20">
        <v>1495</v>
      </c>
      <c r="AH230" s="20">
        <f t="shared" si="149"/>
        <v>64</v>
      </c>
      <c r="AI230" s="20"/>
      <c r="AJ230" s="20"/>
      <c r="AK230" s="45">
        <v>2011</v>
      </c>
      <c r="AL230" s="48" t="s">
        <v>46</v>
      </c>
      <c r="AM230" s="35">
        <f t="shared" si="127"/>
        <v>0.96785714285714286</v>
      </c>
      <c r="AN230" s="35">
        <f t="shared" si="128"/>
        <v>0.97482014388489213</v>
      </c>
      <c r="AO230" s="35">
        <f t="shared" si="129"/>
        <v>0.99285714285714288</v>
      </c>
      <c r="AP230" s="20">
        <v>280</v>
      </c>
      <c r="AQ230" s="27">
        <f t="shared" si="150"/>
        <v>2</v>
      </c>
      <c r="AR230" s="20">
        <v>278</v>
      </c>
      <c r="AS230" s="20">
        <v>271</v>
      </c>
      <c r="AT230" s="20">
        <f t="shared" si="151"/>
        <v>7</v>
      </c>
      <c r="AU230" s="20"/>
      <c r="AV230" s="20"/>
      <c r="AW230" s="45"/>
      <c r="AX230" s="48"/>
      <c r="AY230" s="35"/>
      <c r="AZ230" s="35"/>
      <c r="BA230" s="35"/>
    </row>
    <row r="231" spans="1:53" s="34" customFormat="1" ht="12.95" customHeight="1">
      <c r="A231" s="46">
        <v>2011</v>
      </c>
      <c r="B231" s="47" t="s">
        <v>47</v>
      </c>
      <c r="C231" s="35">
        <f t="shared" si="118"/>
        <v>0.94541303445413039</v>
      </c>
      <c r="D231" s="35">
        <f t="shared" si="119"/>
        <v>0.96076777051255013</v>
      </c>
      <c r="E231" s="35">
        <f t="shared" si="120"/>
        <v>0.98401826484018262</v>
      </c>
      <c r="F231" s="92">
        <f t="shared" si="141"/>
        <v>4818</v>
      </c>
      <c r="G231" s="27">
        <f t="shared" si="142"/>
        <v>77</v>
      </c>
      <c r="H231" s="92">
        <f t="shared" si="143"/>
        <v>4741</v>
      </c>
      <c r="I231" s="92">
        <f t="shared" si="144"/>
        <v>4555</v>
      </c>
      <c r="J231" s="27">
        <f t="shared" si="145"/>
        <v>186</v>
      </c>
      <c r="K231" s="27"/>
      <c r="L231" s="27"/>
      <c r="M231" s="46">
        <v>2011</v>
      </c>
      <c r="N231" s="47" t="s">
        <v>47</v>
      </c>
      <c r="O231" s="35">
        <f t="shared" si="121"/>
        <v>0.957469244288225</v>
      </c>
      <c r="P231" s="35">
        <f t="shared" si="122"/>
        <v>0.96767317939609232</v>
      </c>
      <c r="Q231" s="35">
        <f t="shared" si="123"/>
        <v>0.98945518453427062</v>
      </c>
      <c r="R231" s="20">
        <v>2845</v>
      </c>
      <c r="S231" s="27">
        <f t="shared" si="146"/>
        <v>30</v>
      </c>
      <c r="T231" s="20">
        <v>2815</v>
      </c>
      <c r="U231" s="20">
        <v>2724</v>
      </c>
      <c r="V231" s="20">
        <f t="shared" si="147"/>
        <v>91</v>
      </c>
      <c r="W231" s="20"/>
      <c r="X231" s="20"/>
      <c r="Y231" s="46">
        <v>2011</v>
      </c>
      <c r="Z231" s="47" t="s">
        <v>47</v>
      </c>
      <c r="AA231" s="35">
        <f t="shared" si="124"/>
        <v>0.93081017149615608</v>
      </c>
      <c r="AB231" s="35">
        <f t="shared" si="125"/>
        <v>0.95163240628778722</v>
      </c>
      <c r="AC231" s="35">
        <f t="shared" si="126"/>
        <v>0.97811945594322891</v>
      </c>
      <c r="AD231" s="20">
        <v>1691</v>
      </c>
      <c r="AE231" s="27">
        <f t="shared" si="148"/>
        <v>37</v>
      </c>
      <c r="AF231" s="20">
        <v>1654</v>
      </c>
      <c r="AG231" s="20">
        <v>1574</v>
      </c>
      <c r="AH231" s="20">
        <f t="shared" si="149"/>
        <v>80</v>
      </c>
      <c r="AI231" s="20"/>
      <c r="AJ231" s="20"/>
      <c r="AK231" s="46">
        <v>2011</v>
      </c>
      <c r="AL231" s="47" t="s">
        <v>47</v>
      </c>
      <c r="AM231" s="35">
        <f t="shared" si="127"/>
        <v>0.91134751773049649</v>
      </c>
      <c r="AN231" s="35">
        <f t="shared" si="128"/>
        <v>0.94485294117647056</v>
      </c>
      <c r="AO231" s="35">
        <f t="shared" si="129"/>
        <v>0.96453900709219853</v>
      </c>
      <c r="AP231" s="20">
        <v>282</v>
      </c>
      <c r="AQ231" s="27">
        <f t="shared" si="150"/>
        <v>10</v>
      </c>
      <c r="AR231" s="20">
        <v>272</v>
      </c>
      <c r="AS231" s="20">
        <v>257</v>
      </c>
      <c r="AT231" s="20">
        <f t="shared" si="151"/>
        <v>15</v>
      </c>
      <c r="AU231" s="20"/>
      <c r="AV231" s="20"/>
      <c r="AW231" s="46"/>
      <c r="AX231" s="47"/>
      <c r="AY231" s="35"/>
      <c r="AZ231" s="35"/>
      <c r="BA231" s="35"/>
    </row>
    <row r="232" spans="1:53" s="34" customFormat="1" ht="12.95" customHeight="1">
      <c r="A232" s="45">
        <v>2011</v>
      </c>
      <c r="B232" s="48" t="s">
        <v>48</v>
      </c>
      <c r="C232" s="35">
        <f t="shared" si="118"/>
        <v>0.94052440844169682</v>
      </c>
      <c r="D232" s="35">
        <f t="shared" si="119"/>
        <v>0.95373973194984873</v>
      </c>
      <c r="E232" s="35">
        <f t="shared" si="120"/>
        <v>0.9861436793860584</v>
      </c>
      <c r="F232" s="92">
        <f t="shared" si="141"/>
        <v>4691</v>
      </c>
      <c r="G232" s="27">
        <f t="shared" si="142"/>
        <v>65</v>
      </c>
      <c r="H232" s="92">
        <f t="shared" si="143"/>
        <v>4626</v>
      </c>
      <c r="I232" s="92">
        <f t="shared" si="144"/>
        <v>4412</v>
      </c>
      <c r="J232" s="27">
        <f t="shared" si="145"/>
        <v>214</v>
      </c>
      <c r="K232" s="27"/>
      <c r="L232" s="27"/>
      <c r="M232" s="45">
        <v>2011</v>
      </c>
      <c r="N232" s="48" t="s">
        <v>48</v>
      </c>
      <c r="O232" s="35">
        <f t="shared" si="121"/>
        <v>0.9528097982708934</v>
      </c>
      <c r="P232" s="35">
        <f t="shared" si="122"/>
        <v>0.96077006901561934</v>
      </c>
      <c r="Q232" s="35">
        <f t="shared" si="123"/>
        <v>0.99171469740634011</v>
      </c>
      <c r="R232" s="20">
        <v>2776</v>
      </c>
      <c r="S232" s="27">
        <f t="shared" si="146"/>
        <v>23</v>
      </c>
      <c r="T232" s="20">
        <v>2753</v>
      </c>
      <c r="U232" s="20">
        <v>2645</v>
      </c>
      <c r="V232" s="20">
        <f t="shared" si="147"/>
        <v>108</v>
      </c>
      <c r="W232" s="20"/>
      <c r="X232" s="20"/>
      <c r="Y232" s="45">
        <v>2011</v>
      </c>
      <c r="Z232" s="48" t="s">
        <v>48</v>
      </c>
      <c r="AA232" s="35">
        <f t="shared" si="124"/>
        <v>0.91575091575091572</v>
      </c>
      <c r="AB232" s="35">
        <f t="shared" si="125"/>
        <v>0.93926111458985595</v>
      </c>
      <c r="AC232" s="35">
        <f t="shared" si="126"/>
        <v>0.97496947496947495</v>
      </c>
      <c r="AD232" s="20">
        <v>1638</v>
      </c>
      <c r="AE232" s="27">
        <f t="shared" si="148"/>
        <v>41</v>
      </c>
      <c r="AF232" s="20">
        <v>1597</v>
      </c>
      <c r="AG232" s="20">
        <v>1500</v>
      </c>
      <c r="AH232" s="20">
        <f t="shared" si="149"/>
        <v>97</v>
      </c>
      <c r="AI232" s="20"/>
      <c r="AJ232" s="20"/>
      <c r="AK232" s="45">
        <v>2011</v>
      </c>
      <c r="AL232" s="48" t="s">
        <v>48</v>
      </c>
      <c r="AM232" s="35">
        <f t="shared" si="127"/>
        <v>0.96389891696750907</v>
      </c>
      <c r="AN232" s="35">
        <f t="shared" si="128"/>
        <v>0.96739130434782605</v>
      </c>
      <c r="AO232" s="35">
        <f t="shared" si="129"/>
        <v>0.99638989169675085</v>
      </c>
      <c r="AP232" s="20">
        <v>277</v>
      </c>
      <c r="AQ232" s="27">
        <f t="shared" si="150"/>
        <v>1</v>
      </c>
      <c r="AR232" s="20">
        <v>276</v>
      </c>
      <c r="AS232" s="20">
        <v>267</v>
      </c>
      <c r="AT232" s="20">
        <f t="shared" si="151"/>
        <v>9</v>
      </c>
      <c r="AU232" s="20"/>
      <c r="AV232" s="20"/>
      <c r="AW232" s="45"/>
      <c r="AX232" s="48"/>
      <c r="AY232" s="35"/>
      <c r="AZ232" s="35"/>
      <c r="BA232" s="35"/>
    </row>
    <row r="233" spans="1:53" s="34" customFormat="1" ht="12.95" customHeight="1">
      <c r="A233" s="46">
        <v>2011</v>
      </c>
      <c r="B233" s="47" t="s">
        <v>49</v>
      </c>
      <c r="C233" s="35">
        <f t="shared" si="118"/>
        <v>0.87712743877127441</v>
      </c>
      <c r="D233" s="35">
        <f t="shared" si="119"/>
        <v>0.91650401214487098</v>
      </c>
      <c r="E233" s="35">
        <f t="shared" si="120"/>
        <v>0.9570361145703612</v>
      </c>
      <c r="F233" s="92">
        <f t="shared" si="141"/>
        <v>4818</v>
      </c>
      <c r="G233" s="27">
        <f t="shared" si="142"/>
        <v>207</v>
      </c>
      <c r="H233" s="92">
        <f t="shared" si="143"/>
        <v>4611</v>
      </c>
      <c r="I233" s="92">
        <f t="shared" si="144"/>
        <v>4226</v>
      </c>
      <c r="J233" s="27">
        <f t="shared" si="145"/>
        <v>385</v>
      </c>
      <c r="K233" s="27"/>
      <c r="L233" s="27"/>
      <c r="M233" s="46">
        <v>2011</v>
      </c>
      <c r="N233" s="47" t="s">
        <v>49</v>
      </c>
      <c r="O233" s="35">
        <f t="shared" si="121"/>
        <v>0.89525483304042175</v>
      </c>
      <c r="P233" s="35">
        <f t="shared" si="122"/>
        <v>0.91585760517799353</v>
      </c>
      <c r="Q233" s="35">
        <f t="shared" si="123"/>
        <v>0.97750439367311071</v>
      </c>
      <c r="R233" s="20">
        <v>2845</v>
      </c>
      <c r="S233" s="27">
        <f t="shared" si="146"/>
        <v>64</v>
      </c>
      <c r="T233" s="20">
        <v>2781</v>
      </c>
      <c r="U233" s="20">
        <v>2547</v>
      </c>
      <c r="V233" s="20">
        <f t="shared" si="147"/>
        <v>234</v>
      </c>
      <c r="W233" s="20"/>
      <c r="X233" s="20"/>
      <c r="Y233" s="46">
        <v>2011</v>
      </c>
      <c r="Z233" s="47" t="s">
        <v>49</v>
      </c>
      <c r="AA233" s="35">
        <f t="shared" si="124"/>
        <v>0.84033116499112948</v>
      </c>
      <c r="AB233" s="35">
        <f t="shared" si="125"/>
        <v>0.9079872204472843</v>
      </c>
      <c r="AC233" s="35">
        <f t="shared" si="126"/>
        <v>0.92548787699586044</v>
      </c>
      <c r="AD233" s="20">
        <v>1691</v>
      </c>
      <c r="AE233" s="27">
        <f t="shared" si="148"/>
        <v>126</v>
      </c>
      <c r="AF233" s="20">
        <v>1565</v>
      </c>
      <c r="AG233" s="20">
        <v>1421</v>
      </c>
      <c r="AH233" s="20">
        <f t="shared" si="149"/>
        <v>144</v>
      </c>
      <c r="AI233" s="20"/>
      <c r="AJ233" s="20"/>
      <c r="AK233" s="46">
        <v>2011</v>
      </c>
      <c r="AL233" s="47" t="s">
        <v>49</v>
      </c>
      <c r="AM233" s="35">
        <f t="shared" si="127"/>
        <v>0.91489361702127658</v>
      </c>
      <c r="AN233" s="35">
        <f t="shared" si="128"/>
        <v>0.97358490566037736</v>
      </c>
      <c r="AO233" s="35">
        <f t="shared" si="129"/>
        <v>0.93971631205673756</v>
      </c>
      <c r="AP233" s="20">
        <v>282</v>
      </c>
      <c r="AQ233" s="27">
        <f t="shared" si="150"/>
        <v>17</v>
      </c>
      <c r="AR233" s="20">
        <v>265</v>
      </c>
      <c r="AS233" s="20">
        <v>258</v>
      </c>
      <c r="AT233" s="20">
        <f t="shared" si="151"/>
        <v>7</v>
      </c>
      <c r="AU233" s="20"/>
      <c r="AV233" s="20"/>
      <c r="AW233" s="46"/>
      <c r="AX233" s="47"/>
      <c r="AY233" s="35"/>
      <c r="AZ233" s="35"/>
      <c r="BA233" s="35"/>
    </row>
    <row r="234" spans="1:53" s="34" customFormat="1" ht="12.95" customHeight="1">
      <c r="A234" s="45">
        <v>2012</v>
      </c>
      <c r="B234" s="48" t="s">
        <v>38</v>
      </c>
      <c r="C234" s="35">
        <f t="shared" si="118"/>
        <v>0.90912837420152481</v>
      </c>
      <c r="D234" s="35">
        <f t="shared" si="119"/>
        <v>0.941929974380871</v>
      </c>
      <c r="E234" s="35">
        <f t="shared" si="120"/>
        <v>0.96517617968267055</v>
      </c>
      <c r="F234" s="92">
        <f t="shared" ref="F234:F245" si="152">+R234+AD234+AP234</f>
        <v>4853</v>
      </c>
      <c r="G234" s="27">
        <f t="shared" ref="G234:G245" si="153">F234-H234</f>
        <v>169</v>
      </c>
      <c r="H234" s="92">
        <f t="shared" ref="H234:H245" si="154">+T234+AF234+AR234</f>
        <v>4684</v>
      </c>
      <c r="I234" s="92">
        <f t="shared" ref="I234:I245" si="155">+U234+AG234+AS234</f>
        <v>4412</v>
      </c>
      <c r="J234" s="27">
        <f t="shared" ref="J234:J245" si="156">H234-I234</f>
        <v>272</v>
      </c>
      <c r="K234" s="27"/>
      <c r="L234" s="27"/>
      <c r="M234" s="45">
        <v>2012</v>
      </c>
      <c r="N234" s="48" t="s">
        <v>38</v>
      </c>
      <c r="O234" s="35">
        <f t="shared" si="121"/>
        <v>0.92446919596240862</v>
      </c>
      <c r="P234" s="35">
        <f t="shared" si="122"/>
        <v>0.93818438714235253</v>
      </c>
      <c r="Q234" s="35">
        <f t="shared" si="123"/>
        <v>0.98538113470240163</v>
      </c>
      <c r="R234" s="20">
        <v>2873</v>
      </c>
      <c r="S234" s="27">
        <f t="shared" ref="S234:S245" si="157">R234-T234</f>
        <v>42</v>
      </c>
      <c r="T234" s="20">
        <v>2831</v>
      </c>
      <c r="U234" s="20">
        <v>2656</v>
      </c>
      <c r="V234" s="20">
        <f t="shared" ref="V234:V245" si="158">T234-U234</f>
        <v>175</v>
      </c>
      <c r="W234" s="20"/>
      <c r="X234" s="20"/>
      <c r="Y234" s="45">
        <v>2012</v>
      </c>
      <c r="Z234" s="48" t="s">
        <v>38</v>
      </c>
      <c r="AA234" s="35">
        <f t="shared" si="124"/>
        <v>0.88068517424689896</v>
      </c>
      <c r="AB234" s="35">
        <f t="shared" si="125"/>
        <v>0.94069400630914823</v>
      </c>
      <c r="AC234" s="35">
        <f t="shared" si="126"/>
        <v>0.93620791494388655</v>
      </c>
      <c r="AD234" s="20">
        <v>1693</v>
      </c>
      <c r="AE234" s="27">
        <f t="shared" ref="AE234:AE245" si="159">AD234-AF234</f>
        <v>108</v>
      </c>
      <c r="AF234" s="20">
        <v>1585</v>
      </c>
      <c r="AG234" s="20">
        <v>1491</v>
      </c>
      <c r="AH234" s="20">
        <f t="shared" ref="AH234:AH245" si="160">AF234-AG234</f>
        <v>94</v>
      </c>
      <c r="AI234" s="20"/>
      <c r="AJ234" s="20"/>
      <c r="AK234" s="45">
        <v>2012</v>
      </c>
      <c r="AL234" s="48" t="s">
        <v>38</v>
      </c>
      <c r="AM234" s="35">
        <f t="shared" si="127"/>
        <v>0.9233449477351916</v>
      </c>
      <c r="AN234" s="35">
        <f t="shared" si="128"/>
        <v>0.98880597014925375</v>
      </c>
      <c r="AO234" s="35">
        <f t="shared" si="129"/>
        <v>0.93379790940766549</v>
      </c>
      <c r="AP234" s="20">
        <v>287</v>
      </c>
      <c r="AQ234" s="27">
        <f t="shared" ref="AQ234:AQ245" si="161">AP234-AR234</f>
        <v>19</v>
      </c>
      <c r="AR234" s="20">
        <v>268</v>
      </c>
      <c r="AS234" s="20">
        <v>265</v>
      </c>
      <c r="AT234" s="20">
        <f t="shared" ref="AT234:AT245" si="162">AR234-AS234</f>
        <v>3</v>
      </c>
      <c r="AU234" s="20"/>
      <c r="AV234" s="20"/>
      <c r="AW234" s="45"/>
      <c r="AX234" s="48"/>
      <c r="AY234" s="35"/>
      <c r="AZ234" s="35"/>
      <c r="BA234" s="35"/>
    </row>
    <row r="235" spans="1:53" s="34" customFormat="1" ht="12.95" customHeight="1">
      <c r="A235" s="46">
        <v>2012</v>
      </c>
      <c r="B235" s="47" t="s">
        <v>39</v>
      </c>
      <c r="C235" s="35">
        <f t="shared" si="118"/>
        <v>0.8575262804741669</v>
      </c>
      <c r="D235" s="35">
        <f t="shared" si="119"/>
        <v>0.88935281837160751</v>
      </c>
      <c r="E235" s="35">
        <f t="shared" si="120"/>
        <v>0.96421382241109377</v>
      </c>
      <c r="F235" s="92">
        <f t="shared" si="152"/>
        <v>4471</v>
      </c>
      <c r="G235" s="27">
        <f t="shared" si="153"/>
        <v>160</v>
      </c>
      <c r="H235" s="92">
        <f t="shared" si="154"/>
        <v>4311</v>
      </c>
      <c r="I235" s="92">
        <f t="shared" si="155"/>
        <v>3834</v>
      </c>
      <c r="J235" s="27">
        <f t="shared" si="156"/>
        <v>477</v>
      </c>
      <c r="K235" s="27"/>
      <c r="L235" s="27"/>
      <c r="M235" s="46">
        <v>2012</v>
      </c>
      <c r="N235" s="47" t="s">
        <v>39</v>
      </c>
      <c r="O235" s="35">
        <f t="shared" si="121"/>
        <v>0.88197343453510435</v>
      </c>
      <c r="P235" s="35">
        <f t="shared" si="122"/>
        <v>0.89729729729729735</v>
      </c>
      <c r="Q235" s="35">
        <f t="shared" si="123"/>
        <v>0.98292220113851991</v>
      </c>
      <c r="R235" s="20">
        <v>2635</v>
      </c>
      <c r="S235" s="27">
        <f t="shared" si="157"/>
        <v>45</v>
      </c>
      <c r="T235" s="20">
        <v>2590</v>
      </c>
      <c r="U235" s="20">
        <v>2324</v>
      </c>
      <c r="V235" s="20">
        <f t="shared" si="158"/>
        <v>266</v>
      </c>
      <c r="W235" s="20"/>
      <c r="X235" s="20"/>
      <c r="Y235" s="46">
        <v>2012</v>
      </c>
      <c r="Z235" s="47" t="s">
        <v>39</v>
      </c>
      <c r="AA235" s="35">
        <f t="shared" si="124"/>
        <v>0.80253968253968255</v>
      </c>
      <c r="AB235" s="35">
        <f t="shared" si="125"/>
        <v>0.86397812713602185</v>
      </c>
      <c r="AC235" s="35">
        <f t="shared" si="126"/>
        <v>0.92888888888888888</v>
      </c>
      <c r="AD235" s="20">
        <v>1575</v>
      </c>
      <c r="AE235" s="27">
        <f t="shared" si="159"/>
        <v>112</v>
      </c>
      <c r="AF235" s="20">
        <v>1463</v>
      </c>
      <c r="AG235" s="20">
        <v>1264</v>
      </c>
      <c r="AH235" s="20">
        <f t="shared" si="160"/>
        <v>199</v>
      </c>
      <c r="AI235" s="20"/>
      <c r="AJ235" s="20"/>
      <c r="AK235" s="46">
        <v>2012</v>
      </c>
      <c r="AL235" s="47" t="s">
        <v>39</v>
      </c>
      <c r="AM235" s="35">
        <f t="shared" si="127"/>
        <v>0.94252873563218387</v>
      </c>
      <c r="AN235" s="35">
        <f t="shared" si="128"/>
        <v>0.95348837209302328</v>
      </c>
      <c r="AO235" s="35">
        <f t="shared" si="129"/>
        <v>0.9885057471264368</v>
      </c>
      <c r="AP235" s="20">
        <v>261</v>
      </c>
      <c r="AQ235" s="27">
        <f t="shared" si="161"/>
        <v>3</v>
      </c>
      <c r="AR235" s="20">
        <v>258</v>
      </c>
      <c r="AS235" s="20">
        <v>246</v>
      </c>
      <c r="AT235" s="20">
        <f t="shared" si="162"/>
        <v>12</v>
      </c>
      <c r="AU235" s="20"/>
      <c r="AV235" s="20"/>
      <c r="AW235" s="46"/>
      <c r="AX235" s="47"/>
      <c r="AY235" s="35"/>
      <c r="AZ235" s="35"/>
      <c r="BA235" s="35"/>
    </row>
    <row r="236" spans="1:53" s="34" customFormat="1" ht="12.95" customHeight="1">
      <c r="A236" s="45">
        <v>2012</v>
      </c>
      <c r="B236" s="48" t="s">
        <v>40</v>
      </c>
      <c r="C236" s="35">
        <f t="shared" si="118"/>
        <v>0.87161761801303572</v>
      </c>
      <c r="D236" s="35">
        <f t="shared" si="119"/>
        <v>0.90300798035604668</v>
      </c>
      <c r="E236" s="35">
        <f t="shared" si="120"/>
        <v>0.9652380011850682</v>
      </c>
      <c r="F236" s="92">
        <f t="shared" si="152"/>
        <v>5063</v>
      </c>
      <c r="G236" s="27">
        <f t="shared" si="153"/>
        <v>176</v>
      </c>
      <c r="H236" s="92">
        <f t="shared" si="154"/>
        <v>4887</v>
      </c>
      <c r="I236" s="92">
        <f t="shared" si="155"/>
        <v>4413</v>
      </c>
      <c r="J236" s="27">
        <f t="shared" si="156"/>
        <v>474</v>
      </c>
      <c r="K236" s="27"/>
      <c r="L236" s="27"/>
      <c r="M236" s="45">
        <v>2012</v>
      </c>
      <c r="N236" s="48" t="s">
        <v>40</v>
      </c>
      <c r="O236" s="35">
        <f t="shared" si="121"/>
        <v>0.87233333333333329</v>
      </c>
      <c r="P236" s="35">
        <f t="shared" si="122"/>
        <v>0.90616343490304707</v>
      </c>
      <c r="Q236" s="35">
        <f t="shared" si="123"/>
        <v>0.96266666666666667</v>
      </c>
      <c r="R236" s="20">
        <v>3000</v>
      </c>
      <c r="S236" s="27">
        <f t="shared" si="157"/>
        <v>112</v>
      </c>
      <c r="T236" s="20">
        <v>2888</v>
      </c>
      <c r="U236" s="20">
        <v>2617</v>
      </c>
      <c r="V236" s="20">
        <f t="shared" si="158"/>
        <v>271</v>
      </c>
      <c r="W236" s="20"/>
      <c r="X236" s="20"/>
      <c r="Y236" s="45">
        <v>2012</v>
      </c>
      <c r="Z236" s="48" t="s">
        <v>40</v>
      </c>
      <c r="AA236" s="35">
        <f t="shared" si="124"/>
        <v>0.85828571428571432</v>
      </c>
      <c r="AB236" s="35">
        <f t="shared" si="125"/>
        <v>0.8887573964497042</v>
      </c>
      <c r="AC236" s="35">
        <f t="shared" si="126"/>
        <v>0.96571428571428575</v>
      </c>
      <c r="AD236" s="20">
        <v>1750</v>
      </c>
      <c r="AE236" s="27">
        <f t="shared" si="159"/>
        <v>60</v>
      </c>
      <c r="AF236" s="20">
        <v>1690</v>
      </c>
      <c r="AG236" s="20">
        <v>1502</v>
      </c>
      <c r="AH236" s="20">
        <f t="shared" si="160"/>
        <v>188</v>
      </c>
      <c r="AI236" s="20"/>
      <c r="AJ236" s="20"/>
      <c r="AK236" s="45">
        <v>2012</v>
      </c>
      <c r="AL236" s="48" t="s">
        <v>40</v>
      </c>
      <c r="AM236" s="35">
        <f t="shared" si="127"/>
        <v>0.93929712460063897</v>
      </c>
      <c r="AN236" s="35">
        <f t="shared" si="128"/>
        <v>0.95145631067961167</v>
      </c>
      <c r="AO236" s="35">
        <f t="shared" si="129"/>
        <v>0.98722044728434499</v>
      </c>
      <c r="AP236" s="20">
        <v>313</v>
      </c>
      <c r="AQ236" s="27">
        <f t="shared" si="161"/>
        <v>4</v>
      </c>
      <c r="AR236" s="20">
        <v>309</v>
      </c>
      <c r="AS236" s="20">
        <v>294</v>
      </c>
      <c r="AT236" s="20">
        <f t="shared" si="162"/>
        <v>15</v>
      </c>
      <c r="AU236" s="20"/>
      <c r="AV236" s="20"/>
      <c r="AW236" s="45"/>
      <c r="AX236" s="48"/>
      <c r="AY236" s="35"/>
      <c r="AZ236" s="35"/>
      <c r="BA236" s="35"/>
    </row>
    <row r="237" spans="1:53" s="34" customFormat="1" ht="12.95" customHeight="1">
      <c r="A237" s="46">
        <v>2012</v>
      </c>
      <c r="B237" s="47" t="s">
        <v>41</v>
      </c>
      <c r="C237" s="35">
        <f t="shared" si="118"/>
        <v>0.75171553337492203</v>
      </c>
      <c r="D237" s="35">
        <f t="shared" si="119"/>
        <v>0.8864639529180971</v>
      </c>
      <c r="E237" s="35">
        <f t="shared" si="120"/>
        <v>0.84799334580993968</v>
      </c>
      <c r="F237" s="92">
        <f t="shared" si="152"/>
        <v>4809</v>
      </c>
      <c r="G237" s="27">
        <f t="shared" si="153"/>
        <v>731</v>
      </c>
      <c r="H237" s="92">
        <f t="shared" si="154"/>
        <v>4078</v>
      </c>
      <c r="I237" s="92">
        <f t="shared" si="155"/>
        <v>3615</v>
      </c>
      <c r="J237" s="27">
        <f t="shared" si="156"/>
        <v>463</v>
      </c>
      <c r="K237" s="27"/>
      <c r="L237" s="27"/>
      <c r="M237" s="46">
        <v>2012</v>
      </c>
      <c r="N237" s="47" t="s">
        <v>41</v>
      </c>
      <c r="O237" s="35">
        <f t="shared" si="121"/>
        <v>0.74884710890386663</v>
      </c>
      <c r="P237" s="35">
        <f t="shared" si="122"/>
        <v>0.87775467775467775</v>
      </c>
      <c r="Q237" s="35">
        <f t="shared" si="123"/>
        <v>0.85313941113870162</v>
      </c>
      <c r="R237" s="20">
        <v>2819</v>
      </c>
      <c r="S237" s="27">
        <f t="shared" si="157"/>
        <v>414</v>
      </c>
      <c r="T237" s="20">
        <v>2405</v>
      </c>
      <c r="U237" s="20">
        <v>2111</v>
      </c>
      <c r="V237" s="20">
        <f t="shared" si="158"/>
        <v>294</v>
      </c>
      <c r="W237" s="20"/>
      <c r="X237" s="20"/>
      <c r="Y237" s="46">
        <v>2012</v>
      </c>
      <c r="Z237" s="47" t="s">
        <v>41</v>
      </c>
      <c r="AA237" s="35">
        <f t="shared" si="124"/>
        <v>0.7299880525686977</v>
      </c>
      <c r="AB237" s="35">
        <f t="shared" si="125"/>
        <v>0.8804034582132565</v>
      </c>
      <c r="AC237" s="35">
        <f t="shared" si="126"/>
        <v>0.82915173237753881</v>
      </c>
      <c r="AD237" s="20">
        <v>1674</v>
      </c>
      <c r="AE237" s="27">
        <f t="shared" si="159"/>
        <v>286</v>
      </c>
      <c r="AF237" s="20">
        <v>1388</v>
      </c>
      <c r="AG237" s="20">
        <v>1222</v>
      </c>
      <c r="AH237" s="20">
        <f t="shared" si="160"/>
        <v>166</v>
      </c>
      <c r="AI237" s="20"/>
      <c r="AJ237" s="20"/>
      <c r="AK237" s="46">
        <v>2012</v>
      </c>
      <c r="AL237" s="47" t="s">
        <v>41</v>
      </c>
      <c r="AM237" s="35">
        <f t="shared" si="127"/>
        <v>0.89240506329113922</v>
      </c>
      <c r="AN237" s="35">
        <f t="shared" si="128"/>
        <v>0.98947368421052628</v>
      </c>
      <c r="AO237" s="35">
        <f t="shared" si="129"/>
        <v>0.90189873417721522</v>
      </c>
      <c r="AP237" s="20">
        <v>316</v>
      </c>
      <c r="AQ237" s="27">
        <f t="shared" si="161"/>
        <v>31</v>
      </c>
      <c r="AR237" s="20">
        <v>285</v>
      </c>
      <c r="AS237" s="20">
        <v>282</v>
      </c>
      <c r="AT237" s="20">
        <f t="shared" si="162"/>
        <v>3</v>
      </c>
      <c r="AU237" s="20"/>
      <c r="AV237" s="20"/>
      <c r="AW237" s="46"/>
      <c r="AX237" s="47"/>
      <c r="AY237" s="35"/>
      <c r="AZ237" s="35"/>
      <c r="BA237" s="35"/>
    </row>
    <row r="238" spans="1:53" s="34" customFormat="1" ht="12.95" customHeight="1">
      <c r="A238" s="45">
        <v>2012</v>
      </c>
      <c r="B238" s="48" t="s">
        <v>42</v>
      </c>
      <c r="C238" s="35">
        <f t="shared" si="118"/>
        <v>0.86652165315404395</v>
      </c>
      <c r="D238" s="35">
        <f t="shared" si="119"/>
        <v>0.9153958637977857</v>
      </c>
      <c r="E238" s="35">
        <f t="shared" si="120"/>
        <v>0.94660866126161758</v>
      </c>
      <c r="F238" s="92">
        <f t="shared" si="152"/>
        <v>5057</v>
      </c>
      <c r="G238" s="27">
        <f t="shared" si="153"/>
        <v>270</v>
      </c>
      <c r="H238" s="92">
        <f t="shared" si="154"/>
        <v>4787</v>
      </c>
      <c r="I238" s="92">
        <f t="shared" si="155"/>
        <v>4382</v>
      </c>
      <c r="J238" s="27">
        <f t="shared" si="156"/>
        <v>405</v>
      </c>
      <c r="K238" s="27"/>
      <c r="L238" s="27"/>
      <c r="M238" s="45">
        <v>2012</v>
      </c>
      <c r="N238" s="48" t="s">
        <v>42</v>
      </c>
      <c r="O238" s="35">
        <f t="shared" si="121"/>
        <v>0.84599933043187148</v>
      </c>
      <c r="P238" s="35">
        <f t="shared" si="122"/>
        <v>0.90153407063860147</v>
      </c>
      <c r="Q238" s="35">
        <f t="shared" si="123"/>
        <v>0.93839973217274852</v>
      </c>
      <c r="R238" s="20">
        <v>2987</v>
      </c>
      <c r="S238" s="27">
        <f t="shared" si="157"/>
        <v>184</v>
      </c>
      <c r="T238" s="20">
        <v>2803</v>
      </c>
      <c r="U238" s="20">
        <v>2527</v>
      </c>
      <c r="V238" s="20">
        <f t="shared" si="158"/>
        <v>276</v>
      </c>
      <c r="W238" s="20"/>
      <c r="X238" s="20"/>
      <c r="Y238" s="45">
        <v>2012</v>
      </c>
      <c r="Z238" s="48" t="s">
        <v>42</v>
      </c>
      <c r="AA238" s="35">
        <f t="shared" si="124"/>
        <v>0.87757437070938216</v>
      </c>
      <c r="AB238" s="35">
        <f t="shared" si="125"/>
        <v>0.92298435619735264</v>
      </c>
      <c r="AC238" s="35">
        <f t="shared" si="126"/>
        <v>0.95080091533180777</v>
      </c>
      <c r="AD238" s="20">
        <v>1748</v>
      </c>
      <c r="AE238" s="27">
        <f t="shared" si="159"/>
        <v>86</v>
      </c>
      <c r="AF238" s="20">
        <v>1662</v>
      </c>
      <c r="AG238" s="20">
        <v>1534</v>
      </c>
      <c r="AH238" s="20">
        <f t="shared" si="160"/>
        <v>128</v>
      </c>
      <c r="AI238" s="20"/>
      <c r="AJ238" s="20"/>
      <c r="AK238" s="45">
        <v>2012</v>
      </c>
      <c r="AL238" s="48" t="s">
        <v>42</v>
      </c>
      <c r="AM238" s="35">
        <f t="shared" si="127"/>
        <v>0.99689440993788825</v>
      </c>
      <c r="AN238" s="35">
        <f t="shared" si="128"/>
        <v>0.99689440993788825</v>
      </c>
      <c r="AO238" s="35">
        <f t="shared" si="129"/>
        <v>1</v>
      </c>
      <c r="AP238" s="20">
        <v>322</v>
      </c>
      <c r="AQ238" s="27">
        <f t="shared" si="161"/>
        <v>0</v>
      </c>
      <c r="AR238" s="20">
        <v>322</v>
      </c>
      <c r="AS238" s="20">
        <v>321</v>
      </c>
      <c r="AT238" s="20">
        <f t="shared" si="162"/>
        <v>1</v>
      </c>
      <c r="AU238" s="20"/>
      <c r="AV238" s="20"/>
      <c r="AW238" s="45"/>
      <c r="AX238" s="48"/>
      <c r="AY238" s="35"/>
      <c r="AZ238" s="35"/>
      <c r="BA238" s="35"/>
    </row>
    <row r="239" spans="1:53" s="34" customFormat="1" ht="12.95" customHeight="1">
      <c r="A239" s="46">
        <v>2012</v>
      </c>
      <c r="B239" s="47" t="s">
        <v>43</v>
      </c>
      <c r="C239" s="35">
        <f t="shared" si="118"/>
        <v>0.80244648318042811</v>
      </c>
      <c r="D239" s="35">
        <f t="shared" si="119"/>
        <v>0.89515578803729812</v>
      </c>
      <c r="E239" s="35">
        <f t="shared" si="120"/>
        <v>0.89643221202854229</v>
      </c>
      <c r="F239" s="92">
        <f t="shared" si="152"/>
        <v>4905</v>
      </c>
      <c r="G239" s="27">
        <f t="shared" si="153"/>
        <v>508</v>
      </c>
      <c r="H239" s="92">
        <f t="shared" si="154"/>
        <v>4397</v>
      </c>
      <c r="I239" s="92">
        <f t="shared" si="155"/>
        <v>3936</v>
      </c>
      <c r="J239" s="27">
        <f t="shared" si="156"/>
        <v>461</v>
      </c>
      <c r="K239" s="27"/>
      <c r="L239" s="27"/>
      <c r="M239" s="46">
        <v>2012</v>
      </c>
      <c r="N239" s="47" t="s">
        <v>43</v>
      </c>
      <c r="O239" s="35">
        <f t="shared" si="121"/>
        <v>0.79586206896551726</v>
      </c>
      <c r="P239" s="35">
        <f t="shared" si="122"/>
        <v>0.89043209876543206</v>
      </c>
      <c r="Q239" s="35">
        <f t="shared" si="123"/>
        <v>0.89379310344827589</v>
      </c>
      <c r="R239" s="20">
        <v>2900</v>
      </c>
      <c r="S239" s="27">
        <f t="shared" si="157"/>
        <v>308</v>
      </c>
      <c r="T239" s="20">
        <v>2592</v>
      </c>
      <c r="U239" s="20">
        <v>2308</v>
      </c>
      <c r="V239" s="20">
        <f t="shared" si="158"/>
        <v>284</v>
      </c>
      <c r="W239" s="20"/>
      <c r="X239" s="20"/>
      <c r="Y239" s="46">
        <v>2012</v>
      </c>
      <c r="Z239" s="47" t="s">
        <v>43</v>
      </c>
      <c r="AA239" s="35">
        <f t="shared" si="124"/>
        <v>0.78525073746312679</v>
      </c>
      <c r="AB239" s="35">
        <f t="shared" si="125"/>
        <v>0.88379814077025232</v>
      </c>
      <c r="AC239" s="35">
        <f t="shared" si="126"/>
        <v>0.8884955752212389</v>
      </c>
      <c r="AD239" s="20">
        <v>1695</v>
      </c>
      <c r="AE239" s="27">
        <f t="shared" si="159"/>
        <v>189</v>
      </c>
      <c r="AF239" s="20">
        <v>1506</v>
      </c>
      <c r="AG239" s="20">
        <v>1331</v>
      </c>
      <c r="AH239" s="20">
        <f t="shared" si="160"/>
        <v>175</v>
      </c>
      <c r="AI239" s="20"/>
      <c r="AJ239" s="20"/>
      <c r="AK239" s="46">
        <v>2012</v>
      </c>
      <c r="AL239" s="47" t="s">
        <v>43</v>
      </c>
      <c r="AM239" s="35">
        <f t="shared" si="127"/>
        <v>0.95806451612903221</v>
      </c>
      <c r="AN239" s="35">
        <f t="shared" si="128"/>
        <v>0.99331103678929766</v>
      </c>
      <c r="AO239" s="35">
        <f t="shared" si="129"/>
        <v>0.96451612903225803</v>
      </c>
      <c r="AP239" s="20">
        <v>310</v>
      </c>
      <c r="AQ239" s="27">
        <f t="shared" si="161"/>
        <v>11</v>
      </c>
      <c r="AR239" s="20">
        <v>299</v>
      </c>
      <c r="AS239" s="20">
        <v>297</v>
      </c>
      <c r="AT239" s="20">
        <f t="shared" si="162"/>
        <v>2</v>
      </c>
      <c r="AU239" s="20"/>
      <c r="AV239" s="20"/>
      <c r="AW239" s="46"/>
      <c r="AX239" s="47"/>
      <c r="AY239" s="35"/>
      <c r="AZ239" s="35"/>
      <c r="BA239" s="35"/>
    </row>
    <row r="240" spans="1:53" s="34" customFormat="1" ht="12.95" customHeight="1">
      <c r="A240" s="45">
        <v>2012</v>
      </c>
      <c r="B240" s="48" t="s">
        <v>44</v>
      </c>
      <c r="C240" s="35">
        <f t="shared" si="118"/>
        <v>0.88946015424164526</v>
      </c>
      <c r="D240" s="35">
        <f t="shared" si="119"/>
        <v>0.94674805304146492</v>
      </c>
      <c r="E240" s="35">
        <f t="shared" si="120"/>
        <v>0.93948981609649995</v>
      </c>
      <c r="F240" s="92">
        <f t="shared" si="152"/>
        <v>5057</v>
      </c>
      <c r="G240" s="27">
        <f t="shared" si="153"/>
        <v>306</v>
      </c>
      <c r="H240" s="92">
        <f t="shared" si="154"/>
        <v>4751</v>
      </c>
      <c r="I240" s="92">
        <f t="shared" si="155"/>
        <v>4498</v>
      </c>
      <c r="J240" s="27">
        <f t="shared" si="156"/>
        <v>253</v>
      </c>
      <c r="K240" s="27"/>
      <c r="L240" s="27"/>
      <c r="M240" s="45">
        <v>2012</v>
      </c>
      <c r="N240" s="48" t="s">
        <v>44</v>
      </c>
      <c r="O240" s="35">
        <f t="shared" si="121"/>
        <v>0.87947773685972552</v>
      </c>
      <c r="P240" s="35">
        <f t="shared" si="122"/>
        <v>0.94292893036611625</v>
      </c>
      <c r="Q240" s="35">
        <f t="shared" si="123"/>
        <v>0.93270840308001335</v>
      </c>
      <c r="R240" s="20">
        <v>2987</v>
      </c>
      <c r="S240" s="27">
        <f t="shared" si="157"/>
        <v>201</v>
      </c>
      <c r="T240" s="20">
        <v>2786</v>
      </c>
      <c r="U240" s="20">
        <v>2627</v>
      </c>
      <c r="V240" s="20">
        <f t="shared" si="158"/>
        <v>159</v>
      </c>
      <c r="W240" s="20"/>
      <c r="X240" s="20"/>
      <c r="Y240" s="45">
        <v>2012</v>
      </c>
      <c r="Z240" s="48" t="s">
        <v>44</v>
      </c>
      <c r="AA240" s="35">
        <f t="shared" si="124"/>
        <v>0.88787185354691078</v>
      </c>
      <c r="AB240" s="35">
        <f t="shared" si="125"/>
        <v>0.94289185905224793</v>
      </c>
      <c r="AC240" s="35">
        <f t="shared" si="126"/>
        <v>0.9416475972540046</v>
      </c>
      <c r="AD240" s="20">
        <v>1748</v>
      </c>
      <c r="AE240" s="27">
        <f t="shared" si="159"/>
        <v>102</v>
      </c>
      <c r="AF240" s="20">
        <v>1646</v>
      </c>
      <c r="AG240" s="20">
        <v>1552</v>
      </c>
      <c r="AH240" s="20">
        <f t="shared" si="160"/>
        <v>94</v>
      </c>
      <c r="AI240" s="20"/>
      <c r="AJ240" s="20"/>
      <c r="AK240" s="45">
        <v>2012</v>
      </c>
      <c r="AL240" s="48" t="s">
        <v>44</v>
      </c>
      <c r="AM240" s="35">
        <f t="shared" si="127"/>
        <v>0.99068322981366463</v>
      </c>
      <c r="AN240" s="35">
        <f t="shared" si="128"/>
        <v>1</v>
      </c>
      <c r="AO240" s="35">
        <f t="shared" si="129"/>
        <v>0.99068322981366463</v>
      </c>
      <c r="AP240" s="20">
        <v>322</v>
      </c>
      <c r="AQ240" s="27">
        <f t="shared" si="161"/>
        <v>3</v>
      </c>
      <c r="AR240" s="20">
        <v>319</v>
      </c>
      <c r="AS240" s="20">
        <v>319</v>
      </c>
      <c r="AT240" s="20">
        <f t="shared" si="162"/>
        <v>0</v>
      </c>
      <c r="AU240" s="20"/>
      <c r="AV240" s="20"/>
      <c r="AW240" s="45"/>
      <c r="AX240" s="48"/>
      <c r="AY240" s="35"/>
      <c r="AZ240" s="35"/>
      <c r="BA240" s="35"/>
    </row>
    <row r="241" spans="1:53" s="34" customFormat="1" ht="12.95" customHeight="1">
      <c r="A241" s="46">
        <v>2012</v>
      </c>
      <c r="B241" s="47" t="s">
        <v>45</v>
      </c>
      <c r="C241" s="35">
        <f t="shared" si="118"/>
        <v>0.87522106504224795</v>
      </c>
      <c r="D241" s="35">
        <f t="shared" si="119"/>
        <v>0.91797197032151689</v>
      </c>
      <c r="E241" s="35">
        <f t="shared" si="120"/>
        <v>0.953428964433091</v>
      </c>
      <c r="F241" s="92">
        <f t="shared" si="152"/>
        <v>5089</v>
      </c>
      <c r="G241" s="27">
        <f t="shared" si="153"/>
        <v>237</v>
      </c>
      <c r="H241" s="92">
        <f t="shared" si="154"/>
        <v>4852</v>
      </c>
      <c r="I241" s="92">
        <f t="shared" si="155"/>
        <v>4454</v>
      </c>
      <c r="J241" s="27">
        <f t="shared" si="156"/>
        <v>398</v>
      </c>
      <c r="K241" s="27"/>
      <c r="L241" s="27"/>
      <c r="M241" s="46">
        <v>2012</v>
      </c>
      <c r="N241" s="47" t="s">
        <v>45</v>
      </c>
      <c r="O241" s="35">
        <f t="shared" si="121"/>
        <v>0.8689449236894492</v>
      </c>
      <c r="P241" s="35">
        <f t="shared" si="122"/>
        <v>0.91605456453305356</v>
      </c>
      <c r="Q241" s="35">
        <f t="shared" si="123"/>
        <v>0.94857332448573328</v>
      </c>
      <c r="R241" s="20">
        <v>3014</v>
      </c>
      <c r="S241" s="27">
        <f t="shared" si="157"/>
        <v>155</v>
      </c>
      <c r="T241" s="20">
        <v>2859</v>
      </c>
      <c r="U241" s="20">
        <v>2619</v>
      </c>
      <c r="V241" s="20">
        <f t="shared" si="158"/>
        <v>240</v>
      </c>
      <c r="W241" s="20"/>
      <c r="X241" s="20"/>
      <c r="Y241" s="46">
        <v>2012</v>
      </c>
      <c r="Z241" s="47" t="s">
        <v>45</v>
      </c>
      <c r="AA241" s="35">
        <f t="shared" si="124"/>
        <v>0.8729344729344729</v>
      </c>
      <c r="AB241" s="35">
        <f t="shared" si="125"/>
        <v>0.90919881305637984</v>
      </c>
      <c r="AC241" s="35">
        <f t="shared" si="126"/>
        <v>0.96011396011396011</v>
      </c>
      <c r="AD241" s="20">
        <v>1755</v>
      </c>
      <c r="AE241" s="27">
        <f t="shared" si="159"/>
        <v>70</v>
      </c>
      <c r="AF241" s="20">
        <v>1685</v>
      </c>
      <c r="AG241" s="20">
        <v>1532</v>
      </c>
      <c r="AH241" s="20">
        <f t="shared" si="160"/>
        <v>153</v>
      </c>
      <c r="AI241" s="20"/>
      <c r="AJ241" s="20"/>
      <c r="AK241" s="46">
        <v>2012</v>
      </c>
      <c r="AL241" s="47" t="s">
        <v>45</v>
      </c>
      <c r="AM241" s="35">
        <f t="shared" si="127"/>
        <v>0.94687500000000002</v>
      </c>
      <c r="AN241" s="35">
        <f t="shared" si="128"/>
        <v>0.98376623376623373</v>
      </c>
      <c r="AO241" s="35">
        <f t="shared" si="129"/>
        <v>0.96250000000000002</v>
      </c>
      <c r="AP241" s="20">
        <v>320</v>
      </c>
      <c r="AQ241" s="27">
        <f t="shared" si="161"/>
        <v>12</v>
      </c>
      <c r="AR241" s="20">
        <v>308</v>
      </c>
      <c r="AS241" s="20">
        <v>303</v>
      </c>
      <c r="AT241" s="20">
        <f t="shared" si="162"/>
        <v>5</v>
      </c>
      <c r="AU241" s="20"/>
      <c r="AV241" s="20"/>
      <c r="AW241" s="46"/>
      <c r="AX241" s="47"/>
      <c r="AY241" s="35"/>
      <c r="AZ241" s="35"/>
      <c r="BA241" s="35"/>
    </row>
    <row r="242" spans="1:53" s="34" customFormat="1" ht="12.95" customHeight="1">
      <c r="A242" s="45">
        <v>2012</v>
      </c>
      <c r="B242" s="48" t="s">
        <v>46</v>
      </c>
      <c r="C242" s="35">
        <f t="shared" si="118"/>
        <v>0.85963472193720503</v>
      </c>
      <c r="D242" s="35">
        <f t="shared" si="119"/>
        <v>0.91703152364273199</v>
      </c>
      <c r="E242" s="35">
        <f t="shared" si="120"/>
        <v>0.93741021957726245</v>
      </c>
      <c r="F242" s="92">
        <f t="shared" si="152"/>
        <v>4873</v>
      </c>
      <c r="G242" s="27">
        <f t="shared" si="153"/>
        <v>305</v>
      </c>
      <c r="H242" s="92">
        <f t="shared" si="154"/>
        <v>4568</v>
      </c>
      <c r="I242" s="92">
        <f t="shared" si="155"/>
        <v>4189</v>
      </c>
      <c r="J242" s="27">
        <f t="shared" si="156"/>
        <v>379</v>
      </c>
      <c r="K242" s="27"/>
      <c r="L242" s="27"/>
      <c r="M242" s="45">
        <v>2012</v>
      </c>
      <c r="N242" s="48" t="s">
        <v>46</v>
      </c>
      <c r="O242" s="35">
        <f t="shared" si="121"/>
        <v>0.84162895927601811</v>
      </c>
      <c r="P242" s="35">
        <f t="shared" si="122"/>
        <v>0.91073446327683616</v>
      </c>
      <c r="Q242" s="35">
        <f t="shared" si="123"/>
        <v>0.92412112774103727</v>
      </c>
      <c r="R242" s="20">
        <v>2873</v>
      </c>
      <c r="S242" s="27">
        <f t="shared" si="157"/>
        <v>218</v>
      </c>
      <c r="T242" s="20">
        <v>2655</v>
      </c>
      <c r="U242" s="20">
        <v>2418</v>
      </c>
      <c r="V242" s="20">
        <f t="shared" si="158"/>
        <v>237</v>
      </c>
      <c r="W242" s="20"/>
      <c r="X242" s="20"/>
      <c r="Y242" s="45">
        <v>2012</v>
      </c>
      <c r="Z242" s="48" t="s">
        <v>46</v>
      </c>
      <c r="AA242" s="35">
        <f t="shared" si="124"/>
        <v>0.86789099526066349</v>
      </c>
      <c r="AB242" s="35">
        <f t="shared" si="125"/>
        <v>0.9116365899191039</v>
      </c>
      <c r="AC242" s="35">
        <f t="shared" si="126"/>
        <v>0.95201421800947872</v>
      </c>
      <c r="AD242" s="20">
        <v>1688</v>
      </c>
      <c r="AE242" s="27">
        <f t="shared" si="159"/>
        <v>81</v>
      </c>
      <c r="AF242" s="20">
        <v>1607</v>
      </c>
      <c r="AG242" s="20">
        <v>1465</v>
      </c>
      <c r="AH242" s="20">
        <f t="shared" si="160"/>
        <v>142</v>
      </c>
      <c r="AI242" s="20"/>
      <c r="AJ242" s="20"/>
      <c r="AK242" s="45">
        <v>2012</v>
      </c>
      <c r="AL242" s="48" t="s">
        <v>46</v>
      </c>
      <c r="AM242" s="35">
        <f t="shared" si="127"/>
        <v>0.98076923076923073</v>
      </c>
      <c r="AN242" s="35">
        <f t="shared" si="128"/>
        <v>1</v>
      </c>
      <c r="AO242" s="35">
        <f t="shared" si="129"/>
        <v>0.98076923076923073</v>
      </c>
      <c r="AP242" s="20">
        <v>312</v>
      </c>
      <c r="AQ242" s="27">
        <f t="shared" si="161"/>
        <v>6</v>
      </c>
      <c r="AR242" s="20">
        <v>306</v>
      </c>
      <c r="AS242" s="20">
        <v>306</v>
      </c>
      <c r="AT242" s="20">
        <f t="shared" si="162"/>
        <v>0</v>
      </c>
      <c r="AU242" s="20"/>
      <c r="AV242" s="20"/>
      <c r="AW242" s="45"/>
      <c r="AX242" s="48"/>
      <c r="AY242" s="35"/>
      <c r="AZ242" s="35"/>
      <c r="BA242" s="35"/>
    </row>
    <row r="243" spans="1:53" s="34" customFormat="1" ht="12.95" customHeight="1">
      <c r="A243" s="46">
        <v>2012</v>
      </c>
      <c r="B243" s="47" t="s">
        <v>47</v>
      </c>
      <c r="C243" s="35">
        <f t="shared" si="118"/>
        <v>0.86578895657300059</v>
      </c>
      <c r="D243" s="35">
        <f t="shared" si="119"/>
        <v>0.91391827421696747</v>
      </c>
      <c r="E243" s="35">
        <f t="shared" si="120"/>
        <v>0.94733739438003539</v>
      </c>
      <c r="F243" s="92">
        <f t="shared" si="152"/>
        <v>5089</v>
      </c>
      <c r="G243" s="27">
        <f t="shared" si="153"/>
        <v>268</v>
      </c>
      <c r="H243" s="92">
        <f t="shared" si="154"/>
        <v>4821</v>
      </c>
      <c r="I243" s="92">
        <f t="shared" si="155"/>
        <v>4406</v>
      </c>
      <c r="J243" s="27">
        <f t="shared" si="156"/>
        <v>415</v>
      </c>
      <c r="K243" s="27"/>
      <c r="L243" s="27"/>
      <c r="M243" s="46">
        <v>2012</v>
      </c>
      <c r="N243" s="47" t="s">
        <v>47</v>
      </c>
      <c r="O243" s="35">
        <f t="shared" si="121"/>
        <v>0.86728599867285994</v>
      </c>
      <c r="P243" s="35">
        <f t="shared" si="122"/>
        <v>0.90985033066481025</v>
      </c>
      <c r="Q243" s="35">
        <f t="shared" si="123"/>
        <v>0.9532183145321832</v>
      </c>
      <c r="R243" s="20">
        <v>3014</v>
      </c>
      <c r="S243" s="27">
        <f t="shared" si="157"/>
        <v>141</v>
      </c>
      <c r="T243" s="20">
        <v>2873</v>
      </c>
      <c r="U243" s="20">
        <v>2614</v>
      </c>
      <c r="V243" s="20">
        <f t="shared" si="158"/>
        <v>259</v>
      </c>
      <c r="W243" s="20"/>
      <c r="X243" s="20"/>
      <c r="Y243" s="46">
        <v>2012</v>
      </c>
      <c r="Z243" s="47" t="s">
        <v>47</v>
      </c>
      <c r="AA243" s="35">
        <f t="shared" si="124"/>
        <v>0.85071225071225076</v>
      </c>
      <c r="AB243" s="35">
        <f t="shared" si="125"/>
        <v>0.90649666059502121</v>
      </c>
      <c r="AC243" s="35">
        <f t="shared" si="126"/>
        <v>0.93846153846153846</v>
      </c>
      <c r="AD243" s="20">
        <v>1755</v>
      </c>
      <c r="AE243" s="27">
        <f t="shared" si="159"/>
        <v>108</v>
      </c>
      <c r="AF243" s="20">
        <v>1647</v>
      </c>
      <c r="AG243" s="20">
        <v>1493</v>
      </c>
      <c r="AH243" s="20">
        <f t="shared" si="160"/>
        <v>154</v>
      </c>
      <c r="AI243" s="20"/>
      <c r="AJ243" s="20"/>
      <c r="AK243" s="46">
        <v>2012</v>
      </c>
      <c r="AL243" s="47" t="s">
        <v>47</v>
      </c>
      <c r="AM243" s="35">
        <f t="shared" si="127"/>
        <v>0.93437499999999996</v>
      </c>
      <c r="AN243" s="35">
        <f t="shared" si="128"/>
        <v>0.99335548172757471</v>
      </c>
      <c r="AO243" s="35">
        <f t="shared" si="129"/>
        <v>0.94062500000000004</v>
      </c>
      <c r="AP243" s="20">
        <v>320</v>
      </c>
      <c r="AQ243" s="27">
        <f t="shared" si="161"/>
        <v>19</v>
      </c>
      <c r="AR243" s="20">
        <v>301</v>
      </c>
      <c r="AS243" s="20">
        <v>299</v>
      </c>
      <c r="AT243" s="20">
        <f t="shared" si="162"/>
        <v>2</v>
      </c>
      <c r="AU243" s="20"/>
      <c r="AV243" s="20"/>
      <c r="AW243" s="46"/>
      <c r="AX243" s="47"/>
      <c r="AY243" s="35"/>
      <c r="AZ243" s="35"/>
      <c r="BA243" s="35"/>
    </row>
    <row r="244" spans="1:53" s="34" customFormat="1" ht="12.95" customHeight="1">
      <c r="A244" s="45">
        <v>2012</v>
      </c>
      <c r="B244" s="48" t="s">
        <v>48</v>
      </c>
      <c r="C244" s="35">
        <f t="shared" si="118"/>
        <v>0.78832858885725909</v>
      </c>
      <c r="D244" s="35">
        <f t="shared" si="119"/>
        <v>0.88093615087480115</v>
      </c>
      <c r="E244" s="35">
        <f t="shared" si="120"/>
        <v>0.89487596583977225</v>
      </c>
      <c r="F244" s="92">
        <f t="shared" si="152"/>
        <v>4918</v>
      </c>
      <c r="G244" s="27">
        <f t="shared" si="153"/>
        <v>517</v>
      </c>
      <c r="H244" s="92">
        <f t="shared" si="154"/>
        <v>4401</v>
      </c>
      <c r="I244" s="92">
        <f t="shared" si="155"/>
        <v>3877</v>
      </c>
      <c r="J244" s="27">
        <f t="shared" si="156"/>
        <v>524</v>
      </c>
      <c r="K244" s="27"/>
      <c r="L244" s="27"/>
      <c r="M244" s="45">
        <v>2012</v>
      </c>
      <c r="N244" s="48" t="s">
        <v>48</v>
      </c>
      <c r="O244" s="35">
        <f t="shared" si="121"/>
        <v>0.78392305049811062</v>
      </c>
      <c r="P244" s="35">
        <f t="shared" si="122"/>
        <v>0.88655788655788659</v>
      </c>
      <c r="Q244" s="35">
        <f t="shared" si="123"/>
        <v>0.88423222260391621</v>
      </c>
      <c r="R244" s="20">
        <v>2911</v>
      </c>
      <c r="S244" s="27">
        <f t="shared" si="157"/>
        <v>337</v>
      </c>
      <c r="T244" s="20">
        <v>2574</v>
      </c>
      <c r="U244" s="20">
        <v>2282</v>
      </c>
      <c r="V244" s="20">
        <f t="shared" si="158"/>
        <v>292</v>
      </c>
      <c r="W244" s="20"/>
      <c r="X244" s="20"/>
      <c r="Y244" s="45">
        <v>2012</v>
      </c>
      <c r="Z244" s="48" t="s">
        <v>48</v>
      </c>
      <c r="AA244" s="35">
        <f t="shared" si="124"/>
        <v>0.79846788450206241</v>
      </c>
      <c r="AB244" s="35">
        <f t="shared" si="125"/>
        <v>0.85488958990536279</v>
      </c>
      <c r="AC244" s="35">
        <f t="shared" si="126"/>
        <v>0.934001178550383</v>
      </c>
      <c r="AD244" s="20">
        <v>1697</v>
      </c>
      <c r="AE244" s="27">
        <f t="shared" si="159"/>
        <v>112</v>
      </c>
      <c r="AF244" s="20">
        <v>1585</v>
      </c>
      <c r="AG244" s="20">
        <v>1355</v>
      </c>
      <c r="AH244" s="20">
        <f t="shared" si="160"/>
        <v>230</v>
      </c>
      <c r="AI244" s="20"/>
      <c r="AJ244" s="20"/>
      <c r="AK244" s="45">
        <v>2012</v>
      </c>
      <c r="AL244" s="48" t="s">
        <v>48</v>
      </c>
      <c r="AM244" s="35">
        <f t="shared" si="127"/>
        <v>0.77419354838709675</v>
      </c>
      <c r="AN244" s="35">
        <f t="shared" si="128"/>
        <v>0.99173553719008267</v>
      </c>
      <c r="AO244" s="35">
        <f t="shared" si="129"/>
        <v>0.78064516129032258</v>
      </c>
      <c r="AP244" s="20">
        <v>310</v>
      </c>
      <c r="AQ244" s="27">
        <f t="shared" si="161"/>
        <v>68</v>
      </c>
      <c r="AR244" s="20">
        <v>242</v>
      </c>
      <c r="AS244" s="20">
        <v>240</v>
      </c>
      <c r="AT244" s="20">
        <f t="shared" si="162"/>
        <v>2</v>
      </c>
      <c r="AU244" s="20"/>
      <c r="AV244" s="20"/>
      <c r="AW244" s="45"/>
      <c r="AX244" s="48"/>
      <c r="AY244" s="35"/>
      <c r="AZ244" s="35"/>
      <c r="BA244" s="35"/>
    </row>
    <row r="245" spans="1:53" s="34" customFormat="1" ht="12.95" customHeight="1">
      <c r="A245" s="46">
        <v>2012</v>
      </c>
      <c r="B245" s="47" t="s">
        <v>49</v>
      </c>
      <c r="C245" s="35">
        <f t="shared" si="118"/>
        <v>0.84377510040160641</v>
      </c>
      <c r="D245" s="35">
        <f t="shared" si="119"/>
        <v>0.89556692242114233</v>
      </c>
      <c r="E245" s="35">
        <f t="shared" si="120"/>
        <v>0.94216867469879517</v>
      </c>
      <c r="F245" s="92">
        <f t="shared" si="152"/>
        <v>4980</v>
      </c>
      <c r="G245" s="27">
        <f t="shared" si="153"/>
        <v>288</v>
      </c>
      <c r="H245" s="92">
        <f t="shared" si="154"/>
        <v>4692</v>
      </c>
      <c r="I245" s="92">
        <f t="shared" si="155"/>
        <v>4202</v>
      </c>
      <c r="J245" s="27">
        <f t="shared" si="156"/>
        <v>490</v>
      </c>
      <c r="K245" s="27"/>
      <c r="L245" s="27"/>
      <c r="M245" s="46">
        <v>2012</v>
      </c>
      <c r="N245" s="47" t="s">
        <v>49</v>
      </c>
      <c r="O245" s="35">
        <f t="shared" si="121"/>
        <v>0.85352498288843259</v>
      </c>
      <c r="P245" s="35">
        <f t="shared" si="122"/>
        <v>0.89358652812611972</v>
      </c>
      <c r="Q245" s="35">
        <f t="shared" si="123"/>
        <v>0.95516769336071183</v>
      </c>
      <c r="R245" s="20">
        <v>2922</v>
      </c>
      <c r="S245" s="27">
        <f t="shared" si="157"/>
        <v>131</v>
      </c>
      <c r="T245" s="20">
        <v>2791</v>
      </c>
      <c r="U245" s="20">
        <v>2494</v>
      </c>
      <c r="V245" s="20">
        <f t="shared" si="158"/>
        <v>297</v>
      </c>
      <c r="W245" s="20"/>
      <c r="X245" s="20"/>
      <c r="Y245" s="46">
        <v>2012</v>
      </c>
      <c r="Z245" s="47" t="s">
        <v>49</v>
      </c>
      <c r="AA245" s="35">
        <f t="shared" si="124"/>
        <v>0.82159353348729791</v>
      </c>
      <c r="AB245" s="35">
        <f t="shared" si="125"/>
        <v>0.88330229671011795</v>
      </c>
      <c r="AC245" s="35">
        <f t="shared" si="126"/>
        <v>0.93013856812933027</v>
      </c>
      <c r="AD245" s="20">
        <v>1732</v>
      </c>
      <c r="AE245" s="27">
        <f t="shared" si="159"/>
        <v>121</v>
      </c>
      <c r="AF245" s="20">
        <v>1611</v>
      </c>
      <c r="AG245" s="20">
        <v>1423</v>
      </c>
      <c r="AH245" s="20">
        <f t="shared" si="160"/>
        <v>188</v>
      </c>
      <c r="AI245" s="20"/>
      <c r="AJ245" s="20"/>
      <c r="AK245" s="46">
        <v>2012</v>
      </c>
      <c r="AL245" s="47" t="s">
        <v>49</v>
      </c>
      <c r="AM245" s="35">
        <f t="shared" si="127"/>
        <v>0.87423312883435578</v>
      </c>
      <c r="AN245" s="35">
        <f t="shared" si="128"/>
        <v>0.98275862068965514</v>
      </c>
      <c r="AO245" s="35">
        <f t="shared" si="129"/>
        <v>0.88957055214723924</v>
      </c>
      <c r="AP245" s="20">
        <v>326</v>
      </c>
      <c r="AQ245" s="27">
        <f t="shared" si="161"/>
        <v>36</v>
      </c>
      <c r="AR245" s="20">
        <v>290</v>
      </c>
      <c r="AS245" s="20">
        <v>285</v>
      </c>
      <c r="AT245" s="20">
        <f t="shared" si="162"/>
        <v>5</v>
      </c>
      <c r="AU245" s="20"/>
      <c r="AV245" s="20"/>
      <c r="AW245" s="46"/>
      <c r="AX245" s="47"/>
      <c r="AY245" s="35"/>
      <c r="AZ245" s="35"/>
      <c r="BA245" s="35"/>
    </row>
    <row r="246" spans="1:53" s="34" customFormat="1" ht="12.95" customHeight="1">
      <c r="A246" s="45">
        <v>2013</v>
      </c>
      <c r="B246" s="48" t="s">
        <v>38</v>
      </c>
      <c r="C246" s="35">
        <f t="shared" si="118"/>
        <v>0.86012608353033881</v>
      </c>
      <c r="D246" s="35">
        <f t="shared" si="119"/>
        <v>0.93993541442411199</v>
      </c>
      <c r="E246" s="35">
        <f t="shared" si="120"/>
        <v>0.91509062253743101</v>
      </c>
      <c r="F246" s="92">
        <f t="shared" ref="F246:F257" si="163">+R246+AD246+AP246</f>
        <v>5076</v>
      </c>
      <c r="G246" s="27">
        <f t="shared" ref="G246:G257" si="164">F246-H246</f>
        <v>431</v>
      </c>
      <c r="H246" s="92">
        <f t="shared" ref="H246:H257" si="165">+T246+AF246+AR246</f>
        <v>4645</v>
      </c>
      <c r="I246" s="92">
        <f t="shared" ref="I246:I257" si="166">+U246+AG246+AS246</f>
        <v>4366</v>
      </c>
      <c r="J246" s="27">
        <f t="shared" ref="J246:J257" si="167">H246-I246</f>
        <v>279</v>
      </c>
      <c r="K246" s="27"/>
      <c r="L246" s="27"/>
      <c r="M246" s="45">
        <v>2013</v>
      </c>
      <c r="N246" s="48" t="s">
        <v>38</v>
      </c>
      <c r="O246" s="35">
        <f t="shared" si="121"/>
        <v>0.87046287046287041</v>
      </c>
      <c r="P246" s="35">
        <f t="shared" si="122"/>
        <v>0.95123726346433768</v>
      </c>
      <c r="Q246" s="35">
        <f t="shared" si="123"/>
        <v>0.91508491508491507</v>
      </c>
      <c r="R246" s="27">
        <v>3003</v>
      </c>
      <c r="S246" s="27">
        <f t="shared" ref="S246:S257" si="168">R246-T246</f>
        <v>255</v>
      </c>
      <c r="T246" s="27">
        <v>2748</v>
      </c>
      <c r="U246" s="27">
        <v>2614</v>
      </c>
      <c r="V246" s="27">
        <f t="shared" ref="V246:V257" si="169">T246-U246</f>
        <v>134</v>
      </c>
      <c r="W246" s="27"/>
      <c r="X246" s="27"/>
      <c r="Y246" s="45">
        <v>2013</v>
      </c>
      <c r="Z246" s="48" t="s">
        <v>38</v>
      </c>
      <c r="AA246" s="35">
        <f t="shared" si="124"/>
        <v>0.83399885909868798</v>
      </c>
      <c r="AB246" s="35">
        <f t="shared" si="125"/>
        <v>0.91203992514036181</v>
      </c>
      <c r="AC246" s="35">
        <f t="shared" si="126"/>
        <v>0.9144324015972618</v>
      </c>
      <c r="AD246" s="27">
        <v>1753</v>
      </c>
      <c r="AE246" s="27">
        <f t="shared" ref="AE246:AE257" si="170">AD246-AF246</f>
        <v>150</v>
      </c>
      <c r="AF246" s="27">
        <v>1603</v>
      </c>
      <c r="AG246" s="27">
        <v>1462</v>
      </c>
      <c r="AH246" s="27">
        <f t="shared" ref="AH246:AH257" si="171">AF246-AG246</f>
        <v>141</v>
      </c>
      <c r="AI246" s="27"/>
      <c r="AJ246" s="27"/>
      <c r="AK246" s="45">
        <v>2013</v>
      </c>
      <c r="AL246" s="48" t="s">
        <v>38</v>
      </c>
      <c r="AM246" s="35">
        <f t="shared" si="127"/>
        <v>0.90625</v>
      </c>
      <c r="AN246" s="35">
        <f t="shared" si="128"/>
        <v>0.98639455782312924</v>
      </c>
      <c r="AO246" s="35">
        <f t="shared" si="129"/>
        <v>0.91874999999999996</v>
      </c>
      <c r="AP246" s="27">
        <v>320</v>
      </c>
      <c r="AQ246" s="27">
        <f t="shared" ref="AQ246:AQ257" si="172">AP246-AR246</f>
        <v>26</v>
      </c>
      <c r="AR246" s="27">
        <v>294</v>
      </c>
      <c r="AS246" s="27">
        <v>290</v>
      </c>
      <c r="AT246" s="27">
        <f t="shared" ref="AT246:AT257" si="173">AR246-AS246</f>
        <v>4</v>
      </c>
      <c r="AU246" s="27"/>
      <c r="AV246" s="27"/>
      <c r="AW246" s="45"/>
      <c r="AX246" s="48"/>
      <c r="AY246" s="35"/>
      <c r="AZ246" s="35"/>
      <c r="BA246" s="35"/>
    </row>
    <row r="247" spans="1:53" s="34" customFormat="1" ht="12.95" customHeight="1">
      <c r="A247" s="46">
        <v>2013</v>
      </c>
      <c r="B247" s="47" t="s">
        <v>39</v>
      </c>
      <c r="C247" s="35">
        <f t="shared" si="118"/>
        <v>0.90492021276595747</v>
      </c>
      <c r="D247" s="35">
        <f t="shared" si="119"/>
        <v>0.9457956914523975</v>
      </c>
      <c r="E247" s="35">
        <f t="shared" si="120"/>
        <v>0.95678191489361697</v>
      </c>
      <c r="F247" s="92">
        <f t="shared" si="163"/>
        <v>4512</v>
      </c>
      <c r="G247" s="27">
        <f t="shared" si="164"/>
        <v>195</v>
      </c>
      <c r="H247" s="92">
        <f t="shared" si="165"/>
        <v>4317</v>
      </c>
      <c r="I247" s="92">
        <f t="shared" si="166"/>
        <v>4083</v>
      </c>
      <c r="J247" s="27">
        <f t="shared" si="167"/>
        <v>234</v>
      </c>
      <c r="K247" s="27"/>
      <c r="L247" s="27"/>
      <c r="M247" s="46">
        <v>2013</v>
      </c>
      <c r="N247" s="47" t="s">
        <v>39</v>
      </c>
      <c r="O247" s="35">
        <f t="shared" si="121"/>
        <v>0.89437947944172014</v>
      </c>
      <c r="P247" s="35">
        <f t="shared" si="122"/>
        <v>0.93752471332542509</v>
      </c>
      <c r="Q247" s="35">
        <f t="shared" si="123"/>
        <v>0.95397963032817801</v>
      </c>
      <c r="R247" s="27">
        <v>2651</v>
      </c>
      <c r="S247" s="27">
        <f t="shared" si="168"/>
        <v>122</v>
      </c>
      <c r="T247" s="27">
        <v>2529</v>
      </c>
      <c r="U247" s="27">
        <v>2371</v>
      </c>
      <c r="V247" s="27">
        <f t="shared" si="169"/>
        <v>158</v>
      </c>
      <c r="W247" s="27"/>
      <c r="X247" s="27"/>
      <c r="Y247" s="46">
        <v>2013</v>
      </c>
      <c r="Z247" s="47" t="s">
        <v>39</v>
      </c>
      <c r="AA247" s="35">
        <f t="shared" si="124"/>
        <v>0.91193363114231019</v>
      </c>
      <c r="AB247" s="35">
        <f t="shared" si="125"/>
        <v>0.95076513639387894</v>
      </c>
      <c r="AC247" s="35">
        <f t="shared" si="126"/>
        <v>0.95915762603701338</v>
      </c>
      <c r="AD247" s="27">
        <v>1567</v>
      </c>
      <c r="AE247" s="27">
        <f t="shared" si="170"/>
        <v>64</v>
      </c>
      <c r="AF247" s="27">
        <v>1503</v>
      </c>
      <c r="AG247" s="27">
        <v>1429</v>
      </c>
      <c r="AH247" s="27">
        <f t="shared" si="171"/>
        <v>74</v>
      </c>
      <c r="AI247" s="27"/>
      <c r="AJ247" s="27"/>
      <c r="AK247" s="46">
        <v>2013</v>
      </c>
      <c r="AL247" s="47" t="s">
        <v>39</v>
      </c>
      <c r="AM247" s="35">
        <f t="shared" si="127"/>
        <v>0.9625850340136054</v>
      </c>
      <c r="AN247" s="35">
        <f t="shared" si="128"/>
        <v>0.99298245614035086</v>
      </c>
      <c r="AO247" s="35">
        <f t="shared" si="129"/>
        <v>0.96938775510204078</v>
      </c>
      <c r="AP247" s="27">
        <v>294</v>
      </c>
      <c r="AQ247" s="27">
        <f t="shared" si="172"/>
        <v>9</v>
      </c>
      <c r="AR247" s="27">
        <v>285</v>
      </c>
      <c r="AS247" s="27">
        <v>283</v>
      </c>
      <c r="AT247" s="27">
        <f t="shared" si="173"/>
        <v>2</v>
      </c>
      <c r="AU247" s="27"/>
      <c r="AV247" s="27"/>
      <c r="AW247" s="46"/>
      <c r="AX247" s="47"/>
      <c r="AY247" s="35"/>
      <c r="AZ247" s="35"/>
      <c r="BA247" s="35"/>
    </row>
    <row r="248" spans="1:53" s="34" customFormat="1" ht="12.95" customHeight="1">
      <c r="A248" s="45">
        <v>2013</v>
      </c>
      <c r="B248" s="48" t="s">
        <v>40</v>
      </c>
      <c r="C248" s="35">
        <f t="shared" si="118"/>
        <v>0.91063998414899938</v>
      </c>
      <c r="D248" s="35">
        <f t="shared" si="119"/>
        <v>0.94431888226833782</v>
      </c>
      <c r="E248" s="35">
        <f t="shared" si="120"/>
        <v>0.96433524866257181</v>
      </c>
      <c r="F248" s="92">
        <f t="shared" si="163"/>
        <v>5047</v>
      </c>
      <c r="G248" s="27">
        <f t="shared" si="164"/>
        <v>180</v>
      </c>
      <c r="H248" s="92">
        <f t="shared" si="165"/>
        <v>4867</v>
      </c>
      <c r="I248" s="92">
        <f t="shared" si="166"/>
        <v>4596</v>
      </c>
      <c r="J248" s="27">
        <f t="shared" si="167"/>
        <v>271</v>
      </c>
      <c r="K248" s="27"/>
      <c r="L248" s="27"/>
      <c r="M248" s="45">
        <v>2013</v>
      </c>
      <c r="N248" s="48" t="s">
        <v>40</v>
      </c>
      <c r="O248" s="35">
        <f t="shared" si="121"/>
        <v>0.91747735659174778</v>
      </c>
      <c r="P248" s="35">
        <f t="shared" si="122"/>
        <v>0.94932315168344328</v>
      </c>
      <c r="Q248" s="35">
        <f t="shared" si="123"/>
        <v>0.96645420999664544</v>
      </c>
      <c r="R248" s="27">
        <v>2981</v>
      </c>
      <c r="S248" s="27">
        <f t="shared" si="168"/>
        <v>100</v>
      </c>
      <c r="T248" s="27">
        <v>2881</v>
      </c>
      <c r="U248" s="27">
        <v>2735</v>
      </c>
      <c r="V248" s="27">
        <f t="shared" si="169"/>
        <v>146</v>
      </c>
      <c r="W248" s="27"/>
      <c r="X248" s="27"/>
      <c r="Y248" s="45">
        <v>2013</v>
      </c>
      <c r="Z248" s="48" t="s">
        <v>40</v>
      </c>
      <c r="AA248" s="35">
        <f t="shared" si="124"/>
        <v>0.89506880733944949</v>
      </c>
      <c r="AB248" s="35">
        <f t="shared" si="125"/>
        <v>0.92861392028554435</v>
      </c>
      <c r="AC248" s="35">
        <f t="shared" si="126"/>
        <v>0.96387614678899081</v>
      </c>
      <c r="AD248" s="27">
        <v>1744</v>
      </c>
      <c r="AE248" s="27">
        <f t="shared" si="170"/>
        <v>63</v>
      </c>
      <c r="AF248" s="27">
        <v>1681</v>
      </c>
      <c r="AG248" s="27">
        <v>1561</v>
      </c>
      <c r="AH248" s="27">
        <f t="shared" si="171"/>
        <v>120</v>
      </c>
      <c r="AI248" s="27"/>
      <c r="AJ248" s="27"/>
      <c r="AK248" s="45">
        <v>2013</v>
      </c>
      <c r="AL248" s="48" t="s">
        <v>40</v>
      </c>
      <c r="AM248" s="35">
        <f t="shared" si="127"/>
        <v>0.93167701863354035</v>
      </c>
      <c r="AN248" s="35">
        <f t="shared" si="128"/>
        <v>0.98360655737704916</v>
      </c>
      <c r="AO248" s="35">
        <f t="shared" si="129"/>
        <v>0.94720496894409933</v>
      </c>
      <c r="AP248" s="27">
        <v>322</v>
      </c>
      <c r="AQ248" s="27">
        <f t="shared" si="172"/>
        <v>17</v>
      </c>
      <c r="AR248" s="27">
        <v>305</v>
      </c>
      <c r="AS248" s="27">
        <v>300</v>
      </c>
      <c r="AT248" s="27">
        <f t="shared" si="173"/>
        <v>5</v>
      </c>
      <c r="AU248" s="27"/>
      <c r="AV248" s="27"/>
      <c r="AW248" s="45"/>
      <c r="AX248" s="48"/>
      <c r="AY248" s="35"/>
      <c r="AZ248" s="35"/>
      <c r="BA248" s="35"/>
    </row>
    <row r="249" spans="1:53" s="34" customFormat="1" ht="12.95" customHeight="1">
      <c r="A249" s="46">
        <v>2013</v>
      </c>
      <c r="B249" s="47" t="s">
        <v>41</v>
      </c>
      <c r="C249" s="35">
        <f t="shared" si="118"/>
        <v>0.87331150225133036</v>
      </c>
      <c r="D249" s="35">
        <f t="shared" si="119"/>
        <v>0.90864565587734247</v>
      </c>
      <c r="E249" s="35">
        <f t="shared" si="120"/>
        <v>0.96111338518215306</v>
      </c>
      <c r="F249" s="92">
        <f t="shared" si="163"/>
        <v>4886</v>
      </c>
      <c r="G249" s="27">
        <f t="shared" si="164"/>
        <v>190</v>
      </c>
      <c r="H249" s="92">
        <f t="shared" si="165"/>
        <v>4696</v>
      </c>
      <c r="I249" s="92">
        <f t="shared" si="166"/>
        <v>4267</v>
      </c>
      <c r="J249" s="27">
        <f t="shared" si="167"/>
        <v>429</v>
      </c>
      <c r="K249" s="27"/>
      <c r="L249" s="27"/>
      <c r="M249" s="46">
        <v>2013</v>
      </c>
      <c r="N249" s="47" t="s">
        <v>41</v>
      </c>
      <c r="O249" s="35">
        <f t="shared" si="121"/>
        <v>0.86719833564493753</v>
      </c>
      <c r="P249" s="35">
        <f t="shared" si="122"/>
        <v>0.90714544795067098</v>
      </c>
      <c r="Q249" s="35">
        <f t="shared" si="123"/>
        <v>0.95596393897364773</v>
      </c>
      <c r="R249" s="27">
        <v>2884</v>
      </c>
      <c r="S249" s="27">
        <f t="shared" si="168"/>
        <v>127</v>
      </c>
      <c r="T249" s="27">
        <v>2757</v>
      </c>
      <c r="U249" s="27">
        <v>2501</v>
      </c>
      <c r="V249" s="27">
        <f t="shared" si="169"/>
        <v>256</v>
      </c>
      <c r="W249" s="27"/>
      <c r="X249" s="27"/>
      <c r="Y249" s="46">
        <v>2013</v>
      </c>
      <c r="Z249" s="47" t="s">
        <v>41</v>
      </c>
      <c r="AA249" s="35">
        <f t="shared" si="124"/>
        <v>0.87218934911242607</v>
      </c>
      <c r="AB249" s="35">
        <f t="shared" si="125"/>
        <v>0.89823278488726388</v>
      </c>
      <c r="AC249" s="35">
        <f t="shared" si="126"/>
        <v>0.97100591715976337</v>
      </c>
      <c r="AD249" s="27">
        <v>1690</v>
      </c>
      <c r="AE249" s="27">
        <f t="shared" si="170"/>
        <v>49</v>
      </c>
      <c r="AF249" s="27">
        <v>1641</v>
      </c>
      <c r="AG249" s="27">
        <v>1474</v>
      </c>
      <c r="AH249" s="27">
        <f t="shared" si="171"/>
        <v>167</v>
      </c>
      <c r="AI249" s="27"/>
      <c r="AJ249" s="27"/>
      <c r="AK249" s="46">
        <v>2013</v>
      </c>
      <c r="AL249" s="47" t="s">
        <v>41</v>
      </c>
      <c r="AM249" s="35">
        <f t="shared" si="127"/>
        <v>0.9358974358974359</v>
      </c>
      <c r="AN249" s="35">
        <f t="shared" si="128"/>
        <v>0.97986577181208057</v>
      </c>
      <c r="AO249" s="35">
        <f t="shared" si="129"/>
        <v>0.95512820512820518</v>
      </c>
      <c r="AP249" s="27">
        <v>312</v>
      </c>
      <c r="AQ249" s="27">
        <f t="shared" si="172"/>
        <v>14</v>
      </c>
      <c r="AR249" s="27">
        <v>298</v>
      </c>
      <c r="AS249" s="27">
        <v>292</v>
      </c>
      <c r="AT249" s="27">
        <f t="shared" si="173"/>
        <v>6</v>
      </c>
      <c r="AU249" s="27"/>
      <c r="AV249" s="27"/>
      <c r="AW249" s="46"/>
      <c r="AX249" s="47"/>
      <c r="AY249" s="35"/>
      <c r="AZ249" s="35"/>
      <c r="BA249" s="35"/>
    </row>
    <row r="250" spans="1:53" s="34" customFormat="1" ht="12.95" customHeight="1">
      <c r="A250" s="45">
        <v>2013</v>
      </c>
      <c r="B250" s="48" t="s">
        <v>42</v>
      </c>
      <c r="C250" s="35">
        <f t="shared" si="118"/>
        <v>0.8718805266260562</v>
      </c>
      <c r="D250" s="35">
        <f t="shared" si="119"/>
        <v>0.91844338646243018</v>
      </c>
      <c r="E250" s="35">
        <f t="shared" si="120"/>
        <v>0.94930241697779527</v>
      </c>
      <c r="F250" s="92">
        <f t="shared" si="163"/>
        <v>5089</v>
      </c>
      <c r="G250" s="27">
        <f t="shared" si="164"/>
        <v>258</v>
      </c>
      <c r="H250" s="92">
        <f t="shared" si="165"/>
        <v>4831</v>
      </c>
      <c r="I250" s="92">
        <f t="shared" si="166"/>
        <v>4437</v>
      </c>
      <c r="J250" s="27">
        <f t="shared" si="167"/>
        <v>394</v>
      </c>
      <c r="K250" s="27"/>
      <c r="L250" s="27"/>
      <c r="M250" s="45">
        <v>2013</v>
      </c>
      <c r="N250" s="48" t="s">
        <v>42</v>
      </c>
      <c r="O250" s="35">
        <f t="shared" si="121"/>
        <v>0.89581950895819507</v>
      </c>
      <c r="P250" s="35">
        <f t="shared" si="122"/>
        <v>0.92087312414733968</v>
      </c>
      <c r="Q250" s="35">
        <f t="shared" si="123"/>
        <v>0.97279362972793626</v>
      </c>
      <c r="R250" s="27">
        <v>3014</v>
      </c>
      <c r="S250" s="27">
        <f t="shared" si="168"/>
        <v>82</v>
      </c>
      <c r="T250" s="27">
        <v>2932</v>
      </c>
      <c r="U250" s="27">
        <v>2700</v>
      </c>
      <c r="V250" s="27">
        <f t="shared" si="169"/>
        <v>232</v>
      </c>
      <c r="W250" s="27"/>
      <c r="X250" s="27"/>
      <c r="Y250" s="45">
        <v>2013</v>
      </c>
      <c r="Z250" s="48" t="s">
        <v>42</v>
      </c>
      <c r="AA250" s="35">
        <f t="shared" si="124"/>
        <v>0.85128205128205126</v>
      </c>
      <c r="AB250" s="35">
        <f t="shared" si="125"/>
        <v>0.91042047531992687</v>
      </c>
      <c r="AC250" s="35">
        <f t="shared" si="126"/>
        <v>0.93504273504273505</v>
      </c>
      <c r="AD250" s="27">
        <v>1755</v>
      </c>
      <c r="AE250" s="27">
        <f t="shared" si="170"/>
        <v>114</v>
      </c>
      <c r="AF250" s="27">
        <v>1641</v>
      </c>
      <c r="AG250" s="27">
        <v>1494</v>
      </c>
      <c r="AH250" s="27">
        <f t="shared" si="171"/>
        <v>147</v>
      </c>
      <c r="AI250" s="27"/>
      <c r="AJ250" s="27"/>
      <c r="AK250" s="45">
        <v>2013</v>
      </c>
      <c r="AL250" s="48" t="s">
        <v>42</v>
      </c>
      <c r="AM250" s="35">
        <f t="shared" si="127"/>
        <v>0.75937500000000002</v>
      </c>
      <c r="AN250" s="35">
        <f t="shared" si="128"/>
        <v>0.94186046511627908</v>
      </c>
      <c r="AO250" s="35">
        <f t="shared" si="129"/>
        <v>0.80625000000000002</v>
      </c>
      <c r="AP250" s="27">
        <v>320</v>
      </c>
      <c r="AQ250" s="27">
        <f t="shared" si="172"/>
        <v>62</v>
      </c>
      <c r="AR250" s="27">
        <v>258</v>
      </c>
      <c r="AS250" s="27">
        <v>243</v>
      </c>
      <c r="AT250" s="27">
        <f t="shared" si="173"/>
        <v>15</v>
      </c>
      <c r="AU250" s="27"/>
      <c r="AV250" s="27"/>
      <c r="AW250" s="45"/>
      <c r="AX250" s="48"/>
      <c r="AY250" s="35"/>
      <c r="AZ250" s="35"/>
      <c r="BA250" s="35"/>
    </row>
    <row r="251" spans="1:53" s="34" customFormat="1" ht="12.95" customHeight="1">
      <c r="A251" s="46">
        <v>2013</v>
      </c>
      <c r="B251" s="47" t="s">
        <v>43</v>
      </c>
      <c r="C251" s="35">
        <f t="shared" si="118"/>
        <v>0.84218136748605665</v>
      </c>
      <c r="D251" s="35">
        <f t="shared" si="119"/>
        <v>0.8917322834645669</v>
      </c>
      <c r="E251" s="35">
        <f t="shared" si="120"/>
        <v>0.94443296839495972</v>
      </c>
      <c r="F251" s="92">
        <f t="shared" si="163"/>
        <v>4841</v>
      </c>
      <c r="G251" s="27">
        <f t="shared" si="164"/>
        <v>269</v>
      </c>
      <c r="H251" s="92">
        <f t="shared" si="165"/>
        <v>4572</v>
      </c>
      <c r="I251" s="92">
        <f t="shared" si="166"/>
        <v>4077</v>
      </c>
      <c r="J251" s="27">
        <f t="shared" si="167"/>
        <v>495</v>
      </c>
      <c r="K251" s="27"/>
      <c r="L251" s="27"/>
      <c r="M251" s="46">
        <v>2013</v>
      </c>
      <c r="N251" s="47" t="s">
        <v>43</v>
      </c>
      <c r="O251" s="35">
        <f t="shared" si="121"/>
        <v>0.84153197470133523</v>
      </c>
      <c r="P251" s="35">
        <f t="shared" si="122"/>
        <v>0.88670862643465387</v>
      </c>
      <c r="Q251" s="35">
        <f t="shared" si="123"/>
        <v>0.94905130007027405</v>
      </c>
      <c r="R251" s="27">
        <v>2846</v>
      </c>
      <c r="S251" s="27">
        <f t="shared" si="168"/>
        <v>145</v>
      </c>
      <c r="T251" s="27">
        <v>2701</v>
      </c>
      <c r="U251" s="27">
        <v>2395</v>
      </c>
      <c r="V251" s="27">
        <f t="shared" si="169"/>
        <v>306</v>
      </c>
      <c r="W251" s="27"/>
      <c r="X251" s="27"/>
      <c r="Y251" s="46">
        <v>2013</v>
      </c>
      <c r="Z251" s="47" t="s">
        <v>43</v>
      </c>
      <c r="AA251" s="35">
        <f t="shared" si="124"/>
        <v>0.85663295657346816</v>
      </c>
      <c r="AB251" s="35">
        <f t="shared" si="125"/>
        <v>0.89496581727781233</v>
      </c>
      <c r="AC251" s="35">
        <f t="shared" si="126"/>
        <v>0.95716835217132656</v>
      </c>
      <c r="AD251" s="27">
        <v>1681</v>
      </c>
      <c r="AE251" s="27">
        <f t="shared" si="170"/>
        <v>72</v>
      </c>
      <c r="AF251" s="27">
        <v>1609</v>
      </c>
      <c r="AG251" s="27">
        <v>1440</v>
      </c>
      <c r="AH251" s="27">
        <f t="shared" si="171"/>
        <v>169</v>
      </c>
      <c r="AI251" s="27"/>
      <c r="AJ251" s="27"/>
      <c r="AK251" s="46">
        <v>2013</v>
      </c>
      <c r="AL251" s="47" t="s">
        <v>43</v>
      </c>
      <c r="AM251" s="35">
        <f t="shared" si="127"/>
        <v>0.77070063694267521</v>
      </c>
      <c r="AN251" s="35">
        <f t="shared" si="128"/>
        <v>0.92366412213740456</v>
      </c>
      <c r="AO251" s="35">
        <f t="shared" si="129"/>
        <v>0.83439490445859876</v>
      </c>
      <c r="AP251" s="27">
        <v>314</v>
      </c>
      <c r="AQ251" s="27">
        <f t="shared" si="172"/>
        <v>52</v>
      </c>
      <c r="AR251" s="27">
        <v>262</v>
      </c>
      <c r="AS251" s="27">
        <v>242</v>
      </c>
      <c r="AT251" s="27">
        <f t="shared" si="173"/>
        <v>20</v>
      </c>
      <c r="AU251" s="27"/>
      <c r="AV251" s="27"/>
      <c r="AW251" s="46"/>
      <c r="AX251" s="47"/>
      <c r="AY251" s="35"/>
      <c r="AZ251" s="35"/>
      <c r="BA251" s="35"/>
    </row>
    <row r="252" spans="1:53" s="34" customFormat="1" ht="12.95" customHeight="1">
      <c r="A252" s="45">
        <v>2013</v>
      </c>
      <c r="B252" s="48" t="s">
        <v>44</v>
      </c>
      <c r="C252" s="35">
        <f t="shared" si="118"/>
        <v>0.82000393004519556</v>
      </c>
      <c r="D252" s="35">
        <f t="shared" si="119"/>
        <v>0.89376740201327909</v>
      </c>
      <c r="E252" s="35">
        <f t="shared" si="120"/>
        <v>0.91746905089408526</v>
      </c>
      <c r="F252" s="92">
        <f t="shared" si="163"/>
        <v>5089</v>
      </c>
      <c r="G252" s="27">
        <f t="shared" si="164"/>
        <v>420</v>
      </c>
      <c r="H252" s="92">
        <f t="shared" si="165"/>
        <v>4669</v>
      </c>
      <c r="I252" s="92">
        <f t="shared" si="166"/>
        <v>4173</v>
      </c>
      <c r="J252" s="27">
        <f t="shared" si="167"/>
        <v>496</v>
      </c>
      <c r="K252" s="27"/>
      <c r="L252" s="27"/>
      <c r="M252" s="45">
        <v>2013</v>
      </c>
      <c r="N252" s="48" t="s">
        <v>44</v>
      </c>
      <c r="O252" s="35">
        <f t="shared" si="121"/>
        <v>0.81585932315859322</v>
      </c>
      <c r="P252" s="35">
        <f t="shared" si="122"/>
        <v>0.88104621999283406</v>
      </c>
      <c r="Q252" s="35">
        <f t="shared" si="123"/>
        <v>0.92601194426011946</v>
      </c>
      <c r="R252" s="27">
        <v>3014</v>
      </c>
      <c r="S252" s="27">
        <f t="shared" si="168"/>
        <v>223</v>
      </c>
      <c r="T252" s="27">
        <v>2791</v>
      </c>
      <c r="U252" s="27">
        <v>2459</v>
      </c>
      <c r="V252" s="27">
        <f t="shared" si="169"/>
        <v>332</v>
      </c>
      <c r="W252" s="27"/>
      <c r="X252" s="27"/>
      <c r="Y252" s="45">
        <v>2013</v>
      </c>
      <c r="Z252" s="48" t="s">
        <v>44</v>
      </c>
      <c r="AA252" s="35">
        <f t="shared" si="124"/>
        <v>0.81082621082621087</v>
      </c>
      <c r="AB252" s="35">
        <f t="shared" si="125"/>
        <v>0.90406607369758574</v>
      </c>
      <c r="AC252" s="35">
        <f t="shared" si="126"/>
        <v>0.89686609686609686</v>
      </c>
      <c r="AD252" s="27">
        <v>1755</v>
      </c>
      <c r="AE252" s="27">
        <f t="shared" si="170"/>
        <v>181</v>
      </c>
      <c r="AF252" s="27">
        <v>1574</v>
      </c>
      <c r="AG252" s="27">
        <v>1423</v>
      </c>
      <c r="AH252" s="27">
        <f t="shared" si="171"/>
        <v>151</v>
      </c>
      <c r="AI252" s="27"/>
      <c r="AJ252" s="27"/>
      <c r="AK252" s="45">
        <v>2013</v>
      </c>
      <c r="AL252" s="48" t="s">
        <v>44</v>
      </c>
      <c r="AM252" s="35">
        <f t="shared" si="127"/>
        <v>0.90937500000000004</v>
      </c>
      <c r="AN252" s="35">
        <f t="shared" si="128"/>
        <v>0.95723684210526316</v>
      </c>
      <c r="AO252" s="35">
        <f t="shared" si="129"/>
        <v>0.95</v>
      </c>
      <c r="AP252" s="27">
        <v>320</v>
      </c>
      <c r="AQ252" s="27">
        <f t="shared" si="172"/>
        <v>16</v>
      </c>
      <c r="AR252" s="27">
        <v>304</v>
      </c>
      <c r="AS252" s="27">
        <v>291</v>
      </c>
      <c r="AT252" s="27">
        <f t="shared" si="173"/>
        <v>13</v>
      </c>
      <c r="AU252" s="27"/>
      <c r="AV252" s="27"/>
      <c r="AW252" s="45"/>
      <c r="AX252" s="48"/>
      <c r="AY252" s="35"/>
      <c r="AZ252" s="35"/>
      <c r="BA252" s="35"/>
    </row>
    <row r="253" spans="1:53" s="34" customFormat="1" ht="12.95" customHeight="1">
      <c r="A253" s="46">
        <v>2013</v>
      </c>
      <c r="B253" s="47" t="s">
        <v>45</v>
      </c>
      <c r="C253" s="35">
        <f t="shared" si="118"/>
        <v>0.84160756501182032</v>
      </c>
      <c r="D253" s="35">
        <f t="shared" si="119"/>
        <v>0.86917599186164807</v>
      </c>
      <c r="E253" s="35">
        <f t="shared" si="120"/>
        <v>0.96828211189913316</v>
      </c>
      <c r="F253" s="92">
        <f t="shared" si="163"/>
        <v>5076</v>
      </c>
      <c r="G253" s="27">
        <f t="shared" si="164"/>
        <v>161</v>
      </c>
      <c r="H253" s="92">
        <f t="shared" si="165"/>
        <v>4915</v>
      </c>
      <c r="I253" s="92">
        <f t="shared" si="166"/>
        <v>4272</v>
      </c>
      <c r="J253" s="27">
        <f t="shared" si="167"/>
        <v>643</v>
      </c>
      <c r="K253" s="27"/>
      <c r="L253" s="27"/>
      <c r="M253" s="46">
        <v>2013</v>
      </c>
      <c r="N253" s="47" t="s">
        <v>45</v>
      </c>
      <c r="O253" s="35">
        <f t="shared" si="121"/>
        <v>0.82384282384282381</v>
      </c>
      <c r="P253" s="35">
        <f t="shared" si="122"/>
        <v>0.85222183947640373</v>
      </c>
      <c r="Q253" s="35">
        <f t="shared" si="123"/>
        <v>0.96669996669996672</v>
      </c>
      <c r="R253" s="27">
        <v>3003</v>
      </c>
      <c r="S253" s="27">
        <f t="shared" si="168"/>
        <v>100</v>
      </c>
      <c r="T253" s="27">
        <v>2903</v>
      </c>
      <c r="U253" s="27">
        <v>2474</v>
      </c>
      <c r="V253" s="27">
        <f t="shared" si="169"/>
        <v>429</v>
      </c>
      <c r="W253" s="27"/>
      <c r="X253" s="27"/>
      <c r="Y253" s="46">
        <v>2013</v>
      </c>
      <c r="Z253" s="47" t="s">
        <v>45</v>
      </c>
      <c r="AA253" s="35">
        <f t="shared" si="124"/>
        <v>0.85510553337136341</v>
      </c>
      <c r="AB253" s="35">
        <f t="shared" si="125"/>
        <v>0.87917888563049851</v>
      </c>
      <c r="AC253" s="35">
        <f t="shared" si="126"/>
        <v>0.97261836851112382</v>
      </c>
      <c r="AD253" s="27">
        <v>1753</v>
      </c>
      <c r="AE253" s="27">
        <f t="shared" si="170"/>
        <v>48</v>
      </c>
      <c r="AF253" s="27">
        <v>1705</v>
      </c>
      <c r="AG253" s="27">
        <v>1499</v>
      </c>
      <c r="AH253" s="27">
        <f t="shared" si="171"/>
        <v>206</v>
      </c>
      <c r="AI253" s="27"/>
      <c r="AJ253" s="27"/>
      <c r="AK253" s="46">
        <v>2013</v>
      </c>
      <c r="AL253" s="47" t="s">
        <v>45</v>
      </c>
      <c r="AM253" s="35">
        <f t="shared" si="127"/>
        <v>0.93437499999999996</v>
      </c>
      <c r="AN253" s="35">
        <f t="shared" si="128"/>
        <v>0.97394136807817588</v>
      </c>
      <c r="AO253" s="35">
        <f t="shared" si="129"/>
        <v>0.95937499999999998</v>
      </c>
      <c r="AP253" s="27">
        <v>320</v>
      </c>
      <c r="AQ253" s="27">
        <f t="shared" si="172"/>
        <v>13</v>
      </c>
      <c r="AR253" s="27">
        <v>307</v>
      </c>
      <c r="AS253" s="27">
        <v>299</v>
      </c>
      <c r="AT253" s="27">
        <f t="shared" si="173"/>
        <v>8</v>
      </c>
      <c r="AU253" s="27"/>
      <c r="AV253" s="27"/>
      <c r="AW253" s="46"/>
      <c r="AX253" s="47"/>
      <c r="AY253" s="35"/>
      <c r="AZ253" s="35"/>
      <c r="BA253" s="35"/>
    </row>
    <row r="254" spans="1:53" s="34" customFormat="1" ht="12.95" customHeight="1">
      <c r="A254" s="45">
        <v>2013</v>
      </c>
      <c r="B254" s="48" t="s">
        <v>46</v>
      </c>
      <c r="C254" s="35">
        <f t="shared" si="118"/>
        <v>0.82126880845872308</v>
      </c>
      <c r="D254" s="35">
        <f t="shared" si="119"/>
        <v>0.86137769247174234</v>
      </c>
      <c r="E254" s="35">
        <f t="shared" si="120"/>
        <v>0.95343635624237499</v>
      </c>
      <c r="F254" s="92">
        <f t="shared" si="163"/>
        <v>4918</v>
      </c>
      <c r="G254" s="27">
        <f t="shared" si="164"/>
        <v>229</v>
      </c>
      <c r="H254" s="92">
        <f t="shared" si="165"/>
        <v>4689</v>
      </c>
      <c r="I254" s="92">
        <f t="shared" si="166"/>
        <v>4039</v>
      </c>
      <c r="J254" s="27">
        <f t="shared" si="167"/>
        <v>650</v>
      </c>
      <c r="K254" s="27"/>
      <c r="L254" s="27"/>
      <c r="M254" s="45">
        <v>2013</v>
      </c>
      <c r="N254" s="48" t="s">
        <v>46</v>
      </c>
      <c r="O254" s="35">
        <f t="shared" si="121"/>
        <v>0.80316042597045689</v>
      </c>
      <c r="P254" s="35">
        <f t="shared" si="122"/>
        <v>0.84252252252252258</v>
      </c>
      <c r="Q254" s="35">
        <f t="shared" si="123"/>
        <v>0.95328065956715902</v>
      </c>
      <c r="R254" s="27">
        <v>2911</v>
      </c>
      <c r="S254" s="27">
        <f t="shared" si="168"/>
        <v>136</v>
      </c>
      <c r="T254" s="27">
        <v>2775</v>
      </c>
      <c r="U254" s="27">
        <v>2338</v>
      </c>
      <c r="V254" s="27">
        <f t="shared" si="169"/>
        <v>437</v>
      </c>
      <c r="W254" s="27"/>
      <c r="X254" s="27"/>
      <c r="Y254" s="45">
        <v>2013</v>
      </c>
      <c r="Z254" s="48" t="s">
        <v>46</v>
      </c>
      <c r="AA254" s="35">
        <f t="shared" si="124"/>
        <v>0.83677077195050087</v>
      </c>
      <c r="AB254" s="35">
        <f t="shared" si="125"/>
        <v>0.87925696594427249</v>
      </c>
      <c r="AC254" s="35">
        <f t="shared" si="126"/>
        <v>0.95167943429581614</v>
      </c>
      <c r="AD254" s="27">
        <v>1697</v>
      </c>
      <c r="AE254" s="27">
        <f t="shared" si="170"/>
        <v>82</v>
      </c>
      <c r="AF254" s="27">
        <v>1615</v>
      </c>
      <c r="AG254" s="27">
        <v>1420</v>
      </c>
      <c r="AH254" s="27">
        <f t="shared" si="171"/>
        <v>195</v>
      </c>
      <c r="AI254" s="27"/>
      <c r="AJ254" s="27"/>
      <c r="AK254" s="45">
        <v>2013</v>
      </c>
      <c r="AL254" s="48" t="s">
        <v>46</v>
      </c>
      <c r="AM254" s="35">
        <f t="shared" si="127"/>
        <v>0.90645161290322585</v>
      </c>
      <c r="AN254" s="35">
        <f t="shared" si="128"/>
        <v>0.93979933110367897</v>
      </c>
      <c r="AO254" s="35">
        <f t="shared" si="129"/>
        <v>0.96451612903225803</v>
      </c>
      <c r="AP254" s="27">
        <v>310</v>
      </c>
      <c r="AQ254" s="27">
        <f t="shared" si="172"/>
        <v>11</v>
      </c>
      <c r="AR254" s="27">
        <v>299</v>
      </c>
      <c r="AS254" s="27">
        <v>281</v>
      </c>
      <c r="AT254" s="27">
        <f t="shared" si="173"/>
        <v>18</v>
      </c>
      <c r="AU254" s="27"/>
      <c r="AV254" s="27"/>
      <c r="AW254" s="45"/>
      <c r="AX254" s="48"/>
      <c r="AY254" s="35"/>
      <c r="AZ254" s="35"/>
      <c r="BA254" s="35"/>
    </row>
    <row r="255" spans="1:53" s="34" customFormat="1" ht="12.95" customHeight="1">
      <c r="A255" s="46">
        <v>2013</v>
      </c>
      <c r="B255" s="47" t="s">
        <v>47</v>
      </c>
      <c r="C255" s="35">
        <f t="shared" si="118"/>
        <v>0.82000393004519556</v>
      </c>
      <c r="D255" s="35">
        <f t="shared" si="119"/>
        <v>0.8452501519141179</v>
      </c>
      <c r="E255" s="35">
        <f t="shared" si="120"/>
        <v>0.97013165651404987</v>
      </c>
      <c r="F255" s="92">
        <f t="shared" si="163"/>
        <v>5089</v>
      </c>
      <c r="G255" s="27">
        <f t="shared" si="164"/>
        <v>152</v>
      </c>
      <c r="H255" s="92">
        <f t="shared" si="165"/>
        <v>4937</v>
      </c>
      <c r="I255" s="92">
        <f t="shared" si="166"/>
        <v>4173</v>
      </c>
      <c r="J255" s="27">
        <f t="shared" si="167"/>
        <v>764</v>
      </c>
      <c r="K255" s="27"/>
      <c r="L255" s="27"/>
      <c r="M255" s="46">
        <v>2013</v>
      </c>
      <c r="N255" s="47" t="s">
        <v>47</v>
      </c>
      <c r="O255" s="35">
        <f t="shared" si="121"/>
        <v>0.8221632382216324</v>
      </c>
      <c r="P255" s="35">
        <f t="shared" si="122"/>
        <v>0.84979423868312753</v>
      </c>
      <c r="Q255" s="35">
        <f t="shared" si="123"/>
        <v>0.96748506967485071</v>
      </c>
      <c r="R255" s="27">
        <v>3014</v>
      </c>
      <c r="S255" s="27">
        <f t="shared" si="168"/>
        <v>98</v>
      </c>
      <c r="T255" s="27">
        <v>2916</v>
      </c>
      <c r="U255" s="27">
        <v>2478</v>
      </c>
      <c r="V255" s="27">
        <f t="shared" si="169"/>
        <v>438</v>
      </c>
      <c r="W255" s="27"/>
      <c r="X255" s="27"/>
      <c r="Y255" s="46">
        <v>2013</v>
      </c>
      <c r="Z255" s="47" t="s">
        <v>47</v>
      </c>
      <c r="AA255" s="35">
        <f t="shared" si="124"/>
        <v>0.79715099715099713</v>
      </c>
      <c r="AB255" s="35">
        <f t="shared" si="125"/>
        <v>0.82052785923753668</v>
      </c>
      <c r="AC255" s="35">
        <f t="shared" si="126"/>
        <v>0.97150997150997154</v>
      </c>
      <c r="AD255" s="27">
        <v>1755</v>
      </c>
      <c r="AE255" s="27">
        <f t="shared" si="170"/>
        <v>50</v>
      </c>
      <c r="AF255" s="27">
        <v>1705</v>
      </c>
      <c r="AG255" s="27">
        <v>1399</v>
      </c>
      <c r="AH255" s="27">
        <f t="shared" si="171"/>
        <v>306</v>
      </c>
      <c r="AI255" s="27"/>
      <c r="AJ255" s="27"/>
      <c r="AK255" s="46">
        <v>2013</v>
      </c>
      <c r="AL255" s="47" t="s">
        <v>47</v>
      </c>
      <c r="AM255" s="35">
        <f t="shared" si="127"/>
        <v>0.92500000000000004</v>
      </c>
      <c r="AN255" s="35">
        <f t="shared" si="128"/>
        <v>0.93670886075949367</v>
      </c>
      <c r="AO255" s="35">
        <f t="shared" si="129"/>
        <v>0.98750000000000004</v>
      </c>
      <c r="AP255" s="27">
        <v>320</v>
      </c>
      <c r="AQ255" s="27">
        <f t="shared" si="172"/>
        <v>4</v>
      </c>
      <c r="AR255" s="27">
        <v>316</v>
      </c>
      <c r="AS255" s="27">
        <v>296</v>
      </c>
      <c r="AT255" s="27">
        <f t="shared" si="173"/>
        <v>20</v>
      </c>
      <c r="AU255" s="27"/>
      <c r="AV255" s="27"/>
      <c r="AW255" s="46"/>
      <c r="AX255" s="47"/>
      <c r="AY255" s="35"/>
      <c r="AZ255" s="35"/>
      <c r="BA255" s="35"/>
    </row>
    <row r="256" spans="1:53" s="34" customFormat="1" ht="12.95" customHeight="1">
      <c r="A256" s="45">
        <v>2013</v>
      </c>
      <c r="B256" s="48" t="s">
        <v>48</v>
      </c>
      <c r="C256" s="35">
        <f t="shared" si="118"/>
        <v>0.79204892966360851</v>
      </c>
      <c r="D256" s="35">
        <f t="shared" si="119"/>
        <v>0.83386992916934966</v>
      </c>
      <c r="E256" s="35">
        <f t="shared" si="120"/>
        <v>0.9498470948012232</v>
      </c>
      <c r="F256" s="92">
        <f t="shared" si="163"/>
        <v>4905</v>
      </c>
      <c r="G256" s="27">
        <f t="shared" si="164"/>
        <v>246</v>
      </c>
      <c r="H256" s="92">
        <f t="shared" si="165"/>
        <v>4659</v>
      </c>
      <c r="I256" s="92">
        <f t="shared" si="166"/>
        <v>3885</v>
      </c>
      <c r="J256" s="27">
        <f t="shared" si="167"/>
        <v>774</v>
      </c>
      <c r="K256" s="27"/>
      <c r="L256" s="27"/>
      <c r="M256" s="45">
        <v>2013</v>
      </c>
      <c r="N256" s="48" t="s">
        <v>48</v>
      </c>
      <c r="O256" s="35">
        <f t="shared" si="121"/>
        <v>0.78620689655172415</v>
      </c>
      <c r="P256" s="35">
        <f t="shared" si="122"/>
        <v>0.83485902599780304</v>
      </c>
      <c r="Q256" s="35">
        <f t="shared" si="123"/>
        <v>0.94172413793103449</v>
      </c>
      <c r="R256" s="27">
        <v>2900</v>
      </c>
      <c r="S256" s="27">
        <f t="shared" si="168"/>
        <v>169</v>
      </c>
      <c r="T256" s="27">
        <v>2731</v>
      </c>
      <c r="U256" s="27">
        <v>2280</v>
      </c>
      <c r="V256" s="27">
        <f t="shared" si="169"/>
        <v>451</v>
      </c>
      <c r="W256" s="27"/>
      <c r="X256" s="27"/>
      <c r="Y256" s="45">
        <v>2013</v>
      </c>
      <c r="Z256" s="48" t="s">
        <v>48</v>
      </c>
      <c r="AA256" s="35">
        <f t="shared" si="124"/>
        <v>0.77876106194690264</v>
      </c>
      <c r="AB256" s="35">
        <f t="shared" si="125"/>
        <v>0.81381011097410605</v>
      </c>
      <c r="AC256" s="35">
        <f t="shared" si="126"/>
        <v>0.9569321533923304</v>
      </c>
      <c r="AD256" s="27">
        <v>1695</v>
      </c>
      <c r="AE256" s="27">
        <f t="shared" si="170"/>
        <v>73</v>
      </c>
      <c r="AF256" s="27">
        <v>1622</v>
      </c>
      <c r="AG256" s="27">
        <v>1320</v>
      </c>
      <c r="AH256" s="27">
        <f t="shared" si="171"/>
        <v>302</v>
      </c>
      <c r="AI256" s="27"/>
      <c r="AJ256" s="27"/>
      <c r="AK256" s="45">
        <v>2013</v>
      </c>
      <c r="AL256" s="48" t="s">
        <v>48</v>
      </c>
      <c r="AM256" s="35">
        <f t="shared" si="127"/>
        <v>0.91935483870967738</v>
      </c>
      <c r="AN256" s="35">
        <f t="shared" si="128"/>
        <v>0.93137254901960786</v>
      </c>
      <c r="AO256" s="35">
        <f t="shared" si="129"/>
        <v>0.98709677419354835</v>
      </c>
      <c r="AP256" s="27">
        <v>310</v>
      </c>
      <c r="AQ256" s="27">
        <f t="shared" si="172"/>
        <v>4</v>
      </c>
      <c r="AR256" s="27">
        <v>306</v>
      </c>
      <c r="AS256" s="27">
        <v>285</v>
      </c>
      <c r="AT256" s="27">
        <f t="shared" si="173"/>
        <v>21</v>
      </c>
      <c r="AU256" s="27"/>
      <c r="AV256" s="27"/>
      <c r="AW256" s="45"/>
      <c r="AX256" s="48"/>
      <c r="AY256" s="35"/>
      <c r="AZ256" s="35"/>
      <c r="BA256" s="35"/>
    </row>
    <row r="257" spans="1:53" s="34" customFormat="1" ht="12.95" customHeight="1">
      <c r="A257" s="46">
        <v>2013</v>
      </c>
      <c r="B257" s="47" t="s">
        <v>49</v>
      </c>
      <c r="C257" s="35">
        <f t="shared" si="118"/>
        <v>0.76605048698071954</v>
      </c>
      <c r="D257" s="35">
        <f t="shared" si="119"/>
        <v>0.84130102597686096</v>
      </c>
      <c r="E257" s="35">
        <f t="shared" si="120"/>
        <v>0.91055456171735238</v>
      </c>
      <c r="F257" s="92">
        <f t="shared" si="163"/>
        <v>5031</v>
      </c>
      <c r="G257" s="27">
        <f t="shared" si="164"/>
        <v>450</v>
      </c>
      <c r="H257" s="92">
        <f t="shared" si="165"/>
        <v>4581</v>
      </c>
      <c r="I257" s="92">
        <f t="shared" si="166"/>
        <v>3854</v>
      </c>
      <c r="J257" s="27">
        <f t="shared" si="167"/>
        <v>727</v>
      </c>
      <c r="K257" s="27"/>
      <c r="L257" s="27"/>
      <c r="M257" s="46">
        <v>2013</v>
      </c>
      <c r="N257" s="47" t="s">
        <v>49</v>
      </c>
      <c r="O257" s="35">
        <f t="shared" si="121"/>
        <v>0.81483979763912306</v>
      </c>
      <c r="P257" s="35">
        <f t="shared" si="122"/>
        <v>0.87251715420729503</v>
      </c>
      <c r="Q257" s="35">
        <f t="shared" si="123"/>
        <v>0.93389544688026982</v>
      </c>
      <c r="R257" s="27">
        <v>2965</v>
      </c>
      <c r="S257" s="27">
        <f t="shared" si="168"/>
        <v>196</v>
      </c>
      <c r="T257" s="27">
        <v>2769</v>
      </c>
      <c r="U257" s="27">
        <v>2416</v>
      </c>
      <c r="V257" s="27">
        <f t="shared" si="169"/>
        <v>353</v>
      </c>
      <c r="W257" s="27"/>
      <c r="X257" s="27"/>
      <c r="Y257" s="46">
        <v>2013</v>
      </c>
      <c r="Z257" s="47" t="s">
        <v>49</v>
      </c>
      <c r="AA257" s="35">
        <f t="shared" si="124"/>
        <v>0.66513761467889909</v>
      </c>
      <c r="AB257" s="35">
        <f t="shared" si="125"/>
        <v>0.76923076923076927</v>
      </c>
      <c r="AC257" s="35">
        <f t="shared" si="126"/>
        <v>0.86467889908256879</v>
      </c>
      <c r="AD257" s="27">
        <v>1744</v>
      </c>
      <c r="AE257" s="27">
        <f t="shared" si="170"/>
        <v>236</v>
      </c>
      <c r="AF257" s="27">
        <v>1508</v>
      </c>
      <c r="AG257" s="27">
        <v>1160</v>
      </c>
      <c r="AH257" s="27">
        <f t="shared" si="171"/>
        <v>348</v>
      </c>
      <c r="AI257" s="27"/>
      <c r="AJ257" s="27"/>
      <c r="AK257" s="46">
        <v>2013</v>
      </c>
      <c r="AL257" s="47" t="s">
        <v>49</v>
      </c>
      <c r="AM257" s="35">
        <f t="shared" si="127"/>
        <v>0.86335403726708071</v>
      </c>
      <c r="AN257" s="35">
        <f t="shared" si="128"/>
        <v>0.91447368421052633</v>
      </c>
      <c r="AO257" s="35">
        <f t="shared" si="129"/>
        <v>0.94409937888198758</v>
      </c>
      <c r="AP257" s="27">
        <v>322</v>
      </c>
      <c r="AQ257" s="27">
        <f t="shared" si="172"/>
        <v>18</v>
      </c>
      <c r="AR257" s="27">
        <v>304</v>
      </c>
      <c r="AS257" s="27">
        <v>278</v>
      </c>
      <c r="AT257" s="27">
        <f t="shared" si="173"/>
        <v>26</v>
      </c>
      <c r="AU257" s="27"/>
      <c r="AV257" s="27"/>
      <c r="AW257" s="46"/>
      <c r="AX257" s="47"/>
      <c r="AY257" s="35"/>
      <c r="AZ257" s="35"/>
      <c r="BA257" s="35"/>
    </row>
    <row r="258" spans="1:53" s="29" customFormat="1" ht="12.75">
      <c r="A258" s="45">
        <v>2014</v>
      </c>
      <c r="B258" s="48" t="s">
        <v>38</v>
      </c>
      <c r="C258" s="35">
        <f t="shared" si="118"/>
        <v>0.84378070347808998</v>
      </c>
      <c r="D258" s="35">
        <f t="shared" si="119"/>
        <v>0.89983235540653816</v>
      </c>
      <c r="E258" s="35">
        <f t="shared" si="120"/>
        <v>0.93770878365101196</v>
      </c>
      <c r="F258" s="92">
        <f t="shared" ref="F258:F269" si="174">+R258+AD258+AP258</f>
        <v>5089</v>
      </c>
      <c r="G258" s="27">
        <f t="shared" ref="G258:G269" si="175">F258-H258</f>
        <v>317</v>
      </c>
      <c r="H258" s="92">
        <f t="shared" ref="H258:H269" si="176">+T258+AF258+AR258</f>
        <v>4772</v>
      </c>
      <c r="I258" s="92">
        <f t="shared" ref="I258:I269" si="177">+U258+AG258+AS258</f>
        <v>4294</v>
      </c>
      <c r="J258" s="27">
        <f t="shared" ref="J258:J269" si="178">H258-I258</f>
        <v>478</v>
      </c>
      <c r="K258" s="27"/>
      <c r="L258" s="27"/>
      <c r="M258" s="45">
        <v>2014</v>
      </c>
      <c r="N258" s="48" t="s">
        <v>38</v>
      </c>
      <c r="O258" s="35">
        <f t="shared" si="121"/>
        <v>0.86363636363636365</v>
      </c>
      <c r="P258" s="35">
        <f t="shared" si="122"/>
        <v>0.90507649513212796</v>
      </c>
      <c r="Q258" s="35">
        <f t="shared" si="123"/>
        <v>0.95421366954213671</v>
      </c>
      <c r="R258" s="27">
        <v>3014</v>
      </c>
      <c r="S258" s="27">
        <f t="shared" ref="S258:S261" si="179">R258-T258</f>
        <v>138</v>
      </c>
      <c r="T258" s="27">
        <v>2876</v>
      </c>
      <c r="U258" s="27">
        <v>2603</v>
      </c>
      <c r="V258" s="27">
        <f t="shared" ref="V258:V269" si="180">T258-U258</f>
        <v>273</v>
      </c>
      <c r="W258" s="27"/>
      <c r="X258" s="27"/>
      <c r="Y258" s="45">
        <v>2014</v>
      </c>
      <c r="Z258" s="48" t="s">
        <v>38</v>
      </c>
      <c r="AA258" s="35">
        <f t="shared" si="124"/>
        <v>0.79088319088319092</v>
      </c>
      <c r="AB258" s="35">
        <f t="shared" si="125"/>
        <v>0.87350534927627443</v>
      </c>
      <c r="AC258" s="35">
        <f t="shared" si="126"/>
        <v>0.90541310541310538</v>
      </c>
      <c r="AD258" s="27">
        <v>1755</v>
      </c>
      <c r="AE258" s="27">
        <f t="shared" ref="AE258:AE261" si="181">AD258-AF258</f>
        <v>166</v>
      </c>
      <c r="AF258" s="27">
        <v>1589</v>
      </c>
      <c r="AG258" s="27">
        <v>1388</v>
      </c>
      <c r="AH258" s="27">
        <f t="shared" ref="AH258:AH269" si="182">AF258-AG258</f>
        <v>201</v>
      </c>
      <c r="AI258" s="27"/>
      <c r="AJ258" s="27"/>
      <c r="AK258" s="45">
        <v>2014</v>
      </c>
      <c r="AL258" s="48" t="s">
        <v>38</v>
      </c>
      <c r="AM258" s="35">
        <f t="shared" si="127"/>
        <v>0.94687500000000002</v>
      </c>
      <c r="AN258" s="35">
        <f t="shared" si="128"/>
        <v>0.98697068403908794</v>
      </c>
      <c r="AO258" s="35">
        <f t="shared" si="129"/>
        <v>0.95937499999999998</v>
      </c>
      <c r="AP258" s="27">
        <v>320</v>
      </c>
      <c r="AQ258" s="27">
        <f t="shared" ref="AQ258:AQ261" si="183">AP258-AR258</f>
        <v>13</v>
      </c>
      <c r="AR258" s="27">
        <v>307</v>
      </c>
      <c r="AS258" s="27">
        <v>303</v>
      </c>
      <c r="AT258" s="27">
        <f t="shared" ref="AT258:AT269" si="184">AR258-AS258</f>
        <v>4</v>
      </c>
      <c r="AU258" s="27"/>
      <c r="AV258" s="27"/>
      <c r="AW258" s="45"/>
      <c r="AX258" s="48"/>
      <c r="AY258" s="35"/>
      <c r="AZ258" s="35"/>
      <c r="BA258" s="35"/>
    </row>
    <row r="259" spans="1:53" s="29" customFormat="1" ht="12.75">
      <c r="A259" s="46">
        <v>2014</v>
      </c>
      <c r="B259" s="47" t="s">
        <v>39</v>
      </c>
      <c r="C259" s="35">
        <f t="shared" si="118"/>
        <v>0.80512152777777779</v>
      </c>
      <c r="D259" s="35">
        <f t="shared" si="119"/>
        <v>0.87212035731076631</v>
      </c>
      <c r="E259" s="35">
        <f t="shared" si="120"/>
        <v>0.92317708333333337</v>
      </c>
      <c r="F259" s="92">
        <f t="shared" si="174"/>
        <v>4608</v>
      </c>
      <c r="G259" s="27">
        <f t="shared" si="175"/>
        <v>354</v>
      </c>
      <c r="H259" s="92">
        <f t="shared" si="176"/>
        <v>4254</v>
      </c>
      <c r="I259" s="92">
        <f t="shared" si="177"/>
        <v>3710</v>
      </c>
      <c r="J259" s="27">
        <f t="shared" si="178"/>
        <v>544</v>
      </c>
      <c r="K259" s="27"/>
      <c r="L259" s="27"/>
      <c r="M259" s="46">
        <v>2014</v>
      </c>
      <c r="N259" s="47" t="s">
        <v>39</v>
      </c>
      <c r="O259" s="35">
        <f t="shared" si="121"/>
        <v>0.83857979502196189</v>
      </c>
      <c r="P259" s="35">
        <f t="shared" si="122"/>
        <v>0.89667318982387478</v>
      </c>
      <c r="Q259" s="35">
        <f t="shared" si="123"/>
        <v>0.93521229868228406</v>
      </c>
      <c r="R259" s="27">
        <v>2732</v>
      </c>
      <c r="S259" s="27">
        <f t="shared" si="179"/>
        <v>177</v>
      </c>
      <c r="T259" s="27">
        <v>2555</v>
      </c>
      <c r="U259" s="27">
        <v>2291</v>
      </c>
      <c r="V259" s="27">
        <f t="shared" si="180"/>
        <v>264</v>
      </c>
      <c r="W259" s="27"/>
      <c r="X259" s="27"/>
      <c r="Y259" s="46">
        <v>2014</v>
      </c>
      <c r="Z259" s="47" t="s">
        <v>39</v>
      </c>
      <c r="AA259" s="35">
        <f t="shared" si="124"/>
        <v>0.73236775818639799</v>
      </c>
      <c r="AB259" s="35">
        <f t="shared" si="125"/>
        <v>0.8167134831460674</v>
      </c>
      <c r="AC259" s="35">
        <f t="shared" si="126"/>
        <v>0.89672544080604533</v>
      </c>
      <c r="AD259" s="27">
        <v>1588</v>
      </c>
      <c r="AE259" s="27">
        <f t="shared" si="181"/>
        <v>164</v>
      </c>
      <c r="AF259" s="27">
        <v>1424</v>
      </c>
      <c r="AG259" s="27">
        <v>1163</v>
      </c>
      <c r="AH259" s="27">
        <f t="shared" si="182"/>
        <v>261</v>
      </c>
      <c r="AI259" s="27"/>
      <c r="AJ259" s="27"/>
      <c r="AK259" s="46">
        <v>2014</v>
      </c>
      <c r="AL259" s="47" t="s">
        <v>39</v>
      </c>
      <c r="AM259" s="35">
        <f t="shared" si="127"/>
        <v>0.88888888888888884</v>
      </c>
      <c r="AN259" s="35">
        <f t="shared" si="128"/>
        <v>0.93090909090909091</v>
      </c>
      <c r="AO259" s="35">
        <f t="shared" si="129"/>
        <v>0.95486111111111116</v>
      </c>
      <c r="AP259" s="27">
        <v>288</v>
      </c>
      <c r="AQ259" s="27">
        <f t="shared" si="183"/>
        <v>13</v>
      </c>
      <c r="AR259" s="27">
        <v>275</v>
      </c>
      <c r="AS259" s="27">
        <v>256</v>
      </c>
      <c r="AT259" s="27">
        <f t="shared" si="184"/>
        <v>19</v>
      </c>
      <c r="AU259" s="27"/>
      <c r="AV259" s="27"/>
      <c r="AW259" s="46"/>
      <c r="AX259" s="47"/>
      <c r="AY259" s="35"/>
      <c r="AZ259" s="35"/>
      <c r="BA259" s="35"/>
    </row>
    <row r="260" spans="1:53" s="29" customFormat="1" ht="12.75">
      <c r="A260" s="45">
        <v>2014</v>
      </c>
      <c r="B260" s="48" t="s">
        <v>40</v>
      </c>
      <c r="C260" s="35">
        <f t="shared" si="118"/>
        <v>0.80140562248995983</v>
      </c>
      <c r="D260" s="35">
        <f t="shared" si="119"/>
        <v>0.86273238218763515</v>
      </c>
      <c r="E260" s="35">
        <f t="shared" si="120"/>
        <v>0.92891566265060244</v>
      </c>
      <c r="F260" s="92">
        <f t="shared" si="174"/>
        <v>4980</v>
      </c>
      <c r="G260" s="27">
        <f t="shared" si="175"/>
        <v>354</v>
      </c>
      <c r="H260" s="92">
        <f t="shared" si="176"/>
        <v>4626</v>
      </c>
      <c r="I260" s="92">
        <f t="shared" si="177"/>
        <v>3991</v>
      </c>
      <c r="J260" s="27">
        <f t="shared" si="178"/>
        <v>635</v>
      </c>
      <c r="K260" s="27"/>
      <c r="L260" s="27"/>
      <c r="M260" s="45">
        <v>2014</v>
      </c>
      <c r="N260" s="48" t="s">
        <v>40</v>
      </c>
      <c r="O260" s="35">
        <f t="shared" si="121"/>
        <v>0.82135523613963035</v>
      </c>
      <c r="P260" s="35">
        <f t="shared" si="122"/>
        <v>0.88430361090641119</v>
      </c>
      <c r="Q260" s="35">
        <f t="shared" si="123"/>
        <v>0.92881587953456535</v>
      </c>
      <c r="R260" s="27">
        <v>2922</v>
      </c>
      <c r="S260" s="27">
        <f t="shared" si="179"/>
        <v>208</v>
      </c>
      <c r="T260" s="27">
        <v>2714</v>
      </c>
      <c r="U260" s="27">
        <v>2400</v>
      </c>
      <c r="V260" s="27">
        <f t="shared" si="180"/>
        <v>314</v>
      </c>
      <c r="W260" s="27"/>
      <c r="X260" s="27"/>
      <c r="Y260" s="45">
        <v>2014</v>
      </c>
      <c r="Z260" s="48" t="s">
        <v>40</v>
      </c>
      <c r="AA260" s="35">
        <f t="shared" si="124"/>
        <v>0.75288683602771367</v>
      </c>
      <c r="AB260" s="35">
        <f t="shared" si="125"/>
        <v>0.80793060718711274</v>
      </c>
      <c r="AC260" s="35">
        <f t="shared" si="126"/>
        <v>0.93187066974595845</v>
      </c>
      <c r="AD260" s="27">
        <v>1732</v>
      </c>
      <c r="AE260" s="27">
        <f t="shared" si="181"/>
        <v>118</v>
      </c>
      <c r="AF260" s="27">
        <v>1614</v>
      </c>
      <c r="AG260" s="27">
        <v>1304</v>
      </c>
      <c r="AH260" s="27">
        <f t="shared" si="182"/>
        <v>310</v>
      </c>
      <c r="AI260" s="27"/>
      <c r="AJ260" s="27"/>
      <c r="AK260" s="45">
        <v>2014</v>
      </c>
      <c r="AL260" s="48" t="s">
        <v>40</v>
      </c>
      <c r="AM260" s="35">
        <f t="shared" si="127"/>
        <v>0.88036809815950923</v>
      </c>
      <c r="AN260" s="35">
        <f t="shared" si="128"/>
        <v>0.96308724832214765</v>
      </c>
      <c r="AO260" s="35">
        <f t="shared" si="129"/>
        <v>0.91411042944785281</v>
      </c>
      <c r="AP260" s="27">
        <v>326</v>
      </c>
      <c r="AQ260" s="27">
        <f t="shared" si="183"/>
        <v>28</v>
      </c>
      <c r="AR260" s="27">
        <v>298</v>
      </c>
      <c r="AS260" s="27">
        <v>287</v>
      </c>
      <c r="AT260" s="27">
        <f t="shared" si="184"/>
        <v>11</v>
      </c>
      <c r="AU260" s="27"/>
      <c r="AV260" s="27"/>
      <c r="AW260" s="45"/>
      <c r="AX260" s="48"/>
      <c r="AY260" s="35"/>
      <c r="AZ260" s="35"/>
      <c r="BA260" s="35"/>
    </row>
    <row r="261" spans="1:53" s="29" customFormat="1" ht="12.75">
      <c r="A261" s="46">
        <v>2014</v>
      </c>
      <c r="B261" s="47" t="s">
        <v>41</v>
      </c>
      <c r="C261" s="35">
        <f t="shared" si="118"/>
        <v>0.73445516109172992</v>
      </c>
      <c r="D261" s="35">
        <f t="shared" si="119"/>
        <v>0.83680149637596446</v>
      </c>
      <c r="E261" s="35">
        <f t="shared" si="120"/>
        <v>0.87769341268212597</v>
      </c>
      <c r="F261" s="92">
        <f t="shared" si="174"/>
        <v>4873</v>
      </c>
      <c r="G261" s="27">
        <f t="shared" si="175"/>
        <v>596</v>
      </c>
      <c r="H261" s="92">
        <f t="shared" si="176"/>
        <v>4277</v>
      </c>
      <c r="I261" s="92">
        <f t="shared" si="177"/>
        <v>3579</v>
      </c>
      <c r="J261" s="27">
        <f t="shared" si="178"/>
        <v>698</v>
      </c>
      <c r="K261" s="27"/>
      <c r="L261" s="27"/>
      <c r="M261" s="46">
        <v>2014</v>
      </c>
      <c r="N261" s="47" t="s">
        <v>41</v>
      </c>
      <c r="O261" s="35">
        <f t="shared" si="121"/>
        <v>0.73686042464323009</v>
      </c>
      <c r="P261" s="35">
        <f t="shared" si="122"/>
        <v>0.83974613248710828</v>
      </c>
      <c r="Q261" s="35">
        <f t="shared" si="123"/>
        <v>0.87747998607727118</v>
      </c>
      <c r="R261" s="27">
        <v>2873</v>
      </c>
      <c r="S261" s="27">
        <f t="shared" si="179"/>
        <v>352</v>
      </c>
      <c r="T261" s="27">
        <v>2521</v>
      </c>
      <c r="U261" s="27">
        <v>2117</v>
      </c>
      <c r="V261" s="27">
        <f t="shared" si="180"/>
        <v>404</v>
      </c>
      <c r="W261" s="27"/>
      <c r="X261" s="27"/>
      <c r="Y261" s="46">
        <v>2014</v>
      </c>
      <c r="Z261" s="47" t="s">
        <v>41</v>
      </c>
      <c r="AA261" s="35">
        <f t="shared" si="124"/>
        <v>0.70971563981042651</v>
      </c>
      <c r="AB261" s="35">
        <f t="shared" si="125"/>
        <v>0.81496598639455786</v>
      </c>
      <c r="AC261" s="35">
        <f t="shared" si="126"/>
        <v>0.87085308056872035</v>
      </c>
      <c r="AD261" s="27">
        <v>1688</v>
      </c>
      <c r="AE261" s="27">
        <f t="shared" si="181"/>
        <v>218</v>
      </c>
      <c r="AF261" s="27">
        <v>1470</v>
      </c>
      <c r="AG261" s="27">
        <v>1198</v>
      </c>
      <c r="AH261" s="27">
        <f t="shared" si="182"/>
        <v>272</v>
      </c>
      <c r="AI261" s="27"/>
      <c r="AJ261" s="27"/>
      <c r="AK261" s="46">
        <v>2014</v>
      </c>
      <c r="AL261" s="47" t="s">
        <v>41</v>
      </c>
      <c r="AM261" s="35">
        <f t="shared" si="127"/>
        <v>0.84615384615384615</v>
      </c>
      <c r="AN261" s="35">
        <f t="shared" si="128"/>
        <v>0.92307692307692313</v>
      </c>
      <c r="AO261" s="35">
        <f t="shared" si="129"/>
        <v>0.91666666666666663</v>
      </c>
      <c r="AP261" s="27">
        <v>312</v>
      </c>
      <c r="AQ261" s="27">
        <f t="shared" si="183"/>
        <v>26</v>
      </c>
      <c r="AR261" s="27">
        <v>286</v>
      </c>
      <c r="AS261" s="27">
        <v>264</v>
      </c>
      <c r="AT261" s="27">
        <f t="shared" si="184"/>
        <v>22</v>
      </c>
      <c r="AU261" s="27"/>
      <c r="AV261" s="27"/>
      <c r="AW261" s="46"/>
      <c r="AX261" s="47"/>
      <c r="AY261" s="35"/>
      <c r="AZ261" s="35"/>
      <c r="BA261" s="35"/>
    </row>
    <row r="262" spans="1:53" s="29" customFormat="1" ht="12.75">
      <c r="A262" s="45">
        <v>2014</v>
      </c>
      <c r="B262" s="48" t="s">
        <v>42</v>
      </c>
      <c r="C262" s="35">
        <f t="shared" si="118"/>
        <v>0.67922283901665348</v>
      </c>
      <c r="D262" s="35">
        <f t="shared" si="119"/>
        <v>0.79158964879852123</v>
      </c>
      <c r="E262" s="35">
        <f t="shared" si="120"/>
        <v>0.85804916732751779</v>
      </c>
      <c r="F262" s="92">
        <f t="shared" si="174"/>
        <v>5044</v>
      </c>
      <c r="G262" s="27">
        <f t="shared" si="175"/>
        <v>716</v>
      </c>
      <c r="H262" s="92">
        <f t="shared" si="176"/>
        <v>4328</v>
      </c>
      <c r="I262" s="92">
        <f t="shared" si="177"/>
        <v>3426</v>
      </c>
      <c r="J262" s="27">
        <f t="shared" si="178"/>
        <v>902</v>
      </c>
      <c r="K262" s="27"/>
      <c r="L262" s="27"/>
      <c r="M262" s="45">
        <v>2014</v>
      </c>
      <c r="N262" s="48" t="s">
        <v>42</v>
      </c>
      <c r="O262" s="35">
        <f t="shared" si="121"/>
        <v>0.72782258064516125</v>
      </c>
      <c r="P262" s="35">
        <f t="shared" si="122"/>
        <v>0.78336347197106693</v>
      </c>
      <c r="Q262" s="35">
        <f t="shared" si="123"/>
        <v>0.92909946236559138</v>
      </c>
      <c r="R262" s="27">
        <v>2976</v>
      </c>
      <c r="S262" s="27">
        <f t="shared" ref="S262:S269" si="185">R262-T262</f>
        <v>211</v>
      </c>
      <c r="T262" s="27">
        <v>2765</v>
      </c>
      <c r="U262" s="27">
        <v>2166</v>
      </c>
      <c r="V262" s="27">
        <f t="shared" si="180"/>
        <v>599</v>
      </c>
      <c r="W262" s="27"/>
      <c r="X262" s="27"/>
      <c r="Y262" s="45">
        <v>2014</v>
      </c>
      <c r="Z262" s="48" t="s">
        <v>42</v>
      </c>
      <c r="AA262" s="35">
        <f t="shared" si="124"/>
        <v>0.57560137457044669</v>
      </c>
      <c r="AB262" s="35">
        <f t="shared" si="125"/>
        <v>0.78210116731517509</v>
      </c>
      <c r="AC262" s="35">
        <f t="shared" si="126"/>
        <v>0.73596792668957622</v>
      </c>
      <c r="AD262" s="27">
        <v>1746</v>
      </c>
      <c r="AE262" s="27">
        <f t="shared" ref="AE262:AE269" si="186">AD262-AF262</f>
        <v>461</v>
      </c>
      <c r="AF262" s="27">
        <v>1285</v>
      </c>
      <c r="AG262" s="27">
        <v>1005</v>
      </c>
      <c r="AH262" s="27">
        <f t="shared" si="182"/>
        <v>280</v>
      </c>
      <c r="AI262" s="27"/>
      <c r="AJ262" s="27"/>
      <c r="AK262" s="45">
        <v>2014</v>
      </c>
      <c r="AL262" s="48" t="s">
        <v>42</v>
      </c>
      <c r="AM262" s="35">
        <f t="shared" si="127"/>
        <v>0.79192546583850931</v>
      </c>
      <c r="AN262" s="35">
        <f t="shared" si="128"/>
        <v>0.91726618705035967</v>
      </c>
      <c r="AO262" s="35">
        <f t="shared" si="129"/>
        <v>0.86335403726708071</v>
      </c>
      <c r="AP262" s="27">
        <v>322</v>
      </c>
      <c r="AQ262" s="27">
        <f t="shared" ref="AQ262:AQ269" si="187">AP262-AR262</f>
        <v>44</v>
      </c>
      <c r="AR262" s="27">
        <v>278</v>
      </c>
      <c r="AS262" s="27">
        <v>255</v>
      </c>
      <c r="AT262" s="27">
        <f t="shared" si="184"/>
        <v>23</v>
      </c>
      <c r="AU262" s="27"/>
      <c r="AV262" s="27"/>
      <c r="AW262" s="45"/>
      <c r="AX262" s="48"/>
      <c r="AY262" s="35"/>
      <c r="AZ262" s="35"/>
      <c r="BA262" s="35"/>
    </row>
    <row r="263" spans="1:53" s="29" customFormat="1" ht="12.75">
      <c r="A263" s="46">
        <v>2014</v>
      </c>
      <c r="B263" s="47" t="s">
        <v>43</v>
      </c>
      <c r="C263" s="35">
        <f t="shared" ref="C263:C326" si="188">I263/F263</f>
        <v>0.72206303724928367</v>
      </c>
      <c r="D263" s="35">
        <f t="shared" ref="D263:D326" si="189">I263/H263</f>
        <v>0.76100086281276957</v>
      </c>
      <c r="E263" s="35">
        <f t="shared" ref="E263:E326" si="190">H263/F263</f>
        <v>0.94883340155546458</v>
      </c>
      <c r="F263" s="92">
        <f t="shared" si="174"/>
        <v>4886</v>
      </c>
      <c r="G263" s="27">
        <f t="shared" si="175"/>
        <v>250</v>
      </c>
      <c r="H263" s="92">
        <f t="shared" si="176"/>
        <v>4636</v>
      </c>
      <c r="I263" s="92">
        <f t="shared" si="177"/>
        <v>3528</v>
      </c>
      <c r="J263" s="27">
        <f t="shared" si="178"/>
        <v>1108</v>
      </c>
      <c r="K263" s="27"/>
      <c r="L263" s="27"/>
      <c r="M263" s="46">
        <v>2014</v>
      </c>
      <c r="N263" s="47" t="s">
        <v>43</v>
      </c>
      <c r="O263" s="35">
        <f t="shared" ref="O263:O326" si="191">U263/R263</f>
        <v>0.72260748959778087</v>
      </c>
      <c r="P263" s="35">
        <f t="shared" ref="P263:P326" si="192">U263/T263</f>
        <v>0.76309044306114981</v>
      </c>
      <c r="Q263" s="35">
        <f t="shared" ref="Q263:Q326" si="193">T263/R263</f>
        <v>0.94694868238557561</v>
      </c>
      <c r="R263" s="27">
        <v>2884</v>
      </c>
      <c r="S263" s="27">
        <f t="shared" si="185"/>
        <v>153</v>
      </c>
      <c r="T263" s="27">
        <v>2731</v>
      </c>
      <c r="U263" s="27">
        <v>2084</v>
      </c>
      <c r="V263" s="27">
        <f t="shared" si="180"/>
        <v>647</v>
      </c>
      <c r="W263" s="27"/>
      <c r="X263" s="27"/>
      <c r="Y263" s="46">
        <v>2014</v>
      </c>
      <c r="Z263" s="47" t="s">
        <v>43</v>
      </c>
      <c r="AA263" s="35">
        <f t="shared" ref="AA263:AA326" si="194">AG263/AD263</f>
        <v>0.69881656804733727</v>
      </c>
      <c r="AB263" s="35">
        <f t="shared" ref="AB263:AB326" si="195">AG263/AF263</f>
        <v>0.72721674876847286</v>
      </c>
      <c r="AC263" s="35">
        <f t="shared" ref="AC263:AC326" si="196">AF263/AD263</f>
        <v>0.96094674556213022</v>
      </c>
      <c r="AD263" s="27">
        <v>1690</v>
      </c>
      <c r="AE263" s="27">
        <f t="shared" si="186"/>
        <v>66</v>
      </c>
      <c r="AF263" s="27">
        <v>1624</v>
      </c>
      <c r="AG263" s="27">
        <v>1181</v>
      </c>
      <c r="AH263" s="27">
        <f t="shared" si="182"/>
        <v>443</v>
      </c>
      <c r="AI263" s="27"/>
      <c r="AJ263" s="27"/>
      <c r="AK263" s="46">
        <v>2014</v>
      </c>
      <c r="AL263" s="47" t="s">
        <v>43</v>
      </c>
      <c r="AM263" s="35">
        <f t="shared" ref="AM263:AM301" si="197">AS263/AP263</f>
        <v>0.84294871794871795</v>
      </c>
      <c r="AN263" s="35">
        <f t="shared" ref="AN263:AN301" si="198">AS263/AR263</f>
        <v>0.93594306049822062</v>
      </c>
      <c r="AO263" s="35">
        <f t="shared" ref="AO263:AO301" si="199">AR263/AP263</f>
        <v>0.90064102564102566</v>
      </c>
      <c r="AP263" s="27">
        <v>312</v>
      </c>
      <c r="AQ263" s="27">
        <f t="shared" si="187"/>
        <v>31</v>
      </c>
      <c r="AR263" s="27">
        <v>281</v>
      </c>
      <c r="AS263" s="27">
        <v>263</v>
      </c>
      <c r="AT263" s="27">
        <f t="shared" si="184"/>
        <v>18</v>
      </c>
      <c r="AU263" s="27"/>
      <c r="AV263" s="27"/>
      <c r="AW263" s="46"/>
      <c r="AX263" s="47"/>
      <c r="AY263" s="35"/>
      <c r="AZ263" s="35"/>
      <c r="BA263" s="35"/>
    </row>
    <row r="264" spans="1:53" s="29" customFormat="1" ht="12.75">
      <c r="A264" s="45">
        <v>2014</v>
      </c>
      <c r="B264" s="48" t="s">
        <v>44</v>
      </c>
      <c r="C264" s="35">
        <f t="shared" si="188"/>
        <v>0.69561799960699544</v>
      </c>
      <c r="D264" s="35">
        <f t="shared" si="189"/>
        <v>0.80308529945553542</v>
      </c>
      <c r="E264" s="35">
        <f t="shared" si="190"/>
        <v>0.86618196109255252</v>
      </c>
      <c r="F264" s="92">
        <f t="shared" si="174"/>
        <v>5089</v>
      </c>
      <c r="G264" s="27">
        <f t="shared" si="175"/>
        <v>681</v>
      </c>
      <c r="H264" s="92">
        <f t="shared" si="176"/>
        <v>4408</v>
      </c>
      <c r="I264" s="92">
        <f t="shared" si="177"/>
        <v>3540</v>
      </c>
      <c r="J264" s="27">
        <f t="shared" si="178"/>
        <v>868</v>
      </c>
      <c r="K264" s="27"/>
      <c r="L264" s="27"/>
      <c r="M264" s="45">
        <v>2014</v>
      </c>
      <c r="N264" s="48" t="s">
        <v>44</v>
      </c>
      <c r="O264" s="35">
        <f t="shared" si="191"/>
        <v>0.80225613802256135</v>
      </c>
      <c r="P264" s="35">
        <f t="shared" si="192"/>
        <v>0.8261018107277075</v>
      </c>
      <c r="Q264" s="35">
        <f t="shared" si="193"/>
        <v>0.971134704711347</v>
      </c>
      <c r="R264" s="27">
        <v>3014</v>
      </c>
      <c r="S264" s="27">
        <f t="shared" si="185"/>
        <v>87</v>
      </c>
      <c r="T264" s="27">
        <v>2927</v>
      </c>
      <c r="U264" s="27">
        <v>2418</v>
      </c>
      <c r="V264" s="27">
        <f t="shared" si="180"/>
        <v>509</v>
      </c>
      <c r="W264" s="27"/>
      <c r="X264" s="27"/>
      <c r="Y264" s="45">
        <v>2014</v>
      </c>
      <c r="Z264" s="48" t="s">
        <v>44</v>
      </c>
      <c r="AA264" s="35">
        <f t="shared" si="194"/>
        <v>0.47521367521367519</v>
      </c>
      <c r="AB264" s="35">
        <f t="shared" si="195"/>
        <v>0.71099744245524299</v>
      </c>
      <c r="AC264" s="35">
        <f t="shared" si="196"/>
        <v>0.66837606837606833</v>
      </c>
      <c r="AD264" s="27">
        <v>1755</v>
      </c>
      <c r="AE264" s="27">
        <f t="shared" si="186"/>
        <v>582</v>
      </c>
      <c r="AF264" s="27">
        <v>1173</v>
      </c>
      <c r="AG264" s="27">
        <v>834</v>
      </c>
      <c r="AH264" s="27">
        <f t="shared" si="182"/>
        <v>339</v>
      </c>
      <c r="AI264" s="27"/>
      <c r="AJ264" s="27"/>
      <c r="AK264" s="45">
        <v>2014</v>
      </c>
      <c r="AL264" s="48" t="s">
        <v>44</v>
      </c>
      <c r="AM264" s="35">
        <f t="shared" si="197"/>
        <v>0.9</v>
      </c>
      <c r="AN264" s="35">
        <f t="shared" si="198"/>
        <v>0.93506493506493504</v>
      </c>
      <c r="AO264" s="35">
        <f t="shared" si="199"/>
        <v>0.96250000000000002</v>
      </c>
      <c r="AP264" s="27">
        <v>320</v>
      </c>
      <c r="AQ264" s="27">
        <f t="shared" si="187"/>
        <v>12</v>
      </c>
      <c r="AR264" s="27">
        <v>308</v>
      </c>
      <c r="AS264" s="27">
        <v>288</v>
      </c>
      <c r="AT264" s="27">
        <f t="shared" si="184"/>
        <v>20</v>
      </c>
      <c r="AU264" s="27"/>
      <c r="AV264" s="27"/>
      <c r="AW264" s="45"/>
      <c r="AX264" s="48"/>
      <c r="AY264" s="35"/>
      <c r="AZ264" s="35"/>
      <c r="BA264" s="35"/>
    </row>
    <row r="265" spans="1:53" s="29" customFormat="1" ht="12.75">
      <c r="A265" s="46">
        <v>2014</v>
      </c>
      <c r="B265" s="47" t="s">
        <v>45</v>
      </c>
      <c r="C265" s="35">
        <f t="shared" si="188"/>
        <v>0.73572561459159402</v>
      </c>
      <c r="D265" s="35">
        <f t="shared" si="189"/>
        <v>0.79193341869398204</v>
      </c>
      <c r="E265" s="35">
        <f t="shared" si="190"/>
        <v>0.92902458366375895</v>
      </c>
      <c r="F265" s="92">
        <f t="shared" si="174"/>
        <v>5044</v>
      </c>
      <c r="G265" s="27">
        <f t="shared" si="175"/>
        <v>358</v>
      </c>
      <c r="H265" s="92">
        <f t="shared" si="176"/>
        <v>4686</v>
      </c>
      <c r="I265" s="92">
        <f t="shared" si="177"/>
        <v>3711</v>
      </c>
      <c r="J265" s="27">
        <f t="shared" si="178"/>
        <v>975</v>
      </c>
      <c r="K265" s="27"/>
      <c r="L265" s="27"/>
      <c r="M265" s="46">
        <v>2014</v>
      </c>
      <c r="N265" s="47" t="s">
        <v>45</v>
      </c>
      <c r="O265" s="35">
        <f t="shared" si="191"/>
        <v>0.7456317204301075</v>
      </c>
      <c r="P265" s="35">
        <f t="shared" si="192"/>
        <v>0.80021637216011543</v>
      </c>
      <c r="Q265" s="35">
        <f t="shared" si="193"/>
        <v>0.93178763440860213</v>
      </c>
      <c r="R265" s="27">
        <v>2976</v>
      </c>
      <c r="S265" s="27">
        <f t="shared" si="185"/>
        <v>203</v>
      </c>
      <c r="T265" s="27">
        <v>2773</v>
      </c>
      <c r="U265" s="27">
        <v>2219</v>
      </c>
      <c r="V265" s="27">
        <f t="shared" si="180"/>
        <v>554</v>
      </c>
      <c r="W265" s="27"/>
      <c r="X265" s="27"/>
      <c r="Y265" s="46">
        <v>2014</v>
      </c>
      <c r="Z265" s="47" t="s">
        <v>45</v>
      </c>
      <c r="AA265" s="35">
        <f t="shared" si="194"/>
        <v>0.69530355097365404</v>
      </c>
      <c r="AB265" s="35">
        <f t="shared" si="195"/>
        <v>0.75030902348578488</v>
      </c>
      <c r="AC265" s="35">
        <f t="shared" si="196"/>
        <v>0.92668957617411229</v>
      </c>
      <c r="AD265" s="27">
        <v>1746</v>
      </c>
      <c r="AE265" s="27">
        <f t="shared" si="186"/>
        <v>128</v>
      </c>
      <c r="AF265" s="27">
        <v>1618</v>
      </c>
      <c r="AG265" s="27">
        <v>1214</v>
      </c>
      <c r="AH265" s="27">
        <f t="shared" si="182"/>
        <v>404</v>
      </c>
      <c r="AI265" s="27"/>
      <c r="AJ265" s="27"/>
      <c r="AK265" s="46">
        <v>2014</v>
      </c>
      <c r="AL265" s="47" t="s">
        <v>45</v>
      </c>
      <c r="AM265" s="35">
        <f t="shared" si="197"/>
        <v>0.86335403726708071</v>
      </c>
      <c r="AN265" s="35">
        <f t="shared" si="198"/>
        <v>0.94237288135593222</v>
      </c>
      <c r="AO265" s="35">
        <f t="shared" si="199"/>
        <v>0.91614906832298137</v>
      </c>
      <c r="AP265" s="27">
        <v>322</v>
      </c>
      <c r="AQ265" s="27">
        <f t="shared" si="187"/>
        <v>27</v>
      </c>
      <c r="AR265" s="27">
        <v>295</v>
      </c>
      <c r="AS265" s="27">
        <v>278</v>
      </c>
      <c r="AT265" s="27">
        <f t="shared" si="184"/>
        <v>17</v>
      </c>
      <c r="AU265" s="27"/>
      <c r="AV265" s="27"/>
      <c r="AW265" s="46"/>
      <c r="AX265" s="47"/>
      <c r="AY265" s="35"/>
      <c r="AZ265" s="35"/>
      <c r="BA265" s="35"/>
    </row>
    <row r="266" spans="1:53" s="29" customFormat="1" ht="12.75">
      <c r="A266" s="45">
        <v>2014</v>
      </c>
      <c r="B266" s="48" t="s">
        <v>46</v>
      </c>
      <c r="C266" s="35">
        <f t="shared" si="188"/>
        <v>0.70808080808080809</v>
      </c>
      <c r="D266" s="35">
        <f t="shared" si="189"/>
        <v>0.73572628043660793</v>
      </c>
      <c r="E266" s="35">
        <f t="shared" si="190"/>
        <v>0.9624242424242424</v>
      </c>
      <c r="F266" s="92">
        <f t="shared" si="174"/>
        <v>4950</v>
      </c>
      <c r="G266" s="27">
        <f t="shared" si="175"/>
        <v>186</v>
      </c>
      <c r="H266" s="92">
        <f t="shared" si="176"/>
        <v>4764</v>
      </c>
      <c r="I266" s="92">
        <f t="shared" si="177"/>
        <v>3505</v>
      </c>
      <c r="J266" s="27">
        <f t="shared" si="178"/>
        <v>1259</v>
      </c>
      <c r="K266" s="27"/>
      <c r="L266" s="27"/>
      <c r="M266" s="45">
        <v>2014</v>
      </c>
      <c r="N266" s="48" t="s">
        <v>46</v>
      </c>
      <c r="O266" s="35">
        <f t="shared" si="191"/>
        <v>0.73677069199457257</v>
      </c>
      <c r="P266" s="35">
        <f t="shared" si="192"/>
        <v>0.76157082748948102</v>
      </c>
      <c r="Q266" s="35">
        <f t="shared" si="193"/>
        <v>0.9674355495251018</v>
      </c>
      <c r="R266" s="27">
        <v>2948</v>
      </c>
      <c r="S266" s="27">
        <f t="shared" si="185"/>
        <v>96</v>
      </c>
      <c r="T266" s="27">
        <v>2852</v>
      </c>
      <c r="U266" s="27">
        <v>2172</v>
      </c>
      <c r="V266" s="27">
        <f t="shared" si="180"/>
        <v>680</v>
      </c>
      <c r="W266" s="27"/>
      <c r="X266" s="27"/>
      <c r="Y266" s="45">
        <v>2014</v>
      </c>
      <c r="Z266" s="48" t="s">
        <v>46</v>
      </c>
      <c r="AA266" s="35">
        <f t="shared" si="194"/>
        <v>0.63282172373081469</v>
      </c>
      <c r="AB266" s="35">
        <f t="shared" si="195"/>
        <v>0.65686274509803921</v>
      </c>
      <c r="AC266" s="35">
        <f t="shared" si="196"/>
        <v>0.9634002361275088</v>
      </c>
      <c r="AD266" s="27">
        <v>1694</v>
      </c>
      <c r="AE266" s="27">
        <f t="shared" si="186"/>
        <v>62</v>
      </c>
      <c r="AF266" s="27">
        <v>1632</v>
      </c>
      <c r="AG266" s="27">
        <v>1072</v>
      </c>
      <c r="AH266" s="27">
        <f t="shared" si="182"/>
        <v>560</v>
      </c>
      <c r="AI266" s="27"/>
      <c r="AJ266" s="27"/>
      <c r="AK266" s="45">
        <v>2014</v>
      </c>
      <c r="AL266" s="48" t="s">
        <v>46</v>
      </c>
      <c r="AM266" s="35">
        <f t="shared" si="197"/>
        <v>0.84740259740259738</v>
      </c>
      <c r="AN266" s="35">
        <f t="shared" si="198"/>
        <v>0.93214285714285716</v>
      </c>
      <c r="AO266" s="35">
        <f t="shared" si="199"/>
        <v>0.90909090909090906</v>
      </c>
      <c r="AP266" s="27">
        <v>308</v>
      </c>
      <c r="AQ266" s="27">
        <f t="shared" si="187"/>
        <v>28</v>
      </c>
      <c r="AR266" s="27">
        <v>280</v>
      </c>
      <c r="AS266" s="27">
        <v>261</v>
      </c>
      <c r="AT266" s="27">
        <f t="shared" si="184"/>
        <v>19</v>
      </c>
      <c r="AU266" s="27"/>
      <c r="AV266" s="27"/>
      <c r="AW266" s="45"/>
      <c r="AX266" s="48"/>
      <c r="AY266" s="35"/>
      <c r="AZ266" s="35"/>
      <c r="BA266" s="35"/>
    </row>
    <row r="267" spans="1:53" s="29" customFormat="1" ht="12.75">
      <c r="A267" s="46">
        <v>2014</v>
      </c>
      <c r="B267" s="47" t="s">
        <v>47</v>
      </c>
      <c r="C267" s="35">
        <f t="shared" si="188"/>
        <v>0.74616895874263256</v>
      </c>
      <c r="D267" s="35">
        <f t="shared" si="189"/>
        <v>0.85772357723577231</v>
      </c>
      <c r="E267" s="35">
        <f t="shared" si="190"/>
        <v>0.8699410609037328</v>
      </c>
      <c r="F267" s="92">
        <f t="shared" si="174"/>
        <v>5090</v>
      </c>
      <c r="G267" s="27">
        <f t="shared" si="175"/>
        <v>662</v>
      </c>
      <c r="H267" s="92">
        <f t="shared" si="176"/>
        <v>4428</v>
      </c>
      <c r="I267" s="92">
        <f t="shared" si="177"/>
        <v>3798</v>
      </c>
      <c r="J267" s="27">
        <f t="shared" si="178"/>
        <v>630</v>
      </c>
      <c r="K267" s="27"/>
      <c r="L267" s="27"/>
      <c r="M267" s="46">
        <v>2014</v>
      </c>
      <c r="N267" s="47" t="s">
        <v>47</v>
      </c>
      <c r="O267" s="35">
        <f t="shared" si="191"/>
        <v>0.85718789407314</v>
      </c>
      <c r="P267" s="35">
        <f t="shared" si="192"/>
        <v>0.87908179760750083</v>
      </c>
      <c r="Q267" s="35">
        <f t="shared" si="193"/>
        <v>0.97509457755359397</v>
      </c>
      <c r="R267" s="27">
        <v>3172</v>
      </c>
      <c r="S267" s="27">
        <f t="shared" si="185"/>
        <v>79</v>
      </c>
      <c r="T267" s="27">
        <v>3093</v>
      </c>
      <c r="U267" s="27">
        <v>2719</v>
      </c>
      <c r="V267" s="27">
        <f t="shared" si="180"/>
        <v>374</v>
      </c>
      <c r="W267" s="27"/>
      <c r="X267" s="27"/>
      <c r="Y267" s="46">
        <v>2014</v>
      </c>
      <c r="Z267" s="47" t="s">
        <v>47</v>
      </c>
      <c r="AA267" s="35">
        <f t="shared" si="194"/>
        <v>0.52315394242803503</v>
      </c>
      <c r="AB267" s="35">
        <f t="shared" si="195"/>
        <v>0.7857142857142857</v>
      </c>
      <c r="AC267" s="35">
        <f t="shared" si="196"/>
        <v>0.66583229036295366</v>
      </c>
      <c r="AD267" s="27">
        <v>1598</v>
      </c>
      <c r="AE267" s="27">
        <f t="shared" si="186"/>
        <v>534</v>
      </c>
      <c r="AF267" s="27">
        <v>1064</v>
      </c>
      <c r="AG267" s="27">
        <v>836</v>
      </c>
      <c r="AH267" s="27">
        <f t="shared" si="182"/>
        <v>228</v>
      </c>
      <c r="AI267" s="27"/>
      <c r="AJ267" s="27"/>
      <c r="AK267" s="46">
        <v>2014</v>
      </c>
      <c r="AL267" s="47" t="s">
        <v>47</v>
      </c>
      <c r="AM267" s="35">
        <f t="shared" si="197"/>
        <v>0.75937500000000002</v>
      </c>
      <c r="AN267" s="35">
        <f t="shared" si="198"/>
        <v>0.89667896678966785</v>
      </c>
      <c r="AO267" s="35">
        <f t="shared" si="199"/>
        <v>0.84687500000000004</v>
      </c>
      <c r="AP267" s="27">
        <v>320</v>
      </c>
      <c r="AQ267" s="27">
        <f t="shared" si="187"/>
        <v>49</v>
      </c>
      <c r="AR267" s="27">
        <v>271</v>
      </c>
      <c r="AS267" s="27">
        <v>243</v>
      </c>
      <c r="AT267" s="27">
        <f t="shared" si="184"/>
        <v>28</v>
      </c>
      <c r="AU267" s="27"/>
      <c r="AV267" s="27"/>
      <c r="AW267" s="46"/>
      <c r="AX267" s="47"/>
      <c r="AY267" s="35"/>
      <c r="AZ267" s="35"/>
      <c r="BA267" s="35"/>
    </row>
    <row r="268" spans="1:53" s="29" customFormat="1" ht="12.75">
      <c r="A268" s="45">
        <v>2014</v>
      </c>
      <c r="B268" s="48" t="s">
        <v>48</v>
      </c>
      <c r="C268" s="35">
        <f t="shared" si="188"/>
        <v>0.70898277276456112</v>
      </c>
      <c r="D268" s="35">
        <f t="shared" si="189"/>
        <v>0.89559585492227978</v>
      </c>
      <c r="E268" s="35">
        <f t="shared" si="190"/>
        <v>0.79163248564397048</v>
      </c>
      <c r="F268" s="92">
        <f t="shared" si="174"/>
        <v>4876</v>
      </c>
      <c r="G268" s="27">
        <f t="shared" si="175"/>
        <v>1016</v>
      </c>
      <c r="H268" s="92">
        <f t="shared" si="176"/>
        <v>3860</v>
      </c>
      <c r="I268" s="92">
        <f t="shared" si="177"/>
        <v>3457</v>
      </c>
      <c r="J268" s="27">
        <f t="shared" si="178"/>
        <v>403</v>
      </c>
      <c r="K268" s="27"/>
      <c r="L268" s="27"/>
      <c r="M268" s="45">
        <v>2014</v>
      </c>
      <c r="N268" s="48" t="s">
        <v>48</v>
      </c>
      <c r="O268" s="35">
        <f t="shared" si="191"/>
        <v>0.86096433289299867</v>
      </c>
      <c r="P268" s="35">
        <f t="shared" si="192"/>
        <v>0.90804597701149425</v>
      </c>
      <c r="Q268" s="35">
        <f t="shared" si="193"/>
        <v>0.9481505944517834</v>
      </c>
      <c r="R268" s="27">
        <v>3028</v>
      </c>
      <c r="S268" s="27">
        <f t="shared" si="185"/>
        <v>157</v>
      </c>
      <c r="T268" s="27">
        <v>2871</v>
      </c>
      <c r="U268" s="27">
        <v>2607</v>
      </c>
      <c r="V268" s="27">
        <f t="shared" si="180"/>
        <v>264</v>
      </c>
      <c r="W268" s="27"/>
      <c r="X268" s="27"/>
      <c r="Y268" s="45">
        <v>2014</v>
      </c>
      <c r="Z268" s="48" t="s">
        <v>48</v>
      </c>
      <c r="AA268" s="35">
        <f t="shared" si="194"/>
        <v>0.38736979166666669</v>
      </c>
      <c r="AB268" s="35">
        <f t="shared" si="195"/>
        <v>0.82524271844660191</v>
      </c>
      <c r="AC268" s="35">
        <f t="shared" si="196"/>
        <v>0.46940104166666669</v>
      </c>
      <c r="AD268" s="27">
        <v>1536</v>
      </c>
      <c r="AE268" s="27">
        <f t="shared" si="186"/>
        <v>815</v>
      </c>
      <c r="AF268" s="27">
        <v>721</v>
      </c>
      <c r="AG268" s="27">
        <v>595</v>
      </c>
      <c r="AH268" s="27">
        <f t="shared" si="182"/>
        <v>126</v>
      </c>
      <c r="AI268" s="27"/>
      <c r="AJ268" s="27"/>
      <c r="AK268" s="45">
        <v>2014</v>
      </c>
      <c r="AL268" s="48" t="s">
        <v>48</v>
      </c>
      <c r="AM268" s="35">
        <f t="shared" si="197"/>
        <v>0.81730769230769229</v>
      </c>
      <c r="AN268" s="35">
        <f t="shared" si="198"/>
        <v>0.95149253731343286</v>
      </c>
      <c r="AO268" s="35">
        <f t="shared" si="199"/>
        <v>0.85897435897435892</v>
      </c>
      <c r="AP268" s="27">
        <v>312</v>
      </c>
      <c r="AQ268" s="27">
        <f t="shared" si="187"/>
        <v>44</v>
      </c>
      <c r="AR268" s="27">
        <v>268</v>
      </c>
      <c r="AS268" s="27">
        <v>255</v>
      </c>
      <c r="AT268" s="27">
        <f t="shared" si="184"/>
        <v>13</v>
      </c>
      <c r="AU268" s="27"/>
      <c r="AV268" s="27"/>
      <c r="AW268" s="45"/>
      <c r="AX268" s="48"/>
      <c r="AY268" s="35"/>
      <c r="AZ268" s="35"/>
      <c r="BA268" s="35"/>
    </row>
    <row r="269" spans="1:53" s="29" customFormat="1" ht="12.75">
      <c r="A269" s="46">
        <v>2014</v>
      </c>
      <c r="B269" s="47" t="s">
        <v>49</v>
      </c>
      <c r="C269" s="35">
        <f t="shared" si="188"/>
        <v>0.80047885075818037</v>
      </c>
      <c r="D269" s="35">
        <f t="shared" si="189"/>
        <v>0.85398041719880802</v>
      </c>
      <c r="E269" s="35">
        <f t="shared" si="190"/>
        <v>0.93735035913806863</v>
      </c>
      <c r="F269" s="92">
        <f t="shared" si="174"/>
        <v>5012</v>
      </c>
      <c r="G269" s="27">
        <f t="shared" si="175"/>
        <v>314</v>
      </c>
      <c r="H269" s="92">
        <f t="shared" si="176"/>
        <v>4698</v>
      </c>
      <c r="I269" s="92">
        <f t="shared" si="177"/>
        <v>4012</v>
      </c>
      <c r="J269" s="27">
        <f t="shared" si="178"/>
        <v>686</v>
      </c>
      <c r="K269" s="27"/>
      <c r="L269" s="27"/>
      <c r="M269" s="46">
        <v>2014</v>
      </c>
      <c r="N269" s="47" t="s">
        <v>49</v>
      </c>
      <c r="O269" s="35">
        <f t="shared" si="191"/>
        <v>0.8285070785070785</v>
      </c>
      <c r="P269" s="35">
        <f t="shared" si="192"/>
        <v>0.87614834977883638</v>
      </c>
      <c r="Q269" s="35">
        <f t="shared" si="193"/>
        <v>0.94562419562419564</v>
      </c>
      <c r="R269" s="27">
        <v>3108</v>
      </c>
      <c r="S269" s="27">
        <f t="shared" si="185"/>
        <v>169</v>
      </c>
      <c r="T269" s="27">
        <v>2939</v>
      </c>
      <c r="U269" s="27">
        <v>2575</v>
      </c>
      <c r="V269" s="27">
        <f t="shared" si="180"/>
        <v>364</v>
      </c>
      <c r="W269" s="27"/>
      <c r="X269" s="27"/>
      <c r="Y269" s="46">
        <v>2014</v>
      </c>
      <c r="Z269" s="47" t="s">
        <v>49</v>
      </c>
      <c r="AA269" s="35">
        <f t="shared" si="194"/>
        <v>0.74367088607594933</v>
      </c>
      <c r="AB269" s="35">
        <f t="shared" si="195"/>
        <v>0.80589849108367628</v>
      </c>
      <c r="AC269" s="35">
        <f t="shared" si="196"/>
        <v>0.92278481012658231</v>
      </c>
      <c r="AD269" s="27">
        <v>1580</v>
      </c>
      <c r="AE269" s="27">
        <f t="shared" si="186"/>
        <v>122</v>
      </c>
      <c r="AF269" s="27">
        <v>1458</v>
      </c>
      <c r="AG269" s="27">
        <v>1175</v>
      </c>
      <c r="AH269" s="27">
        <f t="shared" si="182"/>
        <v>283</v>
      </c>
      <c r="AI269" s="27"/>
      <c r="AJ269" s="27"/>
      <c r="AK269" s="46">
        <v>2014</v>
      </c>
      <c r="AL269" s="47" t="s">
        <v>49</v>
      </c>
      <c r="AM269" s="35">
        <f t="shared" si="197"/>
        <v>0.80864197530864201</v>
      </c>
      <c r="AN269" s="35">
        <f t="shared" si="198"/>
        <v>0.87043189368770768</v>
      </c>
      <c r="AO269" s="35">
        <f t="shared" si="199"/>
        <v>0.92901234567901236</v>
      </c>
      <c r="AP269" s="27">
        <v>324</v>
      </c>
      <c r="AQ269" s="27">
        <f t="shared" si="187"/>
        <v>23</v>
      </c>
      <c r="AR269" s="27">
        <v>301</v>
      </c>
      <c r="AS269" s="27">
        <v>262</v>
      </c>
      <c r="AT269" s="27">
        <f t="shared" si="184"/>
        <v>39</v>
      </c>
      <c r="AU269" s="27"/>
      <c r="AV269" s="27"/>
      <c r="AW269" s="46"/>
      <c r="AX269" s="47"/>
      <c r="AY269" s="35"/>
      <c r="AZ269" s="35"/>
      <c r="BA269" s="35"/>
    </row>
    <row r="270" spans="1:53" s="29" customFormat="1" ht="12.75">
      <c r="A270" s="45">
        <v>2015</v>
      </c>
      <c r="B270" s="48" t="s">
        <v>38</v>
      </c>
      <c r="C270" s="35">
        <f t="shared" si="188"/>
        <v>0.8320880849390484</v>
      </c>
      <c r="D270" s="35">
        <f t="shared" si="189"/>
        <v>0.89604065212788486</v>
      </c>
      <c r="E270" s="35">
        <f t="shared" si="190"/>
        <v>0.92862760519071963</v>
      </c>
      <c r="F270" s="92">
        <f t="shared" ref="F270:F281" si="200">+R270+AD270+AP270</f>
        <v>5086</v>
      </c>
      <c r="G270" s="27">
        <f t="shared" ref="G270:G281" si="201">F270-H270</f>
        <v>363</v>
      </c>
      <c r="H270" s="92">
        <f t="shared" ref="H270:H281" si="202">+T270+AF270+AR270</f>
        <v>4723</v>
      </c>
      <c r="I270" s="92">
        <f t="shared" ref="I270:I281" si="203">+U270+AG270+AS270</f>
        <v>4232</v>
      </c>
      <c r="J270" s="27">
        <f t="shared" ref="J270:J281" si="204">H270-I270</f>
        <v>491</v>
      </c>
      <c r="K270" s="27"/>
      <c r="L270" s="27"/>
      <c r="M270" s="45">
        <v>2015</v>
      </c>
      <c r="N270" s="48" t="s">
        <v>38</v>
      </c>
      <c r="O270" s="35">
        <f t="shared" si="191"/>
        <v>0.87973484848484851</v>
      </c>
      <c r="P270" s="35">
        <f t="shared" si="192"/>
        <v>0.92101784534038333</v>
      </c>
      <c r="Q270" s="35">
        <f t="shared" si="193"/>
        <v>0.95517676767676762</v>
      </c>
      <c r="R270" s="27">
        <v>3168</v>
      </c>
      <c r="S270" s="27">
        <f t="shared" ref="S270:S281" si="205">R270-T270</f>
        <v>142</v>
      </c>
      <c r="T270" s="27">
        <v>3026</v>
      </c>
      <c r="U270" s="27">
        <v>2787</v>
      </c>
      <c r="V270" s="27">
        <f t="shared" ref="V270:V281" si="206">T270-U270</f>
        <v>239</v>
      </c>
      <c r="W270" s="27"/>
      <c r="X270" s="27"/>
      <c r="Y270" s="45">
        <v>2015</v>
      </c>
      <c r="Z270" s="48" t="s">
        <v>38</v>
      </c>
      <c r="AA270" s="35">
        <f t="shared" si="194"/>
        <v>0.81163954943679595</v>
      </c>
      <c r="AB270" s="35">
        <f t="shared" si="195"/>
        <v>0.84550195567144715</v>
      </c>
      <c r="AC270" s="35">
        <f t="shared" si="196"/>
        <v>0.95994993742177726</v>
      </c>
      <c r="AD270" s="27">
        <v>1598</v>
      </c>
      <c r="AE270" s="27">
        <f t="shared" ref="AE270:AE281" si="207">AD270-AF270</f>
        <v>64</v>
      </c>
      <c r="AF270" s="27">
        <v>1534</v>
      </c>
      <c r="AG270" s="27">
        <v>1297</v>
      </c>
      <c r="AH270" s="27">
        <f t="shared" ref="AH270:AH281" si="208">AF270-AG270</f>
        <v>237</v>
      </c>
      <c r="AI270" s="27"/>
      <c r="AJ270" s="27"/>
      <c r="AK270" s="45">
        <v>2015</v>
      </c>
      <c r="AL270" s="48" t="s">
        <v>38</v>
      </c>
      <c r="AM270" s="35">
        <f t="shared" si="197"/>
        <v>0.46250000000000002</v>
      </c>
      <c r="AN270" s="35">
        <f t="shared" si="198"/>
        <v>0.90797546012269936</v>
      </c>
      <c r="AO270" s="35">
        <f t="shared" si="199"/>
        <v>0.50937500000000002</v>
      </c>
      <c r="AP270" s="27">
        <v>320</v>
      </c>
      <c r="AQ270" s="27">
        <f t="shared" ref="AQ270:AQ281" si="209">AP270-AR270</f>
        <v>157</v>
      </c>
      <c r="AR270" s="27">
        <v>163</v>
      </c>
      <c r="AS270" s="27">
        <v>148</v>
      </c>
      <c r="AT270" s="27">
        <f t="shared" ref="AT270:AT281" si="210">AR270-AS270</f>
        <v>15</v>
      </c>
      <c r="AU270" s="27"/>
      <c r="AV270" s="27"/>
      <c r="AW270" s="45"/>
      <c r="AX270" s="48"/>
      <c r="AY270" s="35"/>
      <c r="AZ270" s="35"/>
      <c r="BA270" s="35"/>
    </row>
    <row r="271" spans="1:53" s="29" customFormat="1" ht="12.75">
      <c r="A271" s="46">
        <v>2015</v>
      </c>
      <c r="B271" s="47" t="s">
        <v>39</v>
      </c>
      <c r="C271" s="35">
        <f t="shared" si="188"/>
        <v>0.84728955486998681</v>
      </c>
      <c r="D271" s="35">
        <f t="shared" si="189"/>
        <v>0.87525608923287046</v>
      </c>
      <c r="E271" s="35">
        <f t="shared" si="190"/>
        <v>0.96804759806081975</v>
      </c>
      <c r="F271" s="92">
        <f t="shared" si="200"/>
        <v>4538</v>
      </c>
      <c r="G271" s="27">
        <f t="shared" si="201"/>
        <v>145</v>
      </c>
      <c r="H271" s="92">
        <f t="shared" si="202"/>
        <v>4393</v>
      </c>
      <c r="I271" s="92">
        <f t="shared" si="203"/>
        <v>3845</v>
      </c>
      <c r="J271" s="27">
        <f t="shared" si="204"/>
        <v>548</v>
      </c>
      <c r="K271" s="27"/>
      <c r="L271" s="27"/>
      <c r="M271" s="46">
        <v>2015</v>
      </c>
      <c r="N271" s="47" t="s">
        <v>39</v>
      </c>
      <c r="O271" s="35">
        <f t="shared" si="191"/>
        <v>0.875</v>
      </c>
      <c r="P271" s="35">
        <f t="shared" si="192"/>
        <v>0.90289483327226094</v>
      </c>
      <c r="Q271" s="35">
        <f t="shared" si="193"/>
        <v>0.96910511363636365</v>
      </c>
      <c r="R271" s="27">
        <v>2816</v>
      </c>
      <c r="S271" s="27">
        <f t="shared" si="205"/>
        <v>87</v>
      </c>
      <c r="T271" s="27">
        <v>2729</v>
      </c>
      <c r="U271" s="27">
        <v>2464</v>
      </c>
      <c r="V271" s="27">
        <f t="shared" si="206"/>
        <v>265</v>
      </c>
      <c r="W271" s="27"/>
      <c r="X271" s="27"/>
      <c r="Y271" s="46">
        <v>2015</v>
      </c>
      <c r="Z271" s="47" t="s">
        <v>39</v>
      </c>
      <c r="AA271" s="35">
        <f t="shared" si="194"/>
        <v>0.80349650349650348</v>
      </c>
      <c r="AB271" s="35">
        <f t="shared" si="195"/>
        <v>0.82661870503597124</v>
      </c>
      <c r="AC271" s="35">
        <f t="shared" si="196"/>
        <v>0.97202797202797198</v>
      </c>
      <c r="AD271" s="27">
        <v>1430</v>
      </c>
      <c r="AE271" s="27">
        <f t="shared" si="207"/>
        <v>40</v>
      </c>
      <c r="AF271" s="27">
        <v>1390</v>
      </c>
      <c r="AG271" s="27">
        <v>1149</v>
      </c>
      <c r="AH271" s="27">
        <f t="shared" si="208"/>
        <v>241</v>
      </c>
      <c r="AI271" s="27"/>
      <c r="AJ271" s="27"/>
      <c r="AK271" s="46">
        <v>2015</v>
      </c>
      <c r="AL271" s="47" t="s">
        <v>39</v>
      </c>
      <c r="AM271" s="35">
        <f t="shared" si="197"/>
        <v>0.79452054794520544</v>
      </c>
      <c r="AN271" s="35">
        <f t="shared" si="198"/>
        <v>0.84671532846715325</v>
      </c>
      <c r="AO271" s="35">
        <f t="shared" si="199"/>
        <v>0.93835616438356162</v>
      </c>
      <c r="AP271" s="27">
        <v>292</v>
      </c>
      <c r="AQ271" s="27">
        <f t="shared" si="209"/>
        <v>18</v>
      </c>
      <c r="AR271" s="27">
        <v>274</v>
      </c>
      <c r="AS271" s="27">
        <v>232</v>
      </c>
      <c r="AT271" s="27">
        <f t="shared" si="210"/>
        <v>42</v>
      </c>
      <c r="AU271" s="27"/>
      <c r="AV271" s="27"/>
      <c r="AW271" s="46"/>
      <c r="AX271" s="47"/>
      <c r="AY271" s="35"/>
      <c r="AZ271" s="35"/>
      <c r="BA271" s="35"/>
    </row>
    <row r="272" spans="1:53" s="29" customFormat="1" ht="12.75">
      <c r="A272" s="45">
        <v>2015</v>
      </c>
      <c r="B272" s="48" t="s">
        <v>40</v>
      </c>
      <c r="C272" s="35">
        <f t="shared" si="188"/>
        <v>0.77294493216280924</v>
      </c>
      <c r="D272" s="35">
        <f t="shared" si="189"/>
        <v>0.84881682734443475</v>
      </c>
      <c r="E272" s="35">
        <f t="shared" si="190"/>
        <v>0.91061452513966479</v>
      </c>
      <c r="F272" s="92">
        <f t="shared" si="200"/>
        <v>5012</v>
      </c>
      <c r="G272" s="27">
        <f t="shared" si="201"/>
        <v>448</v>
      </c>
      <c r="H272" s="92">
        <f t="shared" si="202"/>
        <v>4564</v>
      </c>
      <c r="I272" s="92">
        <f t="shared" si="203"/>
        <v>3874</v>
      </c>
      <c r="J272" s="27">
        <f t="shared" si="204"/>
        <v>690</v>
      </c>
      <c r="K272" s="27"/>
      <c r="L272" s="27"/>
      <c r="M272" s="45">
        <v>2015</v>
      </c>
      <c r="N272" s="48" t="s">
        <v>40</v>
      </c>
      <c r="O272" s="35">
        <f t="shared" si="191"/>
        <v>0.77992277992277992</v>
      </c>
      <c r="P272" s="35">
        <f t="shared" si="192"/>
        <v>0.87037701974865345</v>
      </c>
      <c r="Q272" s="35">
        <f t="shared" si="193"/>
        <v>0.89607464607464604</v>
      </c>
      <c r="R272" s="27">
        <v>3108</v>
      </c>
      <c r="S272" s="27">
        <f t="shared" si="205"/>
        <v>323</v>
      </c>
      <c r="T272" s="27">
        <v>2785</v>
      </c>
      <c r="U272" s="27">
        <v>2424</v>
      </c>
      <c r="V272" s="27">
        <f t="shared" si="206"/>
        <v>361</v>
      </c>
      <c r="W272" s="27"/>
      <c r="X272" s="27"/>
      <c r="Y272" s="45">
        <v>2015</v>
      </c>
      <c r="Z272" s="48" t="s">
        <v>40</v>
      </c>
      <c r="AA272" s="35">
        <f t="shared" si="194"/>
        <v>0.74493670886075947</v>
      </c>
      <c r="AB272" s="35">
        <f t="shared" si="195"/>
        <v>0.80013596193065939</v>
      </c>
      <c r="AC272" s="35">
        <f t="shared" si="196"/>
        <v>0.93101265822784807</v>
      </c>
      <c r="AD272" s="27">
        <v>1580</v>
      </c>
      <c r="AE272" s="27">
        <f t="shared" si="207"/>
        <v>109</v>
      </c>
      <c r="AF272" s="27">
        <v>1471</v>
      </c>
      <c r="AG272" s="27">
        <v>1177</v>
      </c>
      <c r="AH272" s="27">
        <f t="shared" si="208"/>
        <v>294</v>
      </c>
      <c r="AI272" s="27"/>
      <c r="AJ272" s="27"/>
      <c r="AK272" s="45">
        <v>2015</v>
      </c>
      <c r="AL272" s="48" t="s">
        <v>40</v>
      </c>
      <c r="AM272" s="35">
        <f t="shared" si="197"/>
        <v>0.84259259259259256</v>
      </c>
      <c r="AN272" s="35">
        <f t="shared" si="198"/>
        <v>0.88636363636363635</v>
      </c>
      <c r="AO272" s="35">
        <f t="shared" si="199"/>
        <v>0.95061728395061729</v>
      </c>
      <c r="AP272" s="27">
        <v>324</v>
      </c>
      <c r="AQ272" s="27">
        <f t="shared" si="209"/>
        <v>16</v>
      </c>
      <c r="AR272" s="27">
        <v>308</v>
      </c>
      <c r="AS272" s="27">
        <v>273</v>
      </c>
      <c r="AT272" s="27">
        <f t="shared" si="210"/>
        <v>35</v>
      </c>
      <c r="AU272" s="27"/>
      <c r="AV272" s="27"/>
      <c r="AW272" s="45"/>
      <c r="AX272" s="48"/>
      <c r="AY272" s="35"/>
      <c r="AZ272" s="35"/>
      <c r="BA272" s="35"/>
    </row>
    <row r="273" spans="1:53" s="29" customFormat="1" ht="12.75">
      <c r="A273" s="46">
        <v>2015</v>
      </c>
      <c r="B273" s="47" t="s">
        <v>41</v>
      </c>
      <c r="C273" s="35">
        <f t="shared" si="188"/>
        <v>0.80881147540983611</v>
      </c>
      <c r="D273" s="35">
        <f t="shared" si="189"/>
        <v>0.84032361081541407</v>
      </c>
      <c r="E273" s="35">
        <f t="shared" si="190"/>
        <v>0.96250000000000002</v>
      </c>
      <c r="F273" s="92">
        <f t="shared" si="200"/>
        <v>4880</v>
      </c>
      <c r="G273" s="27">
        <f t="shared" si="201"/>
        <v>183</v>
      </c>
      <c r="H273" s="92">
        <f t="shared" si="202"/>
        <v>4697</v>
      </c>
      <c r="I273" s="92">
        <f t="shared" si="203"/>
        <v>3947</v>
      </c>
      <c r="J273" s="27">
        <f t="shared" si="204"/>
        <v>750</v>
      </c>
      <c r="K273" s="27"/>
      <c r="L273" s="27"/>
      <c r="M273" s="46">
        <v>2015</v>
      </c>
      <c r="N273" s="47" t="s">
        <v>41</v>
      </c>
      <c r="O273" s="35">
        <f t="shared" si="191"/>
        <v>0.82156992084432723</v>
      </c>
      <c r="P273" s="35">
        <f t="shared" si="192"/>
        <v>0.86163957108267031</v>
      </c>
      <c r="Q273" s="35">
        <f t="shared" si="193"/>
        <v>0.95349604221635886</v>
      </c>
      <c r="R273" s="27">
        <v>3032</v>
      </c>
      <c r="S273" s="27">
        <f t="shared" si="205"/>
        <v>141</v>
      </c>
      <c r="T273" s="27">
        <v>2891</v>
      </c>
      <c r="U273" s="27">
        <v>2491</v>
      </c>
      <c r="V273" s="27">
        <f t="shared" si="206"/>
        <v>400</v>
      </c>
      <c r="W273" s="27"/>
      <c r="X273" s="27"/>
      <c r="Y273" s="46">
        <v>2015</v>
      </c>
      <c r="Z273" s="47" t="s">
        <v>41</v>
      </c>
      <c r="AA273" s="35">
        <f t="shared" si="194"/>
        <v>0.7578125</v>
      </c>
      <c r="AB273" s="35">
        <f t="shared" si="195"/>
        <v>0.77807486631016043</v>
      </c>
      <c r="AC273" s="35">
        <f t="shared" si="196"/>
        <v>0.97395833333333337</v>
      </c>
      <c r="AD273" s="27">
        <v>1536</v>
      </c>
      <c r="AE273" s="27">
        <f t="shared" si="207"/>
        <v>40</v>
      </c>
      <c r="AF273" s="27">
        <v>1496</v>
      </c>
      <c r="AG273" s="27">
        <v>1164</v>
      </c>
      <c r="AH273" s="27">
        <f t="shared" si="208"/>
        <v>332</v>
      </c>
      <c r="AI273" s="27"/>
      <c r="AJ273" s="27"/>
      <c r="AK273" s="46">
        <v>2015</v>
      </c>
      <c r="AL273" s="47" t="s">
        <v>41</v>
      </c>
      <c r="AM273" s="35">
        <f t="shared" si="197"/>
        <v>0.9358974358974359</v>
      </c>
      <c r="AN273" s="35">
        <f t="shared" si="198"/>
        <v>0.9419354838709677</v>
      </c>
      <c r="AO273" s="35">
        <f t="shared" si="199"/>
        <v>0.99358974358974361</v>
      </c>
      <c r="AP273" s="27">
        <v>312</v>
      </c>
      <c r="AQ273" s="27">
        <f t="shared" si="209"/>
        <v>2</v>
      </c>
      <c r="AR273" s="27">
        <v>310</v>
      </c>
      <c r="AS273" s="27">
        <v>292</v>
      </c>
      <c r="AT273" s="27">
        <f t="shared" si="210"/>
        <v>18</v>
      </c>
      <c r="AU273" s="27"/>
      <c r="AV273" s="27"/>
      <c r="AW273" s="46"/>
      <c r="AX273" s="47"/>
      <c r="AY273" s="35"/>
      <c r="AZ273" s="35"/>
      <c r="BA273" s="35"/>
    </row>
    <row r="274" spans="1:53" s="29" customFormat="1" ht="12.75">
      <c r="A274" s="45">
        <v>2015</v>
      </c>
      <c r="B274" s="48" t="s">
        <v>42</v>
      </c>
      <c r="C274" s="35">
        <f t="shared" si="188"/>
        <v>0.76857028753993606</v>
      </c>
      <c r="D274" s="35">
        <f t="shared" si="189"/>
        <v>0.81253958201393284</v>
      </c>
      <c r="E274" s="35">
        <f t="shared" si="190"/>
        <v>0.94588658146964855</v>
      </c>
      <c r="F274" s="92">
        <f t="shared" si="200"/>
        <v>5008</v>
      </c>
      <c r="G274" s="27">
        <f t="shared" si="201"/>
        <v>271</v>
      </c>
      <c r="H274" s="92">
        <f t="shared" si="202"/>
        <v>4737</v>
      </c>
      <c r="I274" s="92">
        <f t="shared" si="203"/>
        <v>3849</v>
      </c>
      <c r="J274" s="27">
        <f t="shared" si="204"/>
        <v>888</v>
      </c>
      <c r="K274" s="27"/>
      <c r="L274" s="27"/>
      <c r="M274" s="45">
        <v>2015</v>
      </c>
      <c r="N274" s="48" t="s">
        <v>42</v>
      </c>
      <c r="O274" s="35">
        <f t="shared" si="191"/>
        <v>0.77319587628865982</v>
      </c>
      <c r="P274" s="35">
        <f t="shared" si="192"/>
        <v>0.82701585113714682</v>
      </c>
      <c r="Q274" s="35">
        <f t="shared" si="193"/>
        <v>0.93492268041237114</v>
      </c>
      <c r="R274" s="27">
        <v>3104</v>
      </c>
      <c r="S274" s="27">
        <f t="shared" si="205"/>
        <v>202</v>
      </c>
      <c r="T274" s="27">
        <v>2902</v>
      </c>
      <c r="U274" s="27">
        <v>2400</v>
      </c>
      <c r="V274" s="27">
        <f t="shared" si="206"/>
        <v>502</v>
      </c>
      <c r="W274" s="27"/>
      <c r="X274" s="27"/>
      <c r="Y274" s="45">
        <v>2015</v>
      </c>
      <c r="Z274" s="48" t="s">
        <v>42</v>
      </c>
      <c r="AA274" s="35">
        <f t="shared" si="194"/>
        <v>0.72974683544303798</v>
      </c>
      <c r="AB274" s="35">
        <f t="shared" si="195"/>
        <v>0.76005273566249176</v>
      </c>
      <c r="AC274" s="35">
        <f t="shared" si="196"/>
        <v>0.96012658227848102</v>
      </c>
      <c r="AD274" s="27">
        <v>1580</v>
      </c>
      <c r="AE274" s="27">
        <f t="shared" si="207"/>
        <v>63</v>
      </c>
      <c r="AF274" s="27">
        <v>1517</v>
      </c>
      <c r="AG274" s="27">
        <v>1153</v>
      </c>
      <c r="AH274" s="27">
        <f t="shared" si="208"/>
        <v>364</v>
      </c>
      <c r="AI274" s="27"/>
      <c r="AJ274" s="27"/>
      <c r="AK274" s="45">
        <v>2015</v>
      </c>
      <c r="AL274" s="48" t="s">
        <v>42</v>
      </c>
      <c r="AM274" s="35">
        <f t="shared" si="197"/>
        <v>0.9135802469135802</v>
      </c>
      <c r="AN274" s="35">
        <f t="shared" si="198"/>
        <v>0.9308176100628931</v>
      </c>
      <c r="AO274" s="35">
        <f t="shared" si="199"/>
        <v>0.98148148148148151</v>
      </c>
      <c r="AP274" s="27">
        <v>324</v>
      </c>
      <c r="AQ274" s="27">
        <f t="shared" si="209"/>
        <v>6</v>
      </c>
      <c r="AR274" s="27">
        <v>318</v>
      </c>
      <c r="AS274" s="27">
        <v>296</v>
      </c>
      <c r="AT274" s="27">
        <f t="shared" si="210"/>
        <v>22</v>
      </c>
      <c r="AU274" s="27"/>
      <c r="AV274" s="27"/>
      <c r="AW274" s="45"/>
      <c r="AX274" s="48"/>
      <c r="AY274" s="35"/>
      <c r="AZ274" s="35"/>
      <c r="BA274" s="35"/>
    </row>
    <row r="275" spans="1:53" s="29" customFormat="1" ht="12.75">
      <c r="A275" s="46">
        <v>2015</v>
      </c>
      <c r="B275" s="47" t="s">
        <v>43</v>
      </c>
      <c r="C275" s="35">
        <f t="shared" si="188"/>
        <v>0.75340239691245181</v>
      </c>
      <c r="D275" s="35">
        <f t="shared" si="189"/>
        <v>0.82385606397156819</v>
      </c>
      <c r="E275" s="35">
        <f t="shared" si="190"/>
        <v>0.91448303879748116</v>
      </c>
      <c r="F275" s="92">
        <f t="shared" si="200"/>
        <v>4923</v>
      </c>
      <c r="G275" s="27">
        <f t="shared" si="201"/>
        <v>421</v>
      </c>
      <c r="H275" s="92">
        <f t="shared" si="202"/>
        <v>4502</v>
      </c>
      <c r="I275" s="92">
        <f t="shared" si="203"/>
        <v>3709</v>
      </c>
      <c r="J275" s="27">
        <f t="shared" si="204"/>
        <v>793</v>
      </c>
      <c r="K275" s="27"/>
      <c r="L275" s="27"/>
      <c r="M275" s="46">
        <v>2015</v>
      </c>
      <c r="N275" s="47" t="s">
        <v>43</v>
      </c>
      <c r="O275" s="35">
        <f t="shared" si="191"/>
        <v>0.75195567144719688</v>
      </c>
      <c r="P275" s="35">
        <f t="shared" si="192"/>
        <v>0.8337549692808095</v>
      </c>
      <c r="Q275" s="35">
        <f t="shared" si="193"/>
        <v>0.90189048239895697</v>
      </c>
      <c r="R275" s="27">
        <v>3068</v>
      </c>
      <c r="S275" s="27">
        <f t="shared" si="205"/>
        <v>301</v>
      </c>
      <c r="T275" s="27">
        <v>2767</v>
      </c>
      <c r="U275" s="27">
        <v>2307</v>
      </c>
      <c r="V275" s="27">
        <f t="shared" si="206"/>
        <v>460</v>
      </c>
      <c r="W275" s="27"/>
      <c r="X275" s="27"/>
      <c r="Y275" s="46">
        <v>2015</v>
      </c>
      <c r="Z275" s="47" t="s">
        <v>43</v>
      </c>
      <c r="AA275" s="35">
        <f t="shared" si="194"/>
        <v>0.73139158576051777</v>
      </c>
      <c r="AB275" s="35">
        <f t="shared" si="195"/>
        <v>0.7825484764542936</v>
      </c>
      <c r="AC275" s="35">
        <f t="shared" si="196"/>
        <v>0.93462783171521036</v>
      </c>
      <c r="AD275" s="27">
        <v>1545</v>
      </c>
      <c r="AE275" s="27">
        <f t="shared" si="207"/>
        <v>101</v>
      </c>
      <c r="AF275" s="27">
        <v>1444</v>
      </c>
      <c r="AG275" s="27">
        <v>1130</v>
      </c>
      <c r="AH275" s="27">
        <f t="shared" si="208"/>
        <v>314</v>
      </c>
      <c r="AI275" s="27"/>
      <c r="AJ275" s="27"/>
      <c r="AK275" s="46">
        <v>2015</v>
      </c>
      <c r="AL275" s="47" t="s">
        <v>43</v>
      </c>
      <c r="AM275" s="35">
        <f t="shared" si="197"/>
        <v>0.8774193548387097</v>
      </c>
      <c r="AN275" s="35">
        <f t="shared" si="198"/>
        <v>0.93470790378006874</v>
      </c>
      <c r="AO275" s="35">
        <f t="shared" si="199"/>
        <v>0.93870967741935485</v>
      </c>
      <c r="AP275" s="27">
        <v>310</v>
      </c>
      <c r="AQ275" s="27">
        <f t="shared" si="209"/>
        <v>19</v>
      </c>
      <c r="AR275" s="27">
        <v>291</v>
      </c>
      <c r="AS275" s="27">
        <v>272</v>
      </c>
      <c r="AT275" s="27">
        <f t="shared" si="210"/>
        <v>19</v>
      </c>
      <c r="AU275" s="27"/>
      <c r="AV275" s="27"/>
      <c r="AW275" s="46"/>
      <c r="AX275" s="47"/>
      <c r="AY275" s="35"/>
      <c r="AZ275" s="35"/>
      <c r="BA275" s="35"/>
    </row>
    <row r="276" spans="1:53" s="29" customFormat="1" ht="12.75">
      <c r="A276" s="45">
        <v>2015</v>
      </c>
      <c r="B276" s="48" t="s">
        <v>44</v>
      </c>
      <c r="C276" s="35">
        <f t="shared" si="188"/>
        <v>0.80864440078585464</v>
      </c>
      <c r="D276" s="35">
        <f t="shared" si="189"/>
        <v>0.85625130018722695</v>
      </c>
      <c r="E276" s="35">
        <f t="shared" si="190"/>
        <v>0.94440078585461684</v>
      </c>
      <c r="F276" s="92">
        <f t="shared" si="200"/>
        <v>5090</v>
      </c>
      <c r="G276" s="27">
        <f t="shared" si="201"/>
        <v>283</v>
      </c>
      <c r="H276" s="92">
        <f t="shared" si="202"/>
        <v>4807</v>
      </c>
      <c r="I276" s="92">
        <f t="shared" si="203"/>
        <v>4116</v>
      </c>
      <c r="J276" s="27">
        <f t="shared" si="204"/>
        <v>691</v>
      </c>
      <c r="K276" s="27"/>
      <c r="L276" s="27"/>
      <c r="M276" s="45">
        <v>2015</v>
      </c>
      <c r="N276" s="48" t="s">
        <v>44</v>
      </c>
      <c r="O276" s="35">
        <f t="shared" si="191"/>
        <v>0.81525851197982346</v>
      </c>
      <c r="P276" s="35">
        <f t="shared" si="192"/>
        <v>0.86691250419041233</v>
      </c>
      <c r="Q276" s="35">
        <f t="shared" si="193"/>
        <v>0.94041614123581341</v>
      </c>
      <c r="R276" s="27">
        <v>3172</v>
      </c>
      <c r="S276" s="27">
        <f t="shared" si="205"/>
        <v>189</v>
      </c>
      <c r="T276" s="27">
        <v>2983</v>
      </c>
      <c r="U276" s="27">
        <v>2586</v>
      </c>
      <c r="V276" s="27">
        <f t="shared" si="206"/>
        <v>397</v>
      </c>
      <c r="W276" s="27"/>
      <c r="X276" s="27"/>
      <c r="Y276" s="45">
        <v>2015</v>
      </c>
      <c r="Z276" s="48" t="s">
        <v>44</v>
      </c>
      <c r="AA276" s="35">
        <f t="shared" si="194"/>
        <v>0.79286608260325409</v>
      </c>
      <c r="AB276" s="35">
        <f t="shared" si="195"/>
        <v>0.82756368386675372</v>
      </c>
      <c r="AC276" s="35">
        <f t="shared" si="196"/>
        <v>0.95807259073842299</v>
      </c>
      <c r="AD276" s="27">
        <v>1598</v>
      </c>
      <c r="AE276" s="27">
        <f t="shared" si="207"/>
        <v>67</v>
      </c>
      <c r="AF276" s="27">
        <v>1531</v>
      </c>
      <c r="AG276" s="27">
        <v>1267</v>
      </c>
      <c r="AH276" s="27">
        <f t="shared" si="208"/>
        <v>264</v>
      </c>
      <c r="AI276" s="27"/>
      <c r="AJ276" s="27"/>
      <c r="AK276" s="45">
        <v>2015</v>
      </c>
      <c r="AL276" s="48" t="s">
        <v>44</v>
      </c>
      <c r="AM276" s="35">
        <f t="shared" si="197"/>
        <v>0.82187500000000002</v>
      </c>
      <c r="AN276" s="35">
        <f t="shared" si="198"/>
        <v>0.89761092150170652</v>
      </c>
      <c r="AO276" s="35">
        <f t="shared" si="199"/>
        <v>0.91562500000000002</v>
      </c>
      <c r="AP276" s="27">
        <v>320</v>
      </c>
      <c r="AQ276" s="27">
        <f t="shared" si="209"/>
        <v>27</v>
      </c>
      <c r="AR276" s="27">
        <v>293</v>
      </c>
      <c r="AS276" s="27">
        <v>263</v>
      </c>
      <c r="AT276" s="27">
        <f t="shared" si="210"/>
        <v>30</v>
      </c>
      <c r="AU276" s="27"/>
      <c r="AV276" s="27"/>
      <c r="AW276" s="45"/>
      <c r="AX276" s="48"/>
      <c r="AY276" s="35"/>
      <c r="AZ276" s="35"/>
      <c r="BA276" s="35"/>
    </row>
    <row r="277" spans="1:53" s="29" customFormat="1" ht="12.75">
      <c r="A277" s="46">
        <v>2015</v>
      </c>
      <c r="B277" s="47" t="s">
        <v>45</v>
      </c>
      <c r="C277" s="35">
        <f t="shared" si="188"/>
        <v>0.80800475530017835</v>
      </c>
      <c r="D277" s="35">
        <f t="shared" si="189"/>
        <v>0.86160997253327698</v>
      </c>
      <c r="E277" s="35">
        <f t="shared" si="190"/>
        <v>0.93778482266693086</v>
      </c>
      <c r="F277" s="92">
        <f t="shared" si="200"/>
        <v>5047</v>
      </c>
      <c r="G277" s="27">
        <f t="shared" si="201"/>
        <v>314</v>
      </c>
      <c r="H277" s="92">
        <f t="shared" si="202"/>
        <v>4733</v>
      </c>
      <c r="I277" s="92">
        <f t="shared" si="203"/>
        <v>4078</v>
      </c>
      <c r="J277" s="27">
        <f t="shared" si="204"/>
        <v>655</v>
      </c>
      <c r="K277" s="27"/>
      <c r="L277" s="27"/>
      <c r="M277" s="46">
        <v>2015</v>
      </c>
      <c r="N277" s="47" t="s">
        <v>45</v>
      </c>
      <c r="O277" s="35">
        <f t="shared" si="191"/>
        <v>0.80612244897959184</v>
      </c>
      <c r="P277" s="35">
        <f t="shared" si="192"/>
        <v>0.8610354223433242</v>
      </c>
      <c r="Q277" s="35">
        <f t="shared" si="193"/>
        <v>0.93622448979591832</v>
      </c>
      <c r="R277" s="27">
        <v>3136</v>
      </c>
      <c r="S277" s="27">
        <f t="shared" si="205"/>
        <v>200</v>
      </c>
      <c r="T277" s="27">
        <v>2936</v>
      </c>
      <c r="U277" s="27">
        <v>2528</v>
      </c>
      <c r="V277" s="27">
        <f t="shared" si="206"/>
        <v>408</v>
      </c>
      <c r="W277" s="27"/>
      <c r="X277" s="27"/>
      <c r="Y277" s="46">
        <v>2015</v>
      </c>
      <c r="Z277" s="47" t="s">
        <v>45</v>
      </c>
      <c r="AA277" s="35">
        <f t="shared" si="194"/>
        <v>0.80176211453744495</v>
      </c>
      <c r="AB277" s="35">
        <f t="shared" si="195"/>
        <v>0.84651162790697676</v>
      </c>
      <c r="AC277" s="35">
        <f t="shared" si="196"/>
        <v>0.94713656387665202</v>
      </c>
      <c r="AD277" s="27">
        <v>1589</v>
      </c>
      <c r="AE277" s="27">
        <f t="shared" si="207"/>
        <v>84</v>
      </c>
      <c r="AF277" s="27">
        <v>1505</v>
      </c>
      <c r="AG277" s="27">
        <v>1274</v>
      </c>
      <c r="AH277" s="27">
        <f t="shared" si="208"/>
        <v>231</v>
      </c>
      <c r="AI277" s="27"/>
      <c r="AJ277" s="27"/>
      <c r="AK277" s="46">
        <v>2015</v>
      </c>
      <c r="AL277" s="47" t="s">
        <v>45</v>
      </c>
      <c r="AM277" s="35">
        <f t="shared" si="197"/>
        <v>0.8571428571428571</v>
      </c>
      <c r="AN277" s="35">
        <f t="shared" si="198"/>
        <v>0.9452054794520548</v>
      </c>
      <c r="AO277" s="35">
        <f t="shared" si="199"/>
        <v>0.90683229813664601</v>
      </c>
      <c r="AP277" s="27">
        <v>322</v>
      </c>
      <c r="AQ277" s="27">
        <f t="shared" si="209"/>
        <v>30</v>
      </c>
      <c r="AR277" s="27">
        <v>292</v>
      </c>
      <c r="AS277" s="27">
        <v>276</v>
      </c>
      <c r="AT277" s="27">
        <f t="shared" si="210"/>
        <v>16</v>
      </c>
      <c r="AU277" s="27"/>
      <c r="AV277" s="27"/>
      <c r="AW277" s="46"/>
      <c r="AX277" s="47"/>
      <c r="AY277" s="35"/>
      <c r="AZ277" s="35"/>
      <c r="BA277" s="35"/>
    </row>
    <row r="278" spans="1:53" s="29" customFormat="1" ht="12.75">
      <c r="A278" s="45">
        <v>2015</v>
      </c>
      <c r="B278" s="48" t="s">
        <v>46</v>
      </c>
      <c r="C278" s="35">
        <f t="shared" si="188"/>
        <v>0.73321270607157218</v>
      </c>
      <c r="D278" s="35">
        <f t="shared" si="189"/>
        <v>0.81955056179775276</v>
      </c>
      <c r="E278" s="35">
        <f t="shared" si="190"/>
        <v>0.89465219139525531</v>
      </c>
      <c r="F278" s="92">
        <f t="shared" si="200"/>
        <v>4974</v>
      </c>
      <c r="G278" s="27">
        <f t="shared" si="201"/>
        <v>524</v>
      </c>
      <c r="H278" s="92">
        <f t="shared" si="202"/>
        <v>4450</v>
      </c>
      <c r="I278" s="92">
        <f t="shared" si="203"/>
        <v>3647</v>
      </c>
      <c r="J278" s="27">
        <f t="shared" si="204"/>
        <v>803</v>
      </c>
      <c r="K278" s="27"/>
      <c r="L278" s="27"/>
      <c r="M278" s="45">
        <v>2015</v>
      </c>
      <c r="N278" s="48" t="s">
        <v>46</v>
      </c>
      <c r="O278" s="35">
        <f t="shared" si="191"/>
        <v>0.72835917312661502</v>
      </c>
      <c r="P278" s="35">
        <f t="shared" si="192"/>
        <v>0.82843497428361501</v>
      </c>
      <c r="Q278" s="35">
        <f t="shared" si="193"/>
        <v>0.87919896640826878</v>
      </c>
      <c r="R278" s="27">
        <v>3096</v>
      </c>
      <c r="S278" s="27">
        <f t="shared" si="205"/>
        <v>374</v>
      </c>
      <c r="T278" s="27">
        <v>2722</v>
      </c>
      <c r="U278" s="27">
        <v>2255</v>
      </c>
      <c r="V278" s="27">
        <f t="shared" si="206"/>
        <v>467</v>
      </c>
      <c r="W278" s="27"/>
      <c r="X278" s="27"/>
      <c r="Y278" s="45">
        <v>2015</v>
      </c>
      <c r="Z278" s="48" t="s">
        <v>46</v>
      </c>
      <c r="AA278" s="35">
        <f t="shared" si="194"/>
        <v>0.77091377091377089</v>
      </c>
      <c r="AB278" s="35">
        <f t="shared" si="195"/>
        <v>0.81774744027303758</v>
      </c>
      <c r="AC278" s="35">
        <f t="shared" si="196"/>
        <v>0.94272844272844269</v>
      </c>
      <c r="AD278" s="27">
        <v>1554</v>
      </c>
      <c r="AE278" s="27">
        <f t="shared" si="207"/>
        <v>89</v>
      </c>
      <c r="AF278" s="27">
        <v>1465</v>
      </c>
      <c r="AG278" s="27">
        <v>1198</v>
      </c>
      <c r="AH278" s="27">
        <f t="shared" si="208"/>
        <v>267</v>
      </c>
      <c r="AI278" s="27"/>
      <c r="AJ278" s="27"/>
      <c r="AK278" s="45">
        <v>2015</v>
      </c>
      <c r="AL278" s="48" t="s">
        <v>46</v>
      </c>
      <c r="AM278" s="35">
        <f t="shared" si="197"/>
        <v>0.59876543209876543</v>
      </c>
      <c r="AN278" s="35">
        <f t="shared" si="198"/>
        <v>0.73764258555133078</v>
      </c>
      <c r="AO278" s="35">
        <f t="shared" si="199"/>
        <v>0.81172839506172845</v>
      </c>
      <c r="AP278" s="27">
        <v>324</v>
      </c>
      <c r="AQ278" s="27">
        <f t="shared" si="209"/>
        <v>61</v>
      </c>
      <c r="AR278" s="27">
        <v>263</v>
      </c>
      <c r="AS278" s="27">
        <v>194</v>
      </c>
      <c r="AT278" s="27">
        <f t="shared" si="210"/>
        <v>69</v>
      </c>
      <c r="AU278" s="27"/>
      <c r="AV278" s="27"/>
      <c r="AW278" s="45"/>
      <c r="AX278" s="48"/>
      <c r="AY278" s="35"/>
      <c r="AZ278" s="35"/>
      <c r="BA278" s="35"/>
    </row>
    <row r="279" spans="1:53" s="29" customFormat="1" ht="12.75">
      <c r="A279" s="46">
        <v>2015</v>
      </c>
      <c r="B279" s="47" t="s">
        <v>47</v>
      </c>
      <c r="C279" s="35">
        <f t="shared" si="188"/>
        <v>0.48879276445143532</v>
      </c>
      <c r="D279" s="35">
        <f t="shared" si="189"/>
        <v>0.61473788328387735</v>
      </c>
      <c r="E279" s="35">
        <f t="shared" si="190"/>
        <v>0.79512386944553681</v>
      </c>
      <c r="F279" s="92">
        <f t="shared" si="200"/>
        <v>5086</v>
      </c>
      <c r="G279" s="27">
        <f t="shared" si="201"/>
        <v>1042</v>
      </c>
      <c r="H279" s="92">
        <f t="shared" si="202"/>
        <v>4044</v>
      </c>
      <c r="I279" s="92">
        <f t="shared" si="203"/>
        <v>2486</v>
      </c>
      <c r="J279" s="27">
        <f t="shared" si="204"/>
        <v>1558</v>
      </c>
      <c r="K279" s="27"/>
      <c r="L279" s="27"/>
      <c r="M279" s="46">
        <v>2015</v>
      </c>
      <c r="N279" s="47" t="s">
        <v>47</v>
      </c>
      <c r="O279" s="35">
        <f t="shared" si="191"/>
        <v>0.52904040404040409</v>
      </c>
      <c r="P279" s="35">
        <f t="shared" si="192"/>
        <v>0.67201283079390539</v>
      </c>
      <c r="Q279" s="35">
        <f t="shared" si="193"/>
        <v>0.7872474747474747</v>
      </c>
      <c r="R279" s="27">
        <v>3168</v>
      </c>
      <c r="S279" s="27">
        <f t="shared" si="205"/>
        <v>674</v>
      </c>
      <c r="T279" s="27">
        <v>2494</v>
      </c>
      <c r="U279" s="27">
        <v>1676</v>
      </c>
      <c r="V279" s="27">
        <f t="shared" si="206"/>
        <v>818</v>
      </c>
      <c r="W279" s="27"/>
      <c r="X279" s="27"/>
      <c r="Y279" s="46">
        <v>2015</v>
      </c>
      <c r="Z279" s="47" t="s">
        <v>47</v>
      </c>
      <c r="AA279" s="35">
        <f t="shared" si="194"/>
        <v>0.33041301627033792</v>
      </c>
      <c r="AB279" s="35">
        <f t="shared" si="195"/>
        <v>0.42443729903536975</v>
      </c>
      <c r="AC279" s="35">
        <f t="shared" si="196"/>
        <v>0.77847309136420528</v>
      </c>
      <c r="AD279" s="27">
        <v>1598</v>
      </c>
      <c r="AE279" s="27">
        <f t="shared" si="207"/>
        <v>354</v>
      </c>
      <c r="AF279" s="27">
        <v>1244</v>
      </c>
      <c r="AG279" s="27">
        <v>528</v>
      </c>
      <c r="AH279" s="27">
        <f t="shared" si="208"/>
        <v>716</v>
      </c>
      <c r="AI279" s="27"/>
      <c r="AJ279" s="27"/>
      <c r="AK279" s="46">
        <v>2015</v>
      </c>
      <c r="AL279" s="47" t="s">
        <v>47</v>
      </c>
      <c r="AM279" s="35">
        <f t="shared" si="197"/>
        <v>0.88124999999999998</v>
      </c>
      <c r="AN279" s="35">
        <f t="shared" si="198"/>
        <v>0.92156862745098034</v>
      </c>
      <c r="AO279" s="35">
        <f t="shared" si="199"/>
        <v>0.95625000000000004</v>
      </c>
      <c r="AP279" s="27">
        <v>320</v>
      </c>
      <c r="AQ279" s="27">
        <f t="shared" si="209"/>
        <v>14</v>
      </c>
      <c r="AR279" s="27">
        <v>306</v>
      </c>
      <c r="AS279" s="27">
        <v>282</v>
      </c>
      <c r="AT279" s="27">
        <f t="shared" si="210"/>
        <v>24</v>
      </c>
      <c r="AU279" s="27"/>
      <c r="AV279" s="27"/>
      <c r="AW279" s="46"/>
      <c r="AX279" s="47"/>
      <c r="AY279" s="35"/>
      <c r="AZ279" s="35"/>
      <c r="BA279" s="35"/>
    </row>
    <row r="280" spans="1:53" s="29" customFormat="1" ht="12.75">
      <c r="A280" s="45">
        <v>2015</v>
      </c>
      <c r="B280" s="48" t="s">
        <v>48</v>
      </c>
      <c r="C280" s="35">
        <f t="shared" si="188"/>
        <v>0.55819672131147546</v>
      </c>
      <c r="D280" s="35">
        <f t="shared" si="189"/>
        <v>0.59088937093275484</v>
      </c>
      <c r="E280" s="35">
        <f t="shared" si="190"/>
        <v>0.94467213114754101</v>
      </c>
      <c r="F280" s="92">
        <f t="shared" si="200"/>
        <v>4880</v>
      </c>
      <c r="G280" s="27">
        <f t="shared" si="201"/>
        <v>270</v>
      </c>
      <c r="H280" s="92">
        <f t="shared" si="202"/>
        <v>4610</v>
      </c>
      <c r="I280" s="92">
        <f t="shared" si="203"/>
        <v>2724</v>
      </c>
      <c r="J280" s="27">
        <f t="shared" si="204"/>
        <v>1886</v>
      </c>
      <c r="K280" s="27"/>
      <c r="L280" s="27"/>
      <c r="M280" s="45">
        <v>2015</v>
      </c>
      <c r="N280" s="48" t="s">
        <v>48</v>
      </c>
      <c r="O280" s="35">
        <f t="shared" si="191"/>
        <v>0.69228232189973615</v>
      </c>
      <c r="P280" s="35">
        <f t="shared" si="192"/>
        <v>0.72454263030721433</v>
      </c>
      <c r="Q280" s="35">
        <f t="shared" si="193"/>
        <v>0.95547493403693928</v>
      </c>
      <c r="R280" s="27">
        <v>3032</v>
      </c>
      <c r="S280" s="27">
        <f t="shared" si="205"/>
        <v>135</v>
      </c>
      <c r="T280" s="27">
        <v>2897</v>
      </c>
      <c r="U280" s="27">
        <v>2099</v>
      </c>
      <c r="V280" s="27">
        <f t="shared" si="206"/>
        <v>798</v>
      </c>
      <c r="W280" s="27"/>
      <c r="X280" s="27"/>
      <c r="Y280" s="45">
        <v>2015</v>
      </c>
      <c r="Z280" s="48" t="s">
        <v>48</v>
      </c>
      <c r="AA280" s="35">
        <f t="shared" si="194"/>
        <v>0.24739583333333334</v>
      </c>
      <c r="AB280" s="35">
        <f t="shared" si="195"/>
        <v>0.26573426573426573</v>
      </c>
      <c r="AC280" s="35">
        <f t="shared" si="196"/>
        <v>0.93098958333333337</v>
      </c>
      <c r="AD280" s="27">
        <v>1536</v>
      </c>
      <c r="AE280" s="27">
        <f t="shared" si="207"/>
        <v>106</v>
      </c>
      <c r="AF280" s="27">
        <v>1430</v>
      </c>
      <c r="AG280" s="27">
        <v>380</v>
      </c>
      <c r="AH280" s="27">
        <f t="shared" si="208"/>
        <v>1050</v>
      </c>
      <c r="AI280" s="27"/>
      <c r="AJ280" s="27"/>
      <c r="AK280" s="45">
        <v>2015</v>
      </c>
      <c r="AL280" s="48" t="s">
        <v>48</v>
      </c>
      <c r="AM280" s="35">
        <f t="shared" si="197"/>
        <v>0.78525641025641024</v>
      </c>
      <c r="AN280" s="35">
        <f t="shared" si="198"/>
        <v>0.86572438162544174</v>
      </c>
      <c r="AO280" s="35">
        <f t="shared" si="199"/>
        <v>0.90705128205128205</v>
      </c>
      <c r="AP280" s="27">
        <v>312</v>
      </c>
      <c r="AQ280" s="27">
        <f t="shared" si="209"/>
        <v>29</v>
      </c>
      <c r="AR280" s="27">
        <v>283</v>
      </c>
      <c r="AS280" s="27">
        <v>245</v>
      </c>
      <c r="AT280" s="27">
        <f t="shared" si="210"/>
        <v>38</v>
      </c>
      <c r="AU280" s="27"/>
      <c r="AV280" s="27"/>
      <c r="AW280" s="45"/>
      <c r="AX280" s="48"/>
      <c r="AY280" s="35"/>
      <c r="AZ280" s="35"/>
      <c r="BA280" s="35"/>
    </row>
    <row r="281" spans="1:53" s="29" customFormat="1" ht="12.75">
      <c r="A281" s="46">
        <v>2015</v>
      </c>
      <c r="B281" s="47" t="s">
        <v>49</v>
      </c>
      <c r="C281" s="35">
        <f t="shared" si="188"/>
        <v>0.45570630486831604</v>
      </c>
      <c r="D281" s="35">
        <f t="shared" si="189"/>
        <v>0.52074783401732783</v>
      </c>
      <c r="E281" s="35">
        <f t="shared" si="190"/>
        <v>0.87509976057462091</v>
      </c>
      <c r="F281" s="92">
        <f t="shared" si="200"/>
        <v>5012</v>
      </c>
      <c r="G281" s="27">
        <f t="shared" si="201"/>
        <v>626</v>
      </c>
      <c r="H281" s="92">
        <f t="shared" si="202"/>
        <v>4386</v>
      </c>
      <c r="I281" s="92">
        <f t="shared" si="203"/>
        <v>2284</v>
      </c>
      <c r="J281" s="27">
        <f t="shared" si="204"/>
        <v>2102</v>
      </c>
      <c r="K281" s="27"/>
      <c r="L281" s="27"/>
      <c r="M281" s="46">
        <v>2015</v>
      </c>
      <c r="N281" s="47" t="s">
        <v>49</v>
      </c>
      <c r="O281" s="35">
        <f t="shared" si="191"/>
        <v>0.57368082368082363</v>
      </c>
      <c r="P281" s="35">
        <f t="shared" si="192"/>
        <v>0.625394598386531</v>
      </c>
      <c r="Q281" s="35">
        <f t="shared" si="193"/>
        <v>0.91731016731016735</v>
      </c>
      <c r="R281" s="27">
        <v>3108</v>
      </c>
      <c r="S281" s="27">
        <f t="shared" si="205"/>
        <v>257</v>
      </c>
      <c r="T281" s="27">
        <v>2851</v>
      </c>
      <c r="U281" s="27">
        <v>1783</v>
      </c>
      <c r="V281" s="27">
        <f t="shared" si="206"/>
        <v>1068</v>
      </c>
      <c r="W281" s="27"/>
      <c r="X281" s="27"/>
      <c r="Y281" s="46">
        <v>2015</v>
      </c>
      <c r="Z281" s="47" t="s">
        <v>49</v>
      </c>
      <c r="AA281" s="35">
        <f t="shared" si="194"/>
        <v>0.19430379746835444</v>
      </c>
      <c r="AB281" s="35">
        <f t="shared" si="195"/>
        <v>0.24135220125786164</v>
      </c>
      <c r="AC281" s="35">
        <f t="shared" si="196"/>
        <v>0.80506329113924047</v>
      </c>
      <c r="AD281" s="27">
        <v>1580</v>
      </c>
      <c r="AE281" s="27">
        <f t="shared" si="207"/>
        <v>308</v>
      </c>
      <c r="AF281" s="27">
        <v>1272</v>
      </c>
      <c r="AG281" s="27">
        <v>307</v>
      </c>
      <c r="AH281" s="27">
        <f t="shared" si="208"/>
        <v>965</v>
      </c>
      <c r="AI281" s="27"/>
      <c r="AJ281" s="27"/>
      <c r="AK281" s="46">
        <v>2015</v>
      </c>
      <c r="AL281" s="47" t="s">
        <v>49</v>
      </c>
      <c r="AM281" s="35">
        <f t="shared" si="197"/>
        <v>0.59876543209876543</v>
      </c>
      <c r="AN281" s="35">
        <f t="shared" si="198"/>
        <v>0.73764258555133078</v>
      </c>
      <c r="AO281" s="35">
        <f t="shared" si="199"/>
        <v>0.81172839506172845</v>
      </c>
      <c r="AP281" s="27">
        <v>324</v>
      </c>
      <c r="AQ281" s="27">
        <f t="shared" si="209"/>
        <v>61</v>
      </c>
      <c r="AR281" s="27">
        <v>263</v>
      </c>
      <c r="AS281" s="27">
        <v>194</v>
      </c>
      <c r="AT281" s="27">
        <f t="shared" si="210"/>
        <v>69</v>
      </c>
      <c r="AU281" s="27"/>
      <c r="AV281" s="27"/>
      <c r="AW281" s="46"/>
      <c r="AX281" s="47"/>
      <c r="AY281" s="35"/>
      <c r="AZ281" s="35"/>
      <c r="BA281" s="35"/>
    </row>
    <row r="282" spans="1:53" s="29" customFormat="1" ht="12.75">
      <c r="A282" s="45">
        <v>2016</v>
      </c>
      <c r="B282" s="48" t="s">
        <v>38</v>
      </c>
      <c r="C282" s="35">
        <f t="shared" si="188"/>
        <v>0.52546066970477512</v>
      </c>
      <c r="D282" s="35">
        <f t="shared" si="189"/>
        <v>0.57815565729234797</v>
      </c>
      <c r="E282" s="35">
        <f t="shared" si="190"/>
        <v>0.90885674658212801</v>
      </c>
      <c r="F282" s="92">
        <f t="shared" ref="F282:F293" si="211">+R282+AD282+AP282</f>
        <v>5047</v>
      </c>
      <c r="G282" s="27">
        <f t="shared" ref="G282:G293" si="212">F282-H282</f>
        <v>460</v>
      </c>
      <c r="H282" s="92">
        <f t="shared" ref="H282:H293" si="213">+T282+AF282+AR282</f>
        <v>4587</v>
      </c>
      <c r="I282" s="92">
        <f t="shared" ref="I282:I293" si="214">+U282+AG282+AS282</f>
        <v>2652</v>
      </c>
      <c r="J282" s="27">
        <f t="shared" ref="J282:J293" si="215">H282-I282</f>
        <v>1935</v>
      </c>
      <c r="K282" s="27"/>
      <c r="L282" s="27"/>
      <c r="M282" s="45">
        <v>2016</v>
      </c>
      <c r="N282" s="48" t="s">
        <v>38</v>
      </c>
      <c r="O282" s="35">
        <f t="shared" si="191"/>
        <v>0.66677295918367352</v>
      </c>
      <c r="P282" s="35">
        <f t="shared" si="192"/>
        <v>0.71830985915492962</v>
      </c>
      <c r="Q282" s="35">
        <f t="shared" si="193"/>
        <v>0.92825255102040816</v>
      </c>
      <c r="R282" s="27">
        <v>3136</v>
      </c>
      <c r="S282" s="27">
        <f t="shared" ref="S282:S293" si="216">R282-T282</f>
        <v>225</v>
      </c>
      <c r="T282" s="27">
        <v>2911</v>
      </c>
      <c r="U282" s="27">
        <v>2091</v>
      </c>
      <c r="V282" s="27">
        <f t="shared" ref="V282:V293" si="217">T282-U282</f>
        <v>820</v>
      </c>
      <c r="W282" s="27"/>
      <c r="X282" s="27"/>
      <c r="Y282" s="45">
        <v>2016</v>
      </c>
      <c r="Z282" s="48" t="s">
        <v>38</v>
      </c>
      <c r="AA282" s="35">
        <f t="shared" si="194"/>
        <v>0.21019509125235997</v>
      </c>
      <c r="AB282" s="35">
        <f t="shared" si="195"/>
        <v>0.24046076313894887</v>
      </c>
      <c r="AC282" s="35">
        <f t="shared" si="196"/>
        <v>0.87413467589679039</v>
      </c>
      <c r="AD282" s="27">
        <v>1589</v>
      </c>
      <c r="AE282" s="27">
        <f t="shared" ref="AE282:AE293" si="218">AD282-AF282</f>
        <v>200</v>
      </c>
      <c r="AF282" s="27">
        <v>1389</v>
      </c>
      <c r="AG282" s="27">
        <v>334</v>
      </c>
      <c r="AH282" s="27">
        <f t="shared" ref="AH282:AH293" si="219">AF282-AG282</f>
        <v>1055</v>
      </c>
      <c r="AI282" s="27"/>
      <c r="AJ282" s="27"/>
      <c r="AK282" s="45">
        <v>2016</v>
      </c>
      <c r="AL282" s="48" t="s">
        <v>38</v>
      </c>
      <c r="AM282" s="35">
        <f t="shared" si="197"/>
        <v>0.70496894409937894</v>
      </c>
      <c r="AN282" s="35">
        <f t="shared" si="198"/>
        <v>0.7909407665505227</v>
      </c>
      <c r="AO282" s="35">
        <f t="shared" si="199"/>
        <v>0.89130434782608692</v>
      </c>
      <c r="AP282" s="27">
        <v>322</v>
      </c>
      <c r="AQ282" s="27">
        <f t="shared" ref="AQ282:AQ293" si="220">AP282-AR282</f>
        <v>35</v>
      </c>
      <c r="AR282" s="27">
        <v>287</v>
      </c>
      <c r="AS282" s="27">
        <v>227</v>
      </c>
      <c r="AT282" s="27">
        <f t="shared" ref="AT282:AT293" si="221">AR282-AS282</f>
        <v>60</v>
      </c>
      <c r="AU282" s="27"/>
      <c r="AV282" s="27"/>
      <c r="AW282" s="45"/>
      <c r="AX282" s="48"/>
      <c r="AY282" s="35"/>
      <c r="AZ282" s="35"/>
      <c r="BA282" s="35"/>
    </row>
    <row r="283" spans="1:53" s="29" customFormat="1" ht="12.75">
      <c r="A283" s="46">
        <v>2016</v>
      </c>
      <c r="B283" s="47" t="s">
        <v>39</v>
      </c>
      <c r="C283" s="35">
        <f t="shared" si="188"/>
        <v>0.5519218517732003</v>
      </c>
      <c r="D283" s="35">
        <f t="shared" si="189"/>
        <v>0.58654931166779511</v>
      </c>
      <c r="E283" s="35">
        <f t="shared" si="190"/>
        <v>0.94096411127627944</v>
      </c>
      <c r="F283" s="92">
        <f t="shared" si="211"/>
        <v>4709</v>
      </c>
      <c r="G283" s="27">
        <f t="shared" si="212"/>
        <v>278</v>
      </c>
      <c r="H283" s="92">
        <f t="shared" si="213"/>
        <v>4431</v>
      </c>
      <c r="I283" s="92">
        <f t="shared" si="214"/>
        <v>2599</v>
      </c>
      <c r="J283" s="27">
        <f t="shared" si="215"/>
        <v>1832</v>
      </c>
      <c r="K283" s="27"/>
      <c r="L283" s="27"/>
      <c r="M283" s="46">
        <v>2016</v>
      </c>
      <c r="N283" s="47" t="s">
        <v>39</v>
      </c>
      <c r="O283" s="35">
        <f t="shared" si="191"/>
        <v>0.6774965800273598</v>
      </c>
      <c r="P283" s="35">
        <f t="shared" si="192"/>
        <v>0.72404970760233922</v>
      </c>
      <c r="Q283" s="35">
        <f t="shared" si="193"/>
        <v>0.93570451436388513</v>
      </c>
      <c r="R283" s="27">
        <v>2924</v>
      </c>
      <c r="S283" s="27">
        <f t="shared" si="216"/>
        <v>188</v>
      </c>
      <c r="T283" s="27">
        <v>2736</v>
      </c>
      <c r="U283" s="27">
        <v>1981</v>
      </c>
      <c r="V283" s="27">
        <f t="shared" si="217"/>
        <v>755</v>
      </c>
      <c r="W283" s="27"/>
      <c r="X283" s="27"/>
      <c r="Y283" s="46">
        <v>2016</v>
      </c>
      <c r="Z283" s="47" t="s">
        <v>39</v>
      </c>
      <c r="AA283" s="35">
        <f t="shared" si="194"/>
        <v>0.26432906271072149</v>
      </c>
      <c r="AB283" s="35">
        <f t="shared" si="195"/>
        <v>0.27860696517412936</v>
      </c>
      <c r="AC283" s="35">
        <f t="shared" si="196"/>
        <v>0.94875252865812543</v>
      </c>
      <c r="AD283" s="27">
        <v>1483</v>
      </c>
      <c r="AE283" s="27">
        <f t="shared" si="218"/>
        <v>76</v>
      </c>
      <c r="AF283" s="27">
        <v>1407</v>
      </c>
      <c r="AG283" s="27">
        <v>392</v>
      </c>
      <c r="AH283" s="27">
        <f t="shared" si="219"/>
        <v>1015</v>
      </c>
      <c r="AI283" s="27"/>
      <c r="AJ283" s="27"/>
      <c r="AK283" s="46">
        <v>2016</v>
      </c>
      <c r="AL283" s="47" t="s">
        <v>39</v>
      </c>
      <c r="AM283" s="35">
        <f t="shared" si="197"/>
        <v>0.7483443708609272</v>
      </c>
      <c r="AN283" s="35">
        <f t="shared" si="198"/>
        <v>0.78472222222222221</v>
      </c>
      <c r="AO283" s="35">
        <f t="shared" si="199"/>
        <v>0.95364238410596025</v>
      </c>
      <c r="AP283" s="27">
        <v>302</v>
      </c>
      <c r="AQ283" s="27">
        <f t="shared" si="220"/>
        <v>14</v>
      </c>
      <c r="AR283" s="27">
        <v>288</v>
      </c>
      <c r="AS283" s="27">
        <v>226</v>
      </c>
      <c r="AT283" s="27">
        <f t="shared" si="221"/>
        <v>62</v>
      </c>
      <c r="AU283" s="27"/>
      <c r="AV283" s="27"/>
      <c r="AW283" s="46"/>
      <c r="AX283" s="47"/>
      <c r="AY283" s="35"/>
      <c r="AZ283" s="35"/>
      <c r="BA283" s="35"/>
    </row>
    <row r="284" spans="1:53" s="29" customFormat="1" ht="12.75">
      <c r="A284" s="45">
        <v>2016</v>
      </c>
      <c r="B284" s="48" t="s">
        <v>40</v>
      </c>
      <c r="C284" s="35">
        <f t="shared" si="188"/>
        <v>0.63432983567610379</v>
      </c>
      <c r="D284" s="35">
        <f t="shared" si="189"/>
        <v>0.65561694290976058</v>
      </c>
      <c r="E284" s="35">
        <f t="shared" si="190"/>
        <v>0.96753118194416943</v>
      </c>
      <c r="F284" s="92">
        <f t="shared" si="211"/>
        <v>5051</v>
      </c>
      <c r="G284" s="27">
        <f t="shared" si="212"/>
        <v>164</v>
      </c>
      <c r="H284" s="92">
        <f t="shared" si="213"/>
        <v>4887</v>
      </c>
      <c r="I284" s="92">
        <f t="shared" si="214"/>
        <v>3204</v>
      </c>
      <c r="J284" s="27">
        <f t="shared" si="215"/>
        <v>1683</v>
      </c>
      <c r="K284" s="27"/>
      <c r="L284" s="27"/>
      <c r="M284" s="45">
        <v>2016</v>
      </c>
      <c r="N284" s="48" t="s">
        <v>40</v>
      </c>
      <c r="O284" s="35">
        <f t="shared" si="191"/>
        <v>0.79458598726114649</v>
      </c>
      <c r="P284" s="35">
        <f t="shared" si="192"/>
        <v>0.81722895512610549</v>
      </c>
      <c r="Q284" s="35">
        <f t="shared" si="193"/>
        <v>0.9722929936305732</v>
      </c>
      <c r="R284" s="27">
        <v>3140</v>
      </c>
      <c r="S284" s="27">
        <f t="shared" si="216"/>
        <v>87</v>
      </c>
      <c r="T284" s="27">
        <v>3053</v>
      </c>
      <c r="U284" s="27">
        <v>2495</v>
      </c>
      <c r="V284" s="27">
        <f t="shared" si="217"/>
        <v>558</v>
      </c>
      <c r="W284" s="27"/>
      <c r="X284" s="27"/>
      <c r="Y284" s="45">
        <v>2016</v>
      </c>
      <c r="Z284" s="48" t="s">
        <v>40</v>
      </c>
      <c r="AA284" s="35">
        <f t="shared" si="194"/>
        <v>0.29767149150409061</v>
      </c>
      <c r="AB284" s="35">
        <f t="shared" si="195"/>
        <v>0.31138907175773534</v>
      </c>
      <c r="AC284" s="35">
        <f t="shared" si="196"/>
        <v>0.95594713656387664</v>
      </c>
      <c r="AD284" s="27">
        <v>1589</v>
      </c>
      <c r="AE284" s="27">
        <f t="shared" si="218"/>
        <v>70</v>
      </c>
      <c r="AF284" s="27">
        <v>1519</v>
      </c>
      <c r="AG284" s="27">
        <v>473</v>
      </c>
      <c r="AH284" s="27">
        <f t="shared" si="219"/>
        <v>1046</v>
      </c>
      <c r="AI284" s="27"/>
      <c r="AJ284" s="27"/>
      <c r="AK284" s="45">
        <v>2016</v>
      </c>
      <c r="AL284" s="48" t="s">
        <v>40</v>
      </c>
      <c r="AM284" s="35">
        <f t="shared" si="197"/>
        <v>0.73291925465838514</v>
      </c>
      <c r="AN284" s="35">
        <f t="shared" si="198"/>
        <v>0.74920634920634921</v>
      </c>
      <c r="AO284" s="35">
        <f t="shared" si="199"/>
        <v>0.97826086956521741</v>
      </c>
      <c r="AP284" s="27">
        <v>322</v>
      </c>
      <c r="AQ284" s="27">
        <f t="shared" si="220"/>
        <v>7</v>
      </c>
      <c r="AR284" s="27">
        <v>315</v>
      </c>
      <c r="AS284" s="27">
        <v>236</v>
      </c>
      <c r="AT284" s="27">
        <f t="shared" si="221"/>
        <v>79</v>
      </c>
      <c r="AU284" s="27"/>
      <c r="AV284" s="27"/>
      <c r="AW284" s="45"/>
      <c r="AX284" s="48"/>
      <c r="AY284" s="35"/>
      <c r="AZ284" s="35"/>
      <c r="BA284" s="35"/>
    </row>
    <row r="285" spans="1:53" s="29" customFormat="1" ht="12.75">
      <c r="A285" s="46">
        <v>2016</v>
      </c>
      <c r="B285" s="47" t="s">
        <v>41</v>
      </c>
      <c r="C285" s="35">
        <f t="shared" si="188"/>
        <v>0.59036389510063025</v>
      </c>
      <c r="D285" s="35">
        <f t="shared" si="189"/>
        <v>0.61603733559609675</v>
      </c>
      <c r="E285" s="35">
        <f t="shared" si="190"/>
        <v>0.95832486277698714</v>
      </c>
      <c r="F285" s="92">
        <f t="shared" si="211"/>
        <v>4919</v>
      </c>
      <c r="G285" s="27">
        <f t="shared" si="212"/>
        <v>205</v>
      </c>
      <c r="H285" s="92">
        <f t="shared" si="213"/>
        <v>4714</v>
      </c>
      <c r="I285" s="92">
        <f t="shared" si="214"/>
        <v>2904</v>
      </c>
      <c r="J285" s="27">
        <f t="shared" si="215"/>
        <v>1810</v>
      </c>
      <c r="K285" s="27"/>
      <c r="L285" s="27"/>
      <c r="M285" s="46">
        <v>2016</v>
      </c>
      <c r="N285" s="47" t="s">
        <v>41</v>
      </c>
      <c r="O285" s="35">
        <f t="shared" si="191"/>
        <v>0.75391644908616184</v>
      </c>
      <c r="P285" s="35">
        <f t="shared" si="192"/>
        <v>0.78464673913043481</v>
      </c>
      <c r="Q285" s="35">
        <f t="shared" si="193"/>
        <v>0.96083550913838123</v>
      </c>
      <c r="R285" s="27">
        <v>3064</v>
      </c>
      <c r="S285" s="27">
        <f t="shared" si="216"/>
        <v>120</v>
      </c>
      <c r="T285" s="27">
        <v>2944</v>
      </c>
      <c r="U285" s="27">
        <v>2310</v>
      </c>
      <c r="V285" s="27">
        <f t="shared" si="217"/>
        <v>634</v>
      </c>
      <c r="W285" s="27"/>
      <c r="X285" s="27"/>
      <c r="Y285" s="46">
        <v>2016</v>
      </c>
      <c r="Z285" s="47" t="s">
        <v>41</v>
      </c>
      <c r="AA285" s="35">
        <f t="shared" si="194"/>
        <v>0.25307443365695792</v>
      </c>
      <c r="AB285" s="35">
        <f t="shared" si="195"/>
        <v>0.26347708894878707</v>
      </c>
      <c r="AC285" s="35">
        <f t="shared" si="196"/>
        <v>0.96051779935275083</v>
      </c>
      <c r="AD285" s="27">
        <v>1545</v>
      </c>
      <c r="AE285" s="27">
        <f t="shared" si="218"/>
        <v>61</v>
      </c>
      <c r="AF285" s="27">
        <v>1484</v>
      </c>
      <c r="AG285" s="27">
        <v>391</v>
      </c>
      <c r="AH285" s="27">
        <f t="shared" si="219"/>
        <v>1093</v>
      </c>
      <c r="AI285" s="27"/>
      <c r="AJ285" s="27"/>
      <c r="AK285" s="46">
        <v>2016</v>
      </c>
      <c r="AL285" s="47" t="s">
        <v>41</v>
      </c>
      <c r="AM285" s="35">
        <f t="shared" si="197"/>
        <v>0.65483870967741931</v>
      </c>
      <c r="AN285" s="35">
        <f t="shared" si="198"/>
        <v>0.70979020979020979</v>
      </c>
      <c r="AO285" s="35">
        <f t="shared" si="199"/>
        <v>0.92258064516129035</v>
      </c>
      <c r="AP285" s="27">
        <v>310</v>
      </c>
      <c r="AQ285" s="27">
        <f t="shared" si="220"/>
        <v>24</v>
      </c>
      <c r="AR285" s="27">
        <v>286</v>
      </c>
      <c r="AS285" s="27">
        <v>203</v>
      </c>
      <c r="AT285" s="27">
        <f t="shared" si="221"/>
        <v>83</v>
      </c>
      <c r="AU285" s="27"/>
      <c r="AV285" s="27"/>
      <c r="AW285" s="46"/>
      <c r="AX285" s="47"/>
      <c r="AY285" s="35"/>
      <c r="AZ285" s="35"/>
      <c r="BA285" s="35"/>
    </row>
    <row r="286" spans="1:53" s="29" customFormat="1" ht="12.75">
      <c r="A286" s="45">
        <v>2016</v>
      </c>
      <c r="B286" s="48" t="s">
        <v>42</v>
      </c>
      <c r="C286" s="35">
        <f t="shared" si="188"/>
        <v>0.63650762225301916</v>
      </c>
      <c r="D286" s="35">
        <f t="shared" si="189"/>
        <v>0.65212981744421905</v>
      </c>
      <c r="E286" s="35">
        <f t="shared" si="190"/>
        <v>0.97604434765392989</v>
      </c>
      <c r="F286" s="92">
        <f t="shared" si="211"/>
        <v>5051</v>
      </c>
      <c r="G286" s="27">
        <f t="shared" si="212"/>
        <v>121</v>
      </c>
      <c r="H286" s="92">
        <f t="shared" si="213"/>
        <v>4930</v>
      </c>
      <c r="I286" s="92">
        <f t="shared" si="214"/>
        <v>3215</v>
      </c>
      <c r="J286" s="27">
        <f t="shared" si="215"/>
        <v>1715</v>
      </c>
      <c r="K286" s="27"/>
      <c r="L286" s="27"/>
      <c r="M286" s="45">
        <v>2016</v>
      </c>
      <c r="N286" s="48" t="s">
        <v>42</v>
      </c>
      <c r="O286" s="35">
        <f t="shared" si="191"/>
        <v>0.79108280254777075</v>
      </c>
      <c r="P286" s="35">
        <f t="shared" si="192"/>
        <v>0.81149950996406406</v>
      </c>
      <c r="Q286" s="35">
        <f t="shared" si="193"/>
        <v>0.97484076433121014</v>
      </c>
      <c r="R286" s="27">
        <v>3140</v>
      </c>
      <c r="S286" s="27">
        <f t="shared" si="216"/>
        <v>79</v>
      </c>
      <c r="T286" s="27">
        <v>3061</v>
      </c>
      <c r="U286" s="27">
        <v>2484</v>
      </c>
      <c r="V286" s="27">
        <f t="shared" si="217"/>
        <v>577</v>
      </c>
      <c r="W286" s="27"/>
      <c r="X286" s="27"/>
      <c r="Y286" s="45">
        <v>2016</v>
      </c>
      <c r="Z286" s="48" t="s">
        <v>42</v>
      </c>
      <c r="AA286" s="35">
        <f t="shared" si="194"/>
        <v>0.31718061674008813</v>
      </c>
      <c r="AB286" s="35">
        <f t="shared" si="195"/>
        <v>0.32266325224071701</v>
      </c>
      <c r="AC286" s="35">
        <f t="shared" si="196"/>
        <v>0.9830081812460667</v>
      </c>
      <c r="AD286" s="27">
        <v>1589</v>
      </c>
      <c r="AE286" s="27">
        <f t="shared" si="218"/>
        <v>27</v>
      </c>
      <c r="AF286" s="27">
        <v>1562</v>
      </c>
      <c r="AG286" s="27">
        <v>504</v>
      </c>
      <c r="AH286" s="27">
        <f t="shared" si="219"/>
        <v>1058</v>
      </c>
      <c r="AI286" s="27"/>
      <c r="AJ286" s="27"/>
      <c r="AK286" s="45">
        <v>2016</v>
      </c>
      <c r="AL286" s="48" t="s">
        <v>42</v>
      </c>
      <c r="AM286" s="35">
        <f t="shared" si="197"/>
        <v>0.70496894409937894</v>
      </c>
      <c r="AN286" s="35">
        <f t="shared" si="198"/>
        <v>0.73941368078175895</v>
      </c>
      <c r="AO286" s="35">
        <f t="shared" si="199"/>
        <v>0.95341614906832295</v>
      </c>
      <c r="AP286" s="27">
        <v>322</v>
      </c>
      <c r="AQ286" s="27">
        <f t="shared" si="220"/>
        <v>15</v>
      </c>
      <c r="AR286" s="27">
        <v>307</v>
      </c>
      <c r="AS286" s="27">
        <v>227</v>
      </c>
      <c r="AT286" s="27">
        <f t="shared" si="221"/>
        <v>80</v>
      </c>
      <c r="AU286" s="27"/>
      <c r="AV286" s="27"/>
      <c r="AW286" s="45"/>
      <c r="AX286" s="48"/>
      <c r="AY286" s="35"/>
      <c r="AZ286" s="35"/>
      <c r="BA286" s="35"/>
    </row>
    <row r="287" spans="1:53" s="29" customFormat="1" ht="12.75">
      <c r="A287" s="46">
        <v>2016</v>
      </c>
      <c r="B287" s="47" t="s">
        <v>43</v>
      </c>
      <c r="C287" s="35">
        <f t="shared" si="188"/>
        <v>0.62459016393442623</v>
      </c>
      <c r="D287" s="35">
        <f t="shared" si="189"/>
        <v>0.66666666666666663</v>
      </c>
      <c r="E287" s="35">
        <f t="shared" si="190"/>
        <v>0.93688524590163935</v>
      </c>
      <c r="F287" s="92">
        <f t="shared" si="211"/>
        <v>4880</v>
      </c>
      <c r="G287" s="27">
        <f t="shared" si="212"/>
        <v>308</v>
      </c>
      <c r="H287" s="92">
        <f t="shared" si="213"/>
        <v>4572</v>
      </c>
      <c r="I287" s="92">
        <f t="shared" si="214"/>
        <v>3048</v>
      </c>
      <c r="J287" s="27">
        <f t="shared" si="215"/>
        <v>1524</v>
      </c>
      <c r="K287" s="27"/>
      <c r="L287" s="27"/>
      <c r="M287" s="46">
        <v>2016</v>
      </c>
      <c r="N287" s="47" t="s">
        <v>43</v>
      </c>
      <c r="O287" s="35">
        <f t="shared" si="191"/>
        <v>0.77407651715039583</v>
      </c>
      <c r="P287" s="35">
        <f t="shared" si="192"/>
        <v>0.81976947258120847</v>
      </c>
      <c r="Q287" s="35">
        <f t="shared" si="193"/>
        <v>0.94426121372031657</v>
      </c>
      <c r="R287" s="27">
        <v>3032</v>
      </c>
      <c r="S287" s="27">
        <f t="shared" si="216"/>
        <v>169</v>
      </c>
      <c r="T287" s="27">
        <v>2863</v>
      </c>
      <c r="U287" s="27">
        <v>2347</v>
      </c>
      <c r="V287" s="27">
        <f t="shared" si="217"/>
        <v>516</v>
      </c>
      <c r="W287" s="27"/>
      <c r="X287" s="27"/>
      <c r="Y287" s="46">
        <v>2016</v>
      </c>
      <c r="Z287" s="47" t="s">
        <v>43</v>
      </c>
      <c r="AA287" s="35">
        <f t="shared" si="194"/>
        <v>0.322265625</v>
      </c>
      <c r="AB287" s="35">
        <f t="shared" si="195"/>
        <v>0.34957627118644069</v>
      </c>
      <c r="AC287" s="35">
        <f t="shared" si="196"/>
        <v>0.921875</v>
      </c>
      <c r="AD287" s="27">
        <v>1536</v>
      </c>
      <c r="AE287" s="27">
        <f t="shared" si="218"/>
        <v>120</v>
      </c>
      <c r="AF287" s="27">
        <v>1416</v>
      </c>
      <c r="AG287" s="27">
        <v>495</v>
      </c>
      <c r="AH287" s="27">
        <f t="shared" si="219"/>
        <v>921</v>
      </c>
      <c r="AI287" s="27"/>
      <c r="AJ287" s="27"/>
      <c r="AK287" s="46">
        <v>2016</v>
      </c>
      <c r="AL287" s="47" t="s">
        <v>43</v>
      </c>
      <c r="AM287" s="35">
        <f t="shared" si="197"/>
        <v>0.66025641025641024</v>
      </c>
      <c r="AN287" s="35">
        <f t="shared" si="198"/>
        <v>0.70307167235494883</v>
      </c>
      <c r="AO287" s="35">
        <f t="shared" si="199"/>
        <v>0.9391025641025641</v>
      </c>
      <c r="AP287" s="27">
        <v>312</v>
      </c>
      <c r="AQ287" s="27">
        <f t="shared" si="220"/>
        <v>19</v>
      </c>
      <c r="AR287" s="27">
        <v>293</v>
      </c>
      <c r="AS287" s="27">
        <v>206</v>
      </c>
      <c r="AT287" s="27">
        <f t="shared" si="221"/>
        <v>87</v>
      </c>
      <c r="AU287" s="27"/>
      <c r="AV287" s="27"/>
      <c r="AW287" s="46"/>
      <c r="AX287" s="47"/>
      <c r="AY287" s="35"/>
      <c r="AZ287" s="35"/>
      <c r="BA287" s="35"/>
    </row>
    <row r="288" spans="1:53" s="29" customFormat="1" ht="12.75">
      <c r="A288" s="45">
        <v>2016</v>
      </c>
      <c r="B288" s="48" t="s">
        <v>44</v>
      </c>
      <c r="C288" s="35">
        <f t="shared" si="188"/>
        <v>0.60674381484437345</v>
      </c>
      <c r="D288" s="35">
        <f t="shared" si="189"/>
        <v>0.64923142613151152</v>
      </c>
      <c r="E288" s="35">
        <f t="shared" si="190"/>
        <v>0.93455706304868313</v>
      </c>
      <c r="F288" s="92">
        <f t="shared" si="211"/>
        <v>5012</v>
      </c>
      <c r="G288" s="27">
        <f t="shared" si="212"/>
        <v>328</v>
      </c>
      <c r="H288" s="92">
        <f t="shared" si="213"/>
        <v>4684</v>
      </c>
      <c r="I288" s="92">
        <f t="shared" si="214"/>
        <v>3041</v>
      </c>
      <c r="J288" s="27">
        <f t="shared" si="215"/>
        <v>1643</v>
      </c>
      <c r="K288" s="27"/>
      <c r="L288" s="27"/>
      <c r="M288" s="45">
        <v>2016</v>
      </c>
      <c r="N288" s="48" t="s">
        <v>44</v>
      </c>
      <c r="O288" s="35">
        <f t="shared" si="191"/>
        <v>0.73101673101673104</v>
      </c>
      <c r="P288" s="35">
        <f t="shared" si="192"/>
        <v>0.77095351204614859</v>
      </c>
      <c r="Q288" s="35">
        <f t="shared" si="193"/>
        <v>0.94819819819819817</v>
      </c>
      <c r="R288" s="27">
        <v>3108</v>
      </c>
      <c r="S288" s="27">
        <f t="shared" si="216"/>
        <v>161</v>
      </c>
      <c r="T288" s="27">
        <v>2947</v>
      </c>
      <c r="U288" s="27">
        <v>2272</v>
      </c>
      <c r="V288" s="27">
        <f t="shared" si="217"/>
        <v>675</v>
      </c>
      <c r="W288" s="27"/>
      <c r="X288" s="27"/>
      <c r="Y288" s="45">
        <v>2016</v>
      </c>
      <c r="Z288" s="48" t="s">
        <v>44</v>
      </c>
      <c r="AA288" s="35">
        <f t="shared" si="194"/>
        <v>0.36012658227848099</v>
      </c>
      <c r="AB288" s="35">
        <f t="shared" si="195"/>
        <v>0.38628649015614391</v>
      </c>
      <c r="AC288" s="35">
        <f t="shared" si="196"/>
        <v>0.9322784810126582</v>
      </c>
      <c r="AD288" s="27">
        <v>1580</v>
      </c>
      <c r="AE288" s="27">
        <f t="shared" si="218"/>
        <v>107</v>
      </c>
      <c r="AF288" s="27">
        <v>1473</v>
      </c>
      <c r="AG288" s="27">
        <v>569</v>
      </c>
      <c r="AH288" s="27">
        <f t="shared" si="219"/>
        <v>904</v>
      </c>
      <c r="AI288" s="27"/>
      <c r="AJ288" s="27"/>
      <c r="AK288" s="45">
        <v>2016</v>
      </c>
      <c r="AL288" s="48" t="s">
        <v>44</v>
      </c>
      <c r="AM288" s="35">
        <f t="shared" si="197"/>
        <v>0.61728395061728392</v>
      </c>
      <c r="AN288" s="35">
        <f t="shared" si="198"/>
        <v>0.75757575757575757</v>
      </c>
      <c r="AO288" s="35">
        <f t="shared" si="199"/>
        <v>0.81481481481481477</v>
      </c>
      <c r="AP288" s="27">
        <v>324</v>
      </c>
      <c r="AQ288" s="27">
        <f t="shared" si="220"/>
        <v>60</v>
      </c>
      <c r="AR288" s="27">
        <v>264</v>
      </c>
      <c r="AS288" s="27">
        <v>200</v>
      </c>
      <c r="AT288" s="27">
        <f t="shared" si="221"/>
        <v>64</v>
      </c>
      <c r="AU288" s="27"/>
      <c r="AV288" s="27"/>
      <c r="AW288" s="45"/>
      <c r="AX288" s="48"/>
      <c r="AY288" s="35"/>
      <c r="AZ288" s="35"/>
      <c r="BA288" s="35"/>
    </row>
    <row r="289" spans="1:53" s="29" customFormat="1" ht="12.75">
      <c r="A289" s="46">
        <v>2016</v>
      </c>
      <c r="B289" s="47" t="s">
        <v>45</v>
      </c>
      <c r="C289" s="35">
        <f t="shared" si="188"/>
        <v>0.58113948919449898</v>
      </c>
      <c r="D289" s="35">
        <f t="shared" si="189"/>
        <v>0.62273684210526314</v>
      </c>
      <c r="E289" s="35">
        <f t="shared" si="190"/>
        <v>0.93320235756385073</v>
      </c>
      <c r="F289" s="92">
        <f t="shared" si="211"/>
        <v>5090</v>
      </c>
      <c r="G289" s="27">
        <f t="shared" si="212"/>
        <v>340</v>
      </c>
      <c r="H289" s="92">
        <f t="shared" si="213"/>
        <v>4750</v>
      </c>
      <c r="I289" s="92">
        <f t="shared" si="214"/>
        <v>2958</v>
      </c>
      <c r="J289" s="27">
        <f t="shared" si="215"/>
        <v>1792</v>
      </c>
      <c r="K289" s="27"/>
      <c r="L289" s="27"/>
      <c r="M289" s="46">
        <v>2016</v>
      </c>
      <c r="N289" s="47" t="s">
        <v>45</v>
      </c>
      <c r="O289" s="35">
        <f t="shared" si="191"/>
        <v>0.70523329129886503</v>
      </c>
      <c r="P289" s="35">
        <f t="shared" si="192"/>
        <v>0.75985054347826086</v>
      </c>
      <c r="Q289" s="35">
        <f t="shared" si="193"/>
        <v>0.92812105926860022</v>
      </c>
      <c r="R289" s="27">
        <v>3172</v>
      </c>
      <c r="S289" s="27">
        <f t="shared" si="216"/>
        <v>228</v>
      </c>
      <c r="T289" s="27">
        <v>2944</v>
      </c>
      <c r="U289" s="27">
        <v>2237</v>
      </c>
      <c r="V289" s="27">
        <f t="shared" si="217"/>
        <v>707</v>
      </c>
      <c r="W289" s="27"/>
      <c r="X289" s="27"/>
      <c r="Y289" s="46">
        <v>2016</v>
      </c>
      <c r="Z289" s="47" t="s">
        <v>45</v>
      </c>
      <c r="AA289" s="35">
        <f t="shared" si="194"/>
        <v>0.31914893617021278</v>
      </c>
      <c r="AB289" s="35">
        <f t="shared" si="195"/>
        <v>0.34136546184738958</v>
      </c>
      <c r="AC289" s="35">
        <f t="shared" si="196"/>
        <v>0.93491864831038796</v>
      </c>
      <c r="AD289" s="27">
        <v>1598</v>
      </c>
      <c r="AE289" s="27">
        <f t="shared" si="218"/>
        <v>104</v>
      </c>
      <c r="AF289" s="27">
        <v>1494</v>
      </c>
      <c r="AG289" s="27">
        <v>510</v>
      </c>
      <c r="AH289" s="27">
        <f t="shared" si="219"/>
        <v>984</v>
      </c>
      <c r="AI289" s="27"/>
      <c r="AJ289" s="27"/>
      <c r="AK289" s="46">
        <v>2016</v>
      </c>
      <c r="AL289" s="47" t="s">
        <v>45</v>
      </c>
      <c r="AM289" s="35">
        <f t="shared" si="197"/>
        <v>0.65937500000000004</v>
      </c>
      <c r="AN289" s="35">
        <f t="shared" si="198"/>
        <v>0.67628205128205132</v>
      </c>
      <c r="AO289" s="35">
        <f t="shared" si="199"/>
        <v>0.97499999999999998</v>
      </c>
      <c r="AP289" s="27">
        <v>320</v>
      </c>
      <c r="AQ289" s="27">
        <f t="shared" si="220"/>
        <v>8</v>
      </c>
      <c r="AR289" s="27">
        <v>312</v>
      </c>
      <c r="AS289" s="27">
        <v>211</v>
      </c>
      <c r="AT289" s="27">
        <f t="shared" si="221"/>
        <v>101</v>
      </c>
      <c r="AU289" s="27"/>
      <c r="AV289" s="27"/>
      <c r="AW289" s="46"/>
      <c r="AX289" s="47"/>
      <c r="AY289" s="35"/>
      <c r="AZ289" s="35"/>
      <c r="BA289" s="35"/>
    </row>
    <row r="290" spans="1:53" s="29" customFormat="1" ht="12.75">
      <c r="A290" s="45">
        <v>2016</v>
      </c>
      <c r="B290" s="48" t="s">
        <v>46</v>
      </c>
      <c r="C290" s="35">
        <f t="shared" si="188"/>
        <v>0.63715207745058489</v>
      </c>
      <c r="D290" s="35">
        <f t="shared" si="189"/>
        <v>0.68008611410118402</v>
      </c>
      <c r="E290" s="35">
        <f t="shared" si="190"/>
        <v>0.9368697055264219</v>
      </c>
      <c r="F290" s="92">
        <f t="shared" si="211"/>
        <v>4958</v>
      </c>
      <c r="G290" s="27">
        <f t="shared" si="212"/>
        <v>313</v>
      </c>
      <c r="H290" s="92">
        <f t="shared" si="213"/>
        <v>4645</v>
      </c>
      <c r="I290" s="92">
        <f t="shared" si="214"/>
        <v>3159</v>
      </c>
      <c r="J290" s="27">
        <f t="shared" si="215"/>
        <v>1486</v>
      </c>
      <c r="K290" s="27"/>
      <c r="L290" s="27"/>
      <c r="M290" s="45">
        <v>2016</v>
      </c>
      <c r="N290" s="48" t="s">
        <v>46</v>
      </c>
      <c r="O290" s="35">
        <f t="shared" si="191"/>
        <v>0.74903100775193798</v>
      </c>
      <c r="P290" s="35">
        <f t="shared" si="192"/>
        <v>0.80576789437109109</v>
      </c>
      <c r="Q290" s="35">
        <f t="shared" si="193"/>
        <v>0.92958656330749356</v>
      </c>
      <c r="R290" s="27">
        <v>3096</v>
      </c>
      <c r="S290" s="27">
        <f t="shared" si="216"/>
        <v>218</v>
      </c>
      <c r="T290" s="27">
        <v>2878</v>
      </c>
      <c r="U290" s="27">
        <v>2319</v>
      </c>
      <c r="V290" s="27">
        <f t="shared" si="217"/>
        <v>559</v>
      </c>
      <c r="W290" s="27"/>
      <c r="X290" s="27"/>
      <c r="Y290" s="45">
        <v>2016</v>
      </c>
      <c r="Z290" s="48" t="s">
        <v>46</v>
      </c>
      <c r="AA290" s="35">
        <f t="shared" si="194"/>
        <v>0.40669240669240669</v>
      </c>
      <c r="AB290" s="35">
        <f t="shared" si="195"/>
        <v>0.42387659289067742</v>
      </c>
      <c r="AC290" s="35">
        <f t="shared" si="196"/>
        <v>0.95945945945945943</v>
      </c>
      <c r="AD290" s="27">
        <v>1554</v>
      </c>
      <c r="AE290" s="27">
        <f t="shared" si="218"/>
        <v>63</v>
      </c>
      <c r="AF290" s="27">
        <v>1491</v>
      </c>
      <c r="AG290" s="27">
        <v>632</v>
      </c>
      <c r="AH290" s="27">
        <f t="shared" si="219"/>
        <v>859</v>
      </c>
      <c r="AI290" s="27"/>
      <c r="AJ290" s="27"/>
      <c r="AK290" s="45">
        <v>2016</v>
      </c>
      <c r="AL290" s="48" t="s">
        <v>46</v>
      </c>
      <c r="AM290" s="35">
        <f t="shared" si="197"/>
        <v>0.67532467532467533</v>
      </c>
      <c r="AN290" s="35">
        <f t="shared" si="198"/>
        <v>0.75362318840579712</v>
      </c>
      <c r="AO290" s="35">
        <f t="shared" si="199"/>
        <v>0.89610389610389607</v>
      </c>
      <c r="AP290" s="27">
        <v>308</v>
      </c>
      <c r="AQ290" s="27">
        <f t="shared" si="220"/>
        <v>32</v>
      </c>
      <c r="AR290" s="27">
        <v>276</v>
      </c>
      <c r="AS290" s="27">
        <v>208</v>
      </c>
      <c r="AT290" s="27">
        <f t="shared" si="221"/>
        <v>68</v>
      </c>
      <c r="AU290" s="27"/>
      <c r="AV290" s="27"/>
      <c r="AW290" s="45"/>
      <c r="AX290" s="48"/>
      <c r="AY290" s="35"/>
      <c r="AZ290" s="35"/>
      <c r="BA290" s="35"/>
    </row>
    <row r="291" spans="1:53" s="29" customFormat="1" ht="12.75">
      <c r="A291" s="46">
        <v>2016</v>
      </c>
      <c r="B291" s="47" t="s">
        <v>47</v>
      </c>
      <c r="C291" s="35">
        <f t="shared" si="188"/>
        <v>0.63820091143253421</v>
      </c>
      <c r="D291" s="35">
        <f t="shared" si="189"/>
        <v>0.72122704881325572</v>
      </c>
      <c r="E291" s="35">
        <f t="shared" si="190"/>
        <v>0.88488210818307911</v>
      </c>
      <c r="F291" s="92">
        <f t="shared" si="211"/>
        <v>5047</v>
      </c>
      <c r="G291" s="27">
        <f t="shared" si="212"/>
        <v>581</v>
      </c>
      <c r="H291" s="92">
        <f t="shared" si="213"/>
        <v>4466</v>
      </c>
      <c r="I291" s="92">
        <f t="shared" si="214"/>
        <v>3221</v>
      </c>
      <c r="J291" s="27">
        <f t="shared" si="215"/>
        <v>1245</v>
      </c>
      <c r="K291" s="27"/>
      <c r="L291" s="27"/>
      <c r="M291" s="46">
        <v>2016</v>
      </c>
      <c r="N291" s="47" t="s">
        <v>47</v>
      </c>
      <c r="O291" s="35">
        <f t="shared" si="191"/>
        <v>0.7455357142857143</v>
      </c>
      <c r="P291" s="35">
        <f t="shared" si="192"/>
        <v>0.85892725936811165</v>
      </c>
      <c r="Q291" s="35">
        <f t="shared" si="193"/>
        <v>0.86798469387755106</v>
      </c>
      <c r="R291" s="27">
        <v>3136</v>
      </c>
      <c r="S291" s="27">
        <f t="shared" si="216"/>
        <v>414</v>
      </c>
      <c r="T291" s="27">
        <v>2722</v>
      </c>
      <c r="U291" s="27">
        <v>2338</v>
      </c>
      <c r="V291" s="27">
        <f t="shared" si="217"/>
        <v>384</v>
      </c>
      <c r="W291" s="27"/>
      <c r="X291" s="27"/>
      <c r="Y291" s="46">
        <v>2016</v>
      </c>
      <c r="Z291" s="47" t="s">
        <v>47</v>
      </c>
      <c r="AA291" s="35">
        <f t="shared" si="194"/>
        <v>0.42794210195091253</v>
      </c>
      <c r="AB291" s="35">
        <f t="shared" si="195"/>
        <v>0.45945945945945948</v>
      </c>
      <c r="AC291" s="35">
        <f t="shared" si="196"/>
        <v>0.93140339836375075</v>
      </c>
      <c r="AD291" s="27">
        <v>1589</v>
      </c>
      <c r="AE291" s="27">
        <f t="shared" si="218"/>
        <v>109</v>
      </c>
      <c r="AF291" s="27">
        <v>1480</v>
      </c>
      <c r="AG291" s="27">
        <v>680</v>
      </c>
      <c r="AH291" s="27">
        <f t="shared" si="219"/>
        <v>800</v>
      </c>
      <c r="AI291" s="27"/>
      <c r="AJ291" s="27"/>
      <c r="AK291" s="46">
        <v>2016</v>
      </c>
      <c r="AL291" s="47" t="s">
        <v>47</v>
      </c>
      <c r="AM291" s="35">
        <f t="shared" si="197"/>
        <v>0.63043478260869568</v>
      </c>
      <c r="AN291" s="35">
        <f t="shared" si="198"/>
        <v>0.76893939393939392</v>
      </c>
      <c r="AO291" s="35">
        <f t="shared" si="199"/>
        <v>0.81987577639751552</v>
      </c>
      <c r="AP291" s="27">
        <v>322</v>
      </c>
      <c r="AQ291" s="27">
        <f t="shared" si="220"/>
        <v>58</v>
      </c>
      <c r="AR291" s="27">
        <v>264</v>
      </c>
      <c r="AS291" s="27">
        <v>203</v>
      </c>
      <c r="AT291" s="27">
        <f t="shared" si="221"/>
        <v>61</v>
      </c>
      <c r="AU291" s="27"/>
      <c r="AV291" s="27"/>
      <c r="AW291" s="46"/>
      <c r="AX291" s="47"/>
      <c r="AY291" s="35"/>
      <c r="AZ291" s="35"/>
      <c r="BA291" s="35"/>
    </row>
    <row r="292" spans="1:53" s="29" customFormat="1" ht="12.75">
      <c r="A292" s="45">
        <v>2016</v>
      </c>
      <c r="B292" s="48" t="s">
        <v>48</v>
      </c>
      <c r="C292" s="35">
        <f t="shared" si="188"/>
        <v>0.6968896117096971</v>
      </c>
      <c r="D292" s="35">
        <f t="shared" si="189"/>
        <v>0.74086881348606004</v>
      </c>
      <c r="E292" s="35">
        <f t="shared" si="190"/>
        <v>0.94063834112624523</v>
      </c>
      <c r="F292" s="92">
        <f t="shared" si="211"/>
        <v>4919</v>
      </c>
      <c r="G292" s="27">
        <f t="shared" si="212"/>
        <v>292</v>
      </c>
      <c r="H292" s="92">
        <f t="shared" si="213"/>
        <v>4627</v>
      </c>
      <c r="I292" s="92">
        <f t="shared" si="214"/>
        <v>3428</v>
      </c>
      <c r="J292" s="27">
        <f t="shared" si="215"/>
        <v>1199</v>
      </c>
      <c r="K292" s="27"/>
      <c r="L292" s="27"/>
      <c r="M292" s="45">
        <v>2016</v>
      </c>
      <c r="N292" s="48" t="s">
        <v>48</v>
      </c>
      <c r="O292" s="35">
        <f t="shared" si="191"/>
        <v>0.81135770234986948</v>
      </c>
      <c r="P292" s="35">
        <f t="shared" si="192"/>
        <v>0.8563554943162246</v>
      </c>
      <c r="Q292" s="35">
        <f t="shared" si="193"/>
        <v>0.94745430809399478</v>
      </c>
      <c r="R292" s="27">
        <v>3064</v>
      </c>
      <c r="S292" s="27">
        <f t="shared" si="216"/>
        <v>161</v>
      </c>
      <c r="T292" s="27">
        <v>2903</v>
      </c>
      <c r="U292" s="27">
        <v>2486</v>
      </c>
      <c r="V292" s="27">
        <f t="shared" si="217"/>
        <v>417</v>
      </c>
      <c r="W292" s="27"/>
      <c r="X292" s="27"/>
      <c r="Y292" s="45">
        <v>2016</v>
      </c>
      <c r="Z292" s="48" t="s">
        <v>48</v>
      </c>
      <c r="AA292" s="35">
        <f t="shared" si="194"/>
        <v>0.47766990291262135</v>
      </c>
      <c r="AB292" s="35">
        <f t="shared" si="195"/>
        <v>0.51214434420541288</v>
      </c>
      <c r="AC292" s="35">
        <f t="shared" si="196"/>
        <v>0.93268608414239484</v>
      </c>
      <c r="AD292" s="27">
        <v>1545</v>
      </c>
      <c r="AE292" s="27">
        <f t="shared" si="218"/>
        <v>104</v>
      </c>
      <c r="AF292" s="27">
        <v>1441</v>
      </c>
      <c r="AG292" s="27">
        <v>738</v>
      </c>
      <c r="AH292" s="27">
        <f t="shared" si="219"/>
        <v>703</v>
      </c>
      <c r="AI292" s="27"/>
      <c r="AJ292" s="27"/>
      <c r="AK292" s="45">
        <v>2016</v>
      </c>
      <c r="AL292" s="48" t="s">
        <v>48</v>
      </c>
      <c r="AM292" s="35">
        <f t="shared" si="197"/>
        <v>0.65806451612903227</v>
      </c>
      <c r="AN292" s="35">
        <f t="shared" si="198"/>
        <v>0.72084805653710249</v>
      </c>
      <c r="AO292" s="35">
        <f t="shared" si="199"/>
        <v>0.91290322580645167</v>
      </c>
      <c r="AP292" s="27">
        <v>310</v>
      </c>
      <c r="AQ292" s="27">
        <f t="shared" si="220"/>
        <v>27</v>
      </c>
      <c r="AR292" s="27">
        <v>283</v>
      </c>
      <c r="AS292" s="27">
        <v>204</v>
      </c>
      <c r="AT292" s="27">
        <f t="shared" si="221"/>
        <v>79</v>
      </c>
      <c r="AU292" s="27"/>
      <c r="AV292" s="27"/>
      <c r="AW292" s="45"/>
      <c r="AX292" s="48"/>
      <c r="AY292" s="35"/>
      <c r="AZ292" s="35"/>
      <c r="BA292" s="35"/>
    </row>
    <row r="293" spans="1:53" s="29" customFormat="1" ht="12.75">
      <c r="A293" s="46">
        <v>2016</v>
      </c>
      <c r="B293" s="47" t="s">
        <v>49</v>
      </c>
      <c r="C293" s="35">
        <f t="shared" si="188"/>
        <v>0.71111551416683183</v>
      </c>
      <c r="D293" s="35">
        <f t="shared" si="189"/>
        <v>0.7641047477113051</v>
      </c>
      <c r="E293" s="35">
        <f t="shared" si="190"/>
        <v>0.93065187239944525</v>
      </c>
      <c r="F293" s="92">
        <f t="shared" si="211"/>
        <v>5047</v>
      </c>
      <c r="G293" s="27">
        <f t="shared" si="212"/>
        <v>350</v>
      </c>
      <c r="H293" s="92">
        <f t="shared" si="213"/>
        <v>4697</v>
      </c>
      <c r="I293" s="92">
        <f t="shared" si="214"/>
        <v>3589</v>
      </c>
      <c r="J293" s="27">
        <f t="shared" si="215"/>
        <v>1108</v>
      </c>
      <c r="K293" s="27"/>
      <c r="L293" s="27"/>
      <c r="M293" s="46">
        <v>2016</v>
      </c>
      <c r="N293" s="47" t="s">
        <v>49</v>
      </c>
      <c r="O293" s="35">
        <f t="shared" si="191"/>
        <v>0.78667091836734693</v>
      </c>
      <c r="P293" s="35">
        <f t="shared" si="192"/>
        <v>0.8509830976198689</v>
      </c>
      <c r="Q293" s="35">
        <f t="shared" si="193"/>
        <v>0.92442602040816324</v>
      </c>
      <c r="R293" s="27">
        <v>3136</v>
      </c>
      <c r="S293" s="27">
        <f t="shared" si="216"/>
        <v>237</v>
      </c>
      <c r="T293" s="27">
        <v>2899</v>
      </c>
      <c r="U293" s="27">
        <v>2467</v>
      </c>
      <c r="V293" s="27">
        <f t="shared" si="217"/>
        <v>432</v>
      </c>
      <c r="W293" s="27"/>
      <c r="X293" s="27"/>
      <c r="Y293" s="46">
        <v>2016</v>
      </c>
      <c r="Z293" s="47" t="s">
        <v>49</v>
      </c>
      <c r="AA293" s="35">
        <f t="shared" si="194"/>
        <v>0.5676526117054751</v>
      </c>
      <c r="AB293" s="35">
        <f t="shared" si="195"/>
        <v>0.60133333333333339</v>
      </c>
      <c r="AC293" s="35">
        <f t="shared" si="196"/>
        <v>0.94398993077407178</v>
      </c>
      <c r="AD293" s="27">
        <v>1589</v>
      </c>
      <c r="AE293" s="27">
        <f t="shared" si="218"/>
        <v>89</v>
      </c>
      <c r="AF293" s="27">
        <v>1500</v>
      </c>
      <c r="AG293" s="27">
        <v>902</v>
      </c>
      <c r="AH293" s="27">
        <f t="shared" si="219"/>
        <v>598</v>
      </c>
      <c r="AI293" s="27"/>
      <c r="AJ293" s="27"/>
      <c r="AK293" s="46">
        <v>2016</v>
      </c>
      <c r="AL293" s="47" t="s">
        <v>49</v>
      </c>
      <c r="AM293" s="35">
        <f t="shared" si="197"/>
        <v>0.68322981366459623</v>
      </c>
      <c r="AN293" s="35">
        <f t="shared" si="198"/>
        <v>0.73825503355704702</v>
      </c>
      <c r="AO293" s="35">
        <f t="shared" si="199"/>
        <v>0.92546583850931674</v>
      </c>
      <c r="AP293" s="27">
        <v>322</v>
      </c>
      <c r="AQ293" s="27">
        <f t="shared" si="220"/>
        <v>24</v>
      </c>
      <c r="AR293" s="27">
        <v>298</v>
      </c>
      <c r="AS293" s="27">
        <v>220</v>
      </c>
      <c r="AT293" s="27">
        <f t="shared" si="221"/>
        <v>78</v>
      </c>
      <c r="AU293" s="27"/>
      <c r="AV293" s="27"/>
      <c r="AW293" s="46"/>
      <c r="AX293" s="47"/>
      <c r="AY293" s="35"/>
      <c r="AZ293" s="35"/>
      <c r="BA293" s="35"/>
    </row>
    <row r="294" spans="1:53" s="29" customFormat="1" ht="12.75">
      <c r="A294" s="45">
        <v>2017</v>
      </c>
      <c r="B294" s="48" t="s">
        <v>38</v>
      </c>
      <c r="C294" s="35">
        <f t="shared" si="188"/>
        <v>0.731237721021611</v>
      </c>
      <c r="D294" s="35">
        <f t="shared" si="189"/>
        <v>0.76837324525185802</v>
      </c>
      <c r="E294" s="35">
        <f t="shared" si="190"/>
        <v>0.95166994106090375</v>
      </c>
      <c r="F294" s="92">
        <f t="shared" ref="F294:F305" si="222">+R294+AD294+AP294</f>
        <v>5090</v>
      </c>
      <c r="G294" s="27">
        <f t="shared" ref="G294:G305" si="223">F294-H294</f>
        <v>246</v>
      </c>
      <c r="H294" s="92">
        <f t="shared" ref="H294:H305" si="224">+T294+AF294+AR294</f>
        <v>4844</v>
      </c>
      <c r="I294" s="92">
        <f t="shared" ref="I294:I305" si="225">+U294+AG294+AS294</f>
        <v>3722</v>
      </c>
      <c r="J294" s="27">
        <f t="shared" ref="J294:J305" si="226">H294-I294</f>
        <v>1122</v>
      </c>
      <c r="K294" s="27"/>
      <c r="L294" s="27"/>
      <c r="M294" s="45">
        <v>2017</v>
      </c>
      <c r="N294" s="48" t="s">
        <v>38</v>
      </c>
      <c r="O294" s="35">
        <f t="shared" si="191"/>
        <v>0.83448928121059274</v>
      </c>
      <c r="P294" s="35">
        <f t="shared" si="192"/>
        <v>0.86588158325155384</v>
      </c>
      <c r="Q294" s="35">
        <f t="shared" si="193"/>
        <v>0.96374527112232033</v>
      </c>
      <c r="R294" s="27">
        <v>3172</v>
      </c>
      <c r="S294" s="27">
        <f t="shared" ref="S294:S305" si="227">R294-T294</f>
        <v>115</v>
      </c>
      <c r="T294" s="27">
        <v>3057</v>
      </c>
      <c r="U294" s="27">
        <v>2647</v>
      </c>
      <c r="V294" s="27">
        <f t="shared" ref="V294:V305" si="228">T294-U294</f>
        <v>410</v>
      </c>
      <c r="W294" s="27"/>
      <c r="X294" s="27"/>
      <c r="Y294" s="45">
        <v>2017</v>
      </c>
      <c r="Z294" s="48" t="s">
        <v>38</v>
      </c>
      <c r="AA294" s="35">
        <f t="shared" si="194"/>
        <v>0.5262828535669587</v>
      </c>
      <c r="AB294" s="35">
        <f t="shared" si="195"/>
        <v>0.55732273028495694</v>
      </c>
      <c r="AC294" s="35">
        <f t="shared" si="196"/>
        <v>0.94430538172715894</v>
      </c>
      <c r="AD294" s="27">
        <v>1598</v>
      </c>
      <c r="AE294" s="27">
        <f t="shared" ref="AE294:AE305" si="229">AD294-AF294</f>
        <v>89</v>
      </c>
      <c r="AF294" s="27">
        <v>1509</v>
      </c>
      <c r="AG294" s="27">
        <v>841</v>
      </c>
      <c r="AH294" s="27">
        <f t="shared" ref="AH294:AH305" si="230">AF294-AG294</f>
        <v>668</v>
      </c>
      <c r="AI294" s="27"/>
      <c r="AJ294" s="27"/>
      <c r="AK294" s="45">
        <v>2017</v>
      </c>
      <c r="AL294" s="48" t="s">
        <v>38</v>
      </c>
      <c r="AM294" s="35">
        <f t="shared" si="197"/>
        <v>0.73124999999999996</v>
      </c>
      <c r="AN294" s="35">
        <f t="shared" si="198"/>
        <v>0.84172661870503596</v>
      </c>
      <c r="AO294" s="35">
        <f t="shared" si="199"/>
        <v>0.86875000000000002</v>
      </c>
      <c r="AP294" s="27">
        <v>320</v>
      </c>
      <c r="AQ294" s="27">
        <f t="shared" ref="AQ294:AQ301" si="231">AP294-AR294</f>
        <v>42</v>
      </c>
      <c r="AR294" s="27">
        <v>278</v>
      </c>
      <c r="AS294" s="27">
        <v>234</v>
      </c>
      <c r="AT294" s="27">
        <f t="shared" ref="AT294:AT301" si="232">AR294-AS294</f>
        <v>44</v>
      </c>
      <c r="AU294" s="27"/>
      <c r="AV294" s="27"/>
      <c r="AW294" s="45"/>
      <c r="AX294" s="48"/>
      <c r="AY294" s="35"/>
      <c r="AZ294" s="35"/>
      <c r="BA294" s="35"/>
    </row>
    <row r="295" spans="1:53" s="29" customFormat="1" ht="12.75">
      <c r="A295" s="46">
        <v>2017</v>
      </c>
      <c r="B295" s="47" t="s">
        <v>39</v>
      </c>
      <c r="C295" s="35">
        <f t="shared" si="188"/>
        <v>0.73975319524019389</v>
      </c>
      <c r="D295" s="35">
        <f t="shared" si="189"/>
        <v>0.78033472803347281</v>
      </c>
      <c r="E295" s="35">
        <f t="shared" si="190"/>
        <v>0.94799471132657553</v>
      </c>
      <c r="F295" s="92">
        <f t="shared" si="222"/>
        <v>4538</v>
      </c>
      <c r="G295" s="27">
        <f t="shared" si="223"/>
        <v>236</v>
      </c>
      <c r="H295" s="92">
        <f t="shared" si="224"/>
        <v>4302</v>
      </c>
      <c r="I295" s="92">
        <f t="shared" si="225"/>
        <v>3357</v>
      </c>
      <c r="J295" s="27">
        <f t="shared" si="226"/>
        <v>945</v>
      </c>
      <c r="K295" s="27"/>
      <c r="L295" s="27"/>
      <c r="M295" s="46">
        <v>2017</v>
      </c>
      <c r="N295" s="47" t="s">
        <v>39</v>
      </c>
      <c r="O295" s="35">
        <f t="shared" si="191"/>
        <v>0.86186079545454541</v>
      </c>
      <c r="P295" s="35">
        <f t="shared" si="192"/>
        <v>0.89988876529477202</v>
      </c>
      <c r="Q295" s="35">
        <f t="shared" si="193"/>
        <v>0.95774147727272729</v>
      </c>
      <c r="R295" s="27">
        <v>2816</v>
      </c>
      <c r="S295" s="27">
        <f t="shared" si="227"/>
        <v>119</v>
      </c>
      <c r="T295" s="27">
        <v>2697</v>
      </c>
      <c r="U295" s="27">
        <v>2427</v>
      </c>
      <c r="V295" s="27">
        <f t="shared" si="228"/>
        <v>270</v>
      </c>
      <c r="W295" s="27"/>
      <c r="X295" s="27"/>
      <c r="Y295" s="46">
        <v>2017</v>
      </c>
      <c r="Z295" s="47" t="s">
        <v>39</v>
      </c>
      <c r="AA295" s="35">
        <f t="shared" si="194"/>
        <v>0.52657342657342654</v>
      </c>
      <c r="AB295" s="35">
        <f t="shared" si="195"/>
        <v>0.55164835164835169</v>
      </c>
      <c r="AC295" s="35">
        <f t="shared" si="196"/>
        <v>0.95454545454545459</v>
      </c>
      <c r="AD295" s="27">
        <v>1430</v>
      </c>
      <c r="AE295" s="27">
        <f t="shared" si="229"/>
        <v>65</v>
      </c>
      <c r="AF295" s="27">
        <v>1365</v>
      </c>
      <c r="AG295" s="27">
        <v>753</v>
      </c>
      <c r="AH295" s="27">
        <f t="shared" si="230"/>
        <v>612</v>
      </c>
      <c r="AI295" s="27"/>
      <c r="AJ295" s="27"/>
      <c r="AK295" s="46">
        <v>2017</v>
      </c>
      <c r="AL295" s="47" t="s">
        <v>39</v>
      </c>
      <c r="AM295" s="35">
        <f t="shared" si="197"/>
        <v>0.60616438356164382</v>
      </c>
      <c r="AN295" s="35">
        <f t="shared" si="198"/>
        <v>0.73750000000000004</v>
      </c>
      <c r="AO295" s="35">
        <f t="shared" si="199"/>
        <v>0.82191780821917804</v>
      </c>
      <c r="AP295" s="27">
        <v>292</v>
      </c>
      <c r="AQ295" s="27">
        <f t="shared" si="231"/>
        <v>52</v>
      </c>
      <c r="AR295" s="27">
        <v>240</v>
      </c>
      <c r="AS295" s="27">
        <v>177</v>
      </c>
      <c r="AT295" s="27">
        <f t="shared" si="232"/>
        <v>63</v>
      </c>
      <c r="AU295" s="27"/>
      <c r="AV295" s="27"/>
      <c r="AW295" s="46"/>
      <c r="AX295" s="47"/>
      <c r="AY295" s="35"/>
      <c r="AZ295" s="35"/>
      <c r="BA295" s="35"/>
    </row>
    <row r="296" spans="1:53" s="29" customFormat="1" ht="12.75">
      <c r="A296" s="45">
        <v>2017</v>
      </c>
      <c r="B296" s="48" t="s">
        <v>40</v>
      </c>
      <c r="C296" s="35">
        <f t="shared" si="188"/>
        <v>0.79135559921414533</v>
      </c>
      <c r="D296" s="35">
        <f t="shared" si="189"/>
        <v>0.82591757227803975</v>
      </c>
      <c r="E296" s="35">
        <f t="shared" si="190"/>
        <v>0.9581532416502947</v>
      </c>
      <c r="F296" s="92">
        <f t="shared" si="222"/>
        <v>5090</v>
      </c>
      <c r="G296" s="27">
        <f t="shared" si="223"/>
        <v>213</v>
      </c>
      <c r="H296" s="92">
        <f t="shared" si="224"/>
        <v>4877</v>
      </c>
      <c r="I296" s="92">
        <f t="shared" si="225"/>
        <v>4028</v>
      </c>
      <c r="J296" s="27">
        <f t="shared" si="226"/>
        <v>849</v>
      </c>
      <c r="K296" s="27"/>
      <c r="L296" s="27"/>
      <c r="M296" s="45">
        <v>2017</v>
      </c>
      <c r="N296" s="48" t="s">
        <v>40</v>
      </c>
      <c r="O296" s="35">
        <f t="shared" si="191"/>
        <v>0.87610340479192939</v>
      </c>
      <c r="P296" s="35">
        <f t="shared" si="192"/>
        <v>0.91144637586093802</v>
      </c>
      <c r="Q296" s="35">
        <f t="shared" si="193"/>
        <v>0.96122320302648168</v>
      </c>
      <c r="R296" s="27">
        <v>3172</v>
      </c>
      <c r="S296" s="27">
        <f t="shared" si="227"/>
        <v>123</v>
      </c>
      <c r="T296" s="27">
        <v>3049</v>
      </c>
      <c r="U296" s="27">
        <v>2779</v>
      </c>
      <c r="V296" s="27">
        <f t="shared" si="228"/>
        <v>270</v>
      </c>
      <c r="W296" s="27"/>
      <c r="X296" s="27"/>
      <c r="Y296" s="45">
        <v>2017</v>
      </c>
      <c r="Z296" s="48" t="s">
        <v>40</v>
      </c>
      <c r="AA296" s="35">
        <f t="shared" si="194"/>
        <v>0.62640801001251567</v>
      </c>
      <c r="AB296" s="35">
        <f t="shared" si="195"/>
        <v>0.65639344262295085</v>
      </c>
      <c r="AC296" s="35">
        <f t="shared" si="196"/>
        <v>0.95431789737171469</v>
      </c>
      <c r="AD296" s="27">
        <v>1598</v>
      </c>
      <c r="AE296" s="27">
        <f t="shared" si="229"/>
        <v>73</v>
      </c>
      <c r="AF296" s="27">
        <v>1525</v>
      </c>
      <c r="AG296" s="27">
        <v>1001</v>
      </c>
      <c r="AH296" s="27">
        <f t="shared" si="230"/>
        <v>524</v>
      </c>
      <c r="AI296" s="27"/>
      <c r="AJ296" s="27"/>
      <c r="AK296" s="45">
        <v>2017</v>
      </c>
      <c r="AL296" s="48" t="s">
        <v>40</v>
      </c>
      <c r="AM296" s="35">
        <f t="shared" si="197"/>
        <v>0.77500000000000002</v>
      </c>
      <c r="AN296" s="35">
        <f t="shared" si="198"/>
        <v>0.81848184818481851</v>
      </c>
      <c r="AO296" s="35">
        <f t="shared" si="199"/>
        <v>0.94687500000000002</v>
      </c>
      <c r="AP296" s="27">
        <v>320</v>
      </c>
      <c r="AQ296" s="27">
        <f t="shared" si="231"/>
        <v>17</v>
      </c>
      <c r="AR296" s="27">
        <v>303</v>
      </c>
      <c r="AS296" s="27">
        <v>248</v>
      </c>
      <c r="AT296" s="27">
        <f t="shared" si="232"/>
        <v>55</v>
      </c>
      <c r="AU296" s="27"/>
      <c r="AV296" s="27"/>
      <c r="AW296" s="45"/>
      <c r="AX296" s="48"/>
      <c r="AY296" s="35"/>
      <c r="AZ296" s="35"/>
      <c r="BA296" s="35"/>
    </row>
    <row r="297" spans="1:53" s="29" customFormat="1" ht="12.75">
      <c r="A297" s="46">
        <v>2017</v>
      </c>
      <c r="B297" s="47" t="s">
        <v>41</v>
      </c>
      <c r="C297" s="35">
        <f t="shared" si="188"/>
        <v>0.82374376678174144</v>
      </c>
      <c r="D297" s="35">
        <f t="shared" si="189"/>
        <v>0.89107883817427391</v>
      </c>
      <c r="E297" s="35">
        <f t="shared" si="190"/>
        <v>0.92443421557345606</v>
      </c>
      <c r="F297" s="92">
        <f t="shared" si="222"/>
        <v>5214</v>
      </c>
      <c r="G297" s="27">
        <f t="shared" si="223"/>
        <v>394</v>
      </c>
      <c r="H297" s="92">
        <f t="shared" si="224"/>
        <v>4820</v>
      </c>
      <c r="I297" s="92">
        <f t="shared" si="225"/>
        <v>4295</v>
      </c>
      <c r="J297" s="27">
        <f t="shared" si="226"/>
        <v>525</v>
      </c>
      <c r="K297" s="27"/>
      <c r="L297" s="27"/>
      <c r="M297" s="46">
        <v>2017</v>
      </c>
      <c r="N297" s="47" t="s">
        <v>41</v>
      </c>
      <c r="O297" s="35">
        <f t="shared" si="191"/>
        <v>0.8715796019900498</v>
      </c>
      <c r="P297" s="35">
        <f t="shared" si="192"/>
        <v>0.93339993339993343</v>
      </c>
      <c r="Q297" s="35">
        <f t="shared" si="193"/>
        <v>0.93376865671641796</v>
      </c>
      <c r="R297" s="27">
        <v>3216</v>
      </c>
      <c r="S297" s="27">
        <f t="shared" si="227"/>
        <v>213</v>
      </c>
      <c r="T297" s="27">
        <v>3003</v>
      </c>
      <c r="U297" s="27">
        <v>2803</v>
      </c>
      <c r="V297" s="27">
        <f t="shared" si="228"/>
        <v>200</v>
      </c>
      <c r="W297" s="27"/>
      <c r="X297" s="27"/>
      <c r="Y297" s="46">
        <v>2017</v>
      </c>
      <c r="Z297" s="47" t="s">
        <v>41</v>
      </c>
      <c r="AA297" s="35">
        <f t="shared" si="194"/>
        <v>0.74614472123368925</v>
      </c>
      <c r="AB297" s="35">
        <f t="shared" si="195"/>
        <v>0.81056701030927836</v>
      </c>
      <c r="AC297" s="35">
        <f t="shared" si="196"/>
        <v>0.9205219454329775</v>
      </c>
      <c r="AD297" s="27">
        <v>1686</v>
      </c>
      <c r="AE297" s="27">
        <f t="shared" si="229"/>
        <v>134</v>
      </c>
      <c r="AF297" s="27">
        <v>1552</v>
      </c>
      <c r="AG297" s="27">
        <v>1258</v>
      </c>
      <c r="AH297" s="27">
        <f t="shared" si="230"/>
        <v>294</v>
      </c>
      <c r="AI297" s="27"/>
      <c r="AJ297" s="27"/>
      <c r="AK297" s="46">
        <v>2017</v>
      </c>
      <c r="AL297" s="47" t="s">
        <v>41</v>
      </c>
      <c r="AM297" s="35">
        <f t="shared" si="197"/>
        <v>0.75</v>
      </c>
      <c r="AN297" s="35">
        <f t="shared" si="198"/>
        <v>0.88301886792452833</v>
      </c>
      <c r="AO297" s="35">
        <f t="shared" si="199"/>
        <v>0.84935897435897434</v>
      </c>
      <c r="AP297" s="27">
        <v>312</v>
      </c>
      <c r="AQ297" s="27">
        <f t="shared" si="231"/>
        <v>47</v>
      </c>
      <c r="AR297" s="27">
        <v>265</v>
      </c>
      <c r="AS297" s="27">
        <v>234</v>
      </c>
      <c r="AT297" s="27">
        <f t="shared" si="232"/>
        <v>31</v>
      </c>
      <c r="AU297" s="27"/>
      <c r="AV297" s="27"/>
      <c r="AW297" s="46"/>
      <c r="AX297" s="47"/>
      <c r="AY297" s="35"/>
      <c r="AZ297" s="35"/>
      <c r="BA297" s="35"/>
    </row>
    <row r="298" spans="1:53" s="29" customFormat="1" ht="12.75">
      <c r="A298" s="45">
        <v>2017</v>
      </c>
      <c r="B298" s="48" t="s">
        <v>42</v>
      </c>
      <c r="C298" s="35">
        <f t="shared" si="188"/>
        <v>0.86282858200666424</v>
      </c>
      <c r="D298" s="35">
        <f t="shared" si="189"/>
        <v>0.91141963238169732</v>
      </c>
      <c r="E298" s="35">
        <f t="shared" si="190"/>
        <v>0.94668641243983709</v>
      </c>
      <c r="F298" s="92">
        <f t="shared" si="222"/>
        <v>5402</v>
      </c>
      <c r="G298" s="27">
        <f t="shared" si="223"/>
        <v>288</v>
      </c>
      <c r="H298" s="92">
        <f t="shared" si="224"/>
        <v>5114</v>
      </c>
      <c r="I298" s="92">
        <f t="shared" si="225"/>
        <v>4661</v>
      </c>
      <c r="J298" s="27">
        <f t="shared" si="226"/>
        <v>453</v>
      </c>
      <c r="K298" s="27"/>
      <c r="L298" s="27"/>
      <c r="M298" s="45">
        <v>2017</v>
      </c>
      <c r="N298" s="48" t="s">
        <v>42</v>
      </c>
      <c r="O298" s="35">
        <f t="shared" si="191"/>
        <v>0.88882229547497749</v>
      </c>
      <c r="P298" s="35">
        <f t="shared" si="192"/>
        <v>0.93299779804970118</v>
      </c>
      <c r="Q298" s="35">
        <f t="shared" si="193"/>
        <v>0.95265208270902013</v>
      </c>
      <c r="R298" s="27">
        <v>3337</v>
      </c>
      <c r="S298" s="27">
        <f t="shared" si="227"/>
        <v>158</v>
      </c>
      <c r="T298" s="27">
        <v>3179</v>
      </c>
      <c r="U298" s="27">
        <v>2966</v>
      </c>
      <c r="V298" s="27">
        <f t="shared" si="228"/>
        <v>213</v>
      </c>
      <c r="W298" s="27"/>
      <c r="X298" s="27"/>
      <c r="Y298" s="45">
        <v>2017</v>
      </c>
      <c r="Z298" s="48" t="s">
        <v>42</v>
      </c>
      <c r="AA298" s="35">
        <f t="shared" si="194"/>
        <v>0.82329317269076308</v>
      </c>
      <c r="AB298" s="35">
        <f t="shared" si="195"/>
        <v>0.87181044957472664</v>
      </c>
      <c r="AC298" s="35">
        <f t="shared" si="196"/>
        <v>0.94434882386689611</v>
      </c>
      <c r="AD298" s="27">
        <v>1743</v>
      </c>
      <c r="AE298" s="27">
        <f t="shared" si="229"/>
        <v>97</v>
      </c>
      <c r="AF298" s="27">
        <v>1646</v>
      </c>
      <c r="AG298" s="27">
        <v>1435</v>
      </c>
      <c r="AH298" s="27">
        <f t="shared" si="230"/>
        <v>211</v>
      </c>
      <c r="AI298" s="27"/>
      <c r="AJ298" s="27"/>
      <c r="AK298" s="45">
        <v>2017</v>
      </c>
      <c r="AL298" s="48" t="s">
        <v>42</v>
      </c>
      <c r="AM298" s="35">
        <f t="shared" si="197"/>
        <v>0.80745341614906829</v>
      </c>
      <c r="AN298" s="35">
        <f t="shared" si="198"/>
        <v>0.89965397923875434</v>
      </c>
      <c r="AO298" s="35">
        <f t="shared" si="199"/>
        <v>0.89751552795031053</v>
      </c>
      <c r="AP298" s="27">
        <v>322</v>
      </c>
      <c r="AQ298" s="27">
        <f t="shared" si="231"/>
        <v>33</v>
      </c>
      <c r="AR298" s="27">
        <v>289</v>
      </c>
      <c r="AS298" s="27">
        <v>260</v>
      </c>
      <c r="AT298" s="27">
        <f t="shared" si="232"/>
        <v>29</v>
      </c>
      <c r="AU298" s="27"/>
      <c r="AV298" s="27"/>
      <c r="AW298" s="45"/>
      <c r="AX298" s="48"/>
      <c r="AY298" s="35"/>
      <c r="AZ298" s="35"/>
      <c r="BA298" s="35"/>
    </row>
    <row r="299" spans="1:53" s="29" customFormat="1" ht="12.75">
      <c r="A299" s="46">
        <v>2017</v>
      </c>
      <c r="B299" s="47" t="s">
        <v>43</v>
      </c>
      <c r="C299" s="35">
        <f t="shared" si="188"/>
        <v>0.8835918054757802</v>
      </c>
      <c r="D299" s="35">
        <f t="shared" si="189"/>
        <v>0.92969379532634977</v>
      </c>
      <c r="E299" s="35">
        <f t="shared" si="190"/>
        <v>0.9504116408194524</v>
      </c>
      <c r="F299" s="92">
        <f t="shared" si="222"/>
        <v>5223</v>
      </c>
      <c r="G299" s="27">
        <f t="shared" si="223"/>
        <v>259</v>
      </c>
      <c r="H299" s="92">
        <f t="shared" si="224"/>
        <v>4964</v>
      </c>
      <c r="I299" s="92">
        <f t="shared" si="225"/>
        <v>4615</v>
      </c>
      <c r="J299" s="27">
        <f t="shared" si="226"/>
        <v>349</v>
      </c>
      <c r="K299" s="27"/>
      <c r="L299" s="27"/>
      <c r="M299" s="46">
        <v>2017</v>
      </c>
      <c r="N299" s="47" t="s">
        <v>43</v>
      </c>
      <c r="O299" s="35">
        <f t="shared" si="191"/>
        <v>0.8998449612403101</v>
      </c>
      <c r="P299" s="35">
        <f t="shared" si="192"/>
        <v>0.94836601307189539</v>
      </c>
      <c r="Q299" s="35">
        <f t="shared" si="193"/>
        <v>0.94883720930232562</v>
      </c>
      <c r="R299" s="27">
        <v>3225</v>
      </c>
      <c r="S299" s="27">
        <f t="shared" si="227"/>
        <v>165</v>
      </c>
      <c r="T299" s="27">
        <v>3060</v>
      </c>
      <c r="U299" s="27">
        <v>2902</v>
      </c>
      <c r="V299" s="27">
        <f t="shared" si="228"/>
        <v>158</v>
      </c>
      <c r="W299" s="27"/>
      <c r="X299" s="27"/>
      <c r="Y299" s="46">
        <v>2017</v>
      </c>
      <c r="Z299" s="47" t="s">
        <v>43</v>
      </c>
      <c r="AA299" s="35">
        <f t="shared" si="194"/>
        <v>0.85943060498220636</v>
      </c>
      <c r="AB299" s="35">
        <f t="shared" si="195"/>
        <v>0.89555006180469721</v>
      </c>
      <c r="AC299" s="35">
        <f t="shared" si="196"/>
        <v>0.95966785290628709</v>
      </c>
      <c r="AD299" s="27">
        <v>1686</v>
      </c>
      <c r="AE299" s="27">
        <f t="shared" si="229"/>
        <v>68</v>
      </c>
      <c r="AF299" s="27">
        <v>1618</v>
      </c>
      <c r="AG299" s="27">
        <v>1449</v>
      </c>
      <c r="AH299" s="27">
        <f t="shared" si="230"/>
        <v>169</v>
      </c>
      <c r="AI299" s="27"/>
      <c r="AJ299" s="27"/>
      <c r="AK299" s="46">
        <v>2017</v>
      </c>
      <c r="AL299" s="47" t="s">
        <v>43</v>
      </c>
      <c r="AM299" s="35">
        <f t="shared" si="197"/>
        <v>0.84615384615384615</v>
      </c>
      <c r="AN299" s="35">
        <f t="shared" si="198"/>
        <v>0.92307692307692313</v>
      </c>
      <c r="AO299" s="35">
        <f t="shared" si="199"/>
        <v>0.91666666666666663</v>
      </c>
      <c r="AP299" s="27">
        <v>312</v>
      </c>
      <c r="AQ299" s="27">
        <f t="shared" si="231"/>
        <v>26</v>
      </c>
      <c r="AR299" s="27">
        <v>286</v>
      </c>
      <c r="AS299" s="27">
        <v>264</v>
      </c>
      <c r="AT299" s="27">
        <f t="shared" si="232"/>
        <v>22</v>
      </c>
      <c r="AU299" s="27"/>
      <c r="AV299" s="27"/>
      <c r="AW299" s="46"/>
      <c r="AX299" s="47"/>
      <c r="AY299" s="35"/>
      <c r="AZ299" s="35"/>
      <c r="BA299" s="35"/>
    </row>
    <row r="300" spans="1:53" s="29" customFormat="1" ht="12.75">
      <c r="A300" s="45">
        <v>2017</v>
      </c>
      <c r="B300" s="48" t="s">
        <v>44</v>
      </c>
      <c r="C300" s="35">
        <f t="shared" si="188"/>
        <v>0.86389553062350566</v>
      </c>
      <c r="D300" s="35">
        <f t="shared" si="189"/>
        <v>0.90728220977400043</v>
      </c>
      <c r="E300" s="35">
        <f t="shared" si="190"/>
        <v>0.95217951075961005</v>
      </c>
      <c r="F300" s="92">
        <f t="shared" si="222"/>
        <v>5437</v>
      </c>
      <c r="G300" s="27">
        <f t="shared" si="223"/>
        <v>260</v>
      </c>
      <c r="H300" s="92">
        <f t="shared" si="224"/>
        <v>5177</v>
      </c>
      <c r="I300" s="92">
        <f t="shared" si="225"/>
        <v>4697</v>
      </c>
      <c r="J300" s="27">
        <f t="shared" si="226"/>
        <v>480</v>
      </c>
      <c r="K300" s="27"/>
      <c r="L300" s="27"/>
      <c r="M300" s="45">
        <v>2017</v>
      </c>
      <c r="N300" s="48" t="s">
        <v>44</v>
      </c>
      <c r="O300" s="35">
        <f t="shared" si="191"/>
        <v>0.89347181008902077</v>
      </c>
      <c r="P300" s="35">
        <f t="shared" si="192"/>
        <v>0.92617656105813595</v>
      </c>
      <c r="Q300" s="35">
        <f t="shared" si="193"/>
        <v>0.96468842729970328</v>
      </c>
      <c r="R300" s="27">
        <v>3370</v>
      </c>
      <c r="S300" s="27">
        <f t="shared" si="227"/>
        <v>119</v>
      </c>
      <c r="T300" s="27">
        <v>3251</v>
      </c>
      <c r="U300" s="27">
        <v>3011</v>
      </c>
      <c r="V300" s="27">
        <f t="shared" si="228"/>
        <v>240</v>
      </c>
      <c r="W300" s="27"/>
      <c r="X300" s="27"/>
      <c r="Y300" s="45">
        <v>2017</v>
      </c>
      <c r="Z300" s="48" t="s">
        <v>44</v>
      </c>
      <c r="AA300" s="35">
        <f t="shared" si="194"/>
        <v>0.84087006296508304</v>
      </c>
      <c r="AB300" s="35">
        <f t="shared" si="195"/>
        <v>0.87753882915173242</v>
      </c>
      <c r="AC300" s="35">
        <f t="shared" si="196"/>
        <v>0.95821408128219809</v>
      </c>
      <c r="AD300" s="27">
        <v>1747</v>
      </c>
      <c r="AE300" s="27">
        <f t="shared" si="229"/>
        <v>73</v>
      </c>
      <c r="AF300" s="27">
        <v>1674</v>
      </c>
      <c r="AG300" s="27">
        <v>1469</v>
      </c>
      <c r="AH300" s="27">
        <f t="shared" si="230"/>
        <v>205</v>
      </c>
      <c r="AI300" s="27"/>
      <c r="AJ300" s="27"/>
      <c r="AK300" s="45">
        <v>2017</v>
      </c>
      <c r="AL300" s="48" t="s">
        <v>44</v>
      </c>
      <c r="AM300" s="35">
        <f t="shared" si="197"/>
        <v>0.67812499999999998</v>
      </c>
      <c r="AN300" s="35">
        <f t="shared" si="198"/>
        <v>0.86111111111111116</v>
      </c>
      <c r="AO300" s="35">
        <f t="shared" si="199"/>
        <v>0.78749999999999998</v>
      </c>
      <c r="AP300" s="27">
        <v>320</v>
      </c>
      <c r="AQ300" s="27">
        <f t="shared" si="231"/>
        <v>68</v>
      </c>
      <c r="AR300" s="27">
        <v>252</v>
      </c>
      <c r="AS300" s="27">
        <v>217</v>
      </c>
      <c r="AT300" s="27">
        <f t="shared" si="232"/>
        <v>35</v>
      </c>
      <c r="AU300" s="27"/>
      <c r="AV300" s="27"/>
      <c r="AW300" s="45"/>
      <c r="AX300" s="48"/>
      <c r="AY300" s="35"/>
      <c r="AZ300" s="35"/>
      <c r="BA300" s="35"/>
    </row>
    <row r="301" spans="1:53" s="29" customFormat="1" ht="12.75">
      <c r="A301" s="46">
        <v>2017</v>
      </c>
      <c r="B301" s="47" t="s">
        <v>45</v>
      </c>
      <c r="C301" s="35">
        <f t="shared" si="188"/>
        <v>0.85404411764705879</v>
      </c>
      <c r="D301" s="35">
        <f t="shared" si="189"/>
        <v>0.93499698128396058</v>
      </c>
      <c r="E301" s="35">
        <f t="shared" si="190"/>
        <v>0.91341911764705885</v>
      </c>
      <c r="F301" s="92">
        <f t="shared" si="222"/>
        <v>5440</v>
      </c>
      <c r="G301" s="27">
        <f t="shared" si="223"/>
        <v>471</v>
      </c>
      <c r="H301" s="92">
        <f t="shared" si="224"/>
        <v>4969</v>
      </c>
      <c r="I301" s="92">
        <f t="shared" si="225"/>
        <v>4646</v>
      </c>
      <c r="J301" s="27">
        <f t="shared" si="226"/>
        <v>323</v>
      </c>
      <c r="K301" s="27"/>
      <c r="L301" s="27"/>
      <c r="M301" s="46">
        <v>2017</v>
      </c>
      <c r="N301" s="47" t="s">
        <v>45</v>
      </c>
      <c r="O301" s="35">
        <f t="shared" si="191"/>
        <v>0.92677142010080049</v>
      </c>
      <c r="P301" s="35">
        <f t="shared" si="192"/>
        <v>0.95217788607980502</v>
      </c>
      <c r="Q301" s="35">
        <f t="shared" si="193"/>
        <v>0.9733175214942188</v>
      </c>
      <c r="R301" s="27">
        <v>3373</v>
      </c>
      <c r="S301" s="27">
        <f t="shared" si="227"/>
        <v>90</v>
      </c>
      <c r="T301" s="27">
        <v>3283</v>
      </c>
      <c r="U301" s="27">
        <v>3126</v>
      </c>
      <c r="V301" s="27">
        <f t="shared" si="228"/>
        <v>157</v>
      </c>
      <c r="W301" s="27"/>
      <c r="X301" s="27"/>
      <c r="Y301" s="46">
        <v>2017</v>
      </c>
      <c r="Z301" s="47" t="s">
        <v>45</v>
      </c>
      <c r="AA301" s="35">
        <f t="shared" si="194"/>
        <v>0.86204922724670863</v>
      </c>
      <c r="AB301" s="35">
        <f t="shared" si="195"/>
        <v>0.90071770334928225</v>
      </c>
      <c r="AC301" s="35">
        <f t="shared" si="196"/>
        <v>0.95706926159129935</v>
      </c>
      <c r="AD301" s="27">
        <v>1747</v>
      </c>
      <c r="AE301" s="27">
        <f t="shared" si="229"/>
        <v>75</v>
      </c>
      <c r="AF301" s="27">
        <v>1672</v>
      </c>
      <c r="AG301" s="27">
        <v>1506</v>
      </c>
      <c r="AH301" s="27">
        <f t="shared" si="230"/>
        <v>166</v>
      </c>
      <c r="AI301" s="27"/>
      <c r="AJ301" s="27"/>
      <c r="AK301" s="46">
        <v>2017</v>
      </c>
      <c r="AL301" s="47" t="s">
        <v>45</v>
      </c>
      <c r="AM301" s="35">
        <f t="shared" si="197"/>
        <v>4.3749999999999997E-2</v>
      </c>
      <c r="AN301" s="35">
        <f t="shared" si="198"/>
        <v>1</v>
      </c>
      <c r="AO301" s="35">
        <f t="shared" si="199"/>
        <v>4.3749999999999997E-2</v>
      </c>
      <c r="AP301" s="27">
        <v>320</v>
      </c>
      <c r="AQ301" s="27">
        <f t="shared" si="231"/>
        <v>306</v>
      </c>
      <c r="AR301" s="27">
        <v>14</v>
      </c>
      <c r="AS301" s="27">
        <v>14</v>
      </c>
      <c r="AT301" s="27">
        <f t="shared" si="232"/>
        <v>0</v>
      </c>
      <c r="AU301" s="31" t="s">
        <v>28</v>
      </c>
      <c r="AV301" s="27"/>
      <c r="AW301" s="46"/>
      <c r="AX301" s="47"/>
      <c r="AY301" s="35"/>
      <c r="AZ301" s="35"/>
      <c r="BA301" s="35"/>
    </row>
    <row r="302" spans="1:53" s="29" customFormat="1" ht="12.75">
      <c r="A302" s="45">
        <v>2017</v>
      </c>
      <c r="B302" s="48" t="s">
        <v>46</v>
      </c>
      <c r="C302" s="35">
        <f t="shared" si="188"/>
        <v>0.93400200601805417</v>
      </c>
      <c r="D302" s="35">
        <f t="shared" si="189"/>
        <v>0.95390288875230489</v>
      </c>
      <c r="E302" s="35">
        <f t="shared" si="190"/>
        <v>0.97913741223671014</v>
      </c>
      <c r="F302" s="92">
        <f t="shared" si="222"/>
        <v>4985</v>
      </c>
      <c r="G302" s="27">
        <f t="shared" si="223"/>
        <v>104</v>
      </c>
      <c r="H302" s="92">
        <f t="shared" si="224"/>
        <v>4881</v>
      </c>
      <c r="I302" s="92">
        <f t="shared" si="225"/>
        <v>4656</v>
      </c>
      <c r="J302" s="27">
        <f t="shared" si="226"/>
        <v>225</v>
      </c>
      <c r="K302" s="27"/>
      <c r="L302" s="27"/>
      <c r="M302" s="45">
        <v>2017</v>
      </c>
      <c r="N302" s="48" t="s">
        <v>46</v>
      </c>
      <c r="O302" s="35">
        <f t="shared" si="191"/>
        <v>0.95138255849285935</v>
      </c>
      <c r="P302" s="35">
        <f t="shared" si="192"/>
        <v>0.97145516599441517</v>
      </c>
      <c r="Q302" s="35">
        <f t="shared" si="193"/>
        <v>0.97933758735946519</v>
      </c>
      <c r="R302" s="27">
        <v>3291</v>
      </c>
      <c r="S302" s="27">
        <f t="shared" si="227"/>
        <v>68</v>
      </c>
      <c r="T302" s="27">
        <v>3223</v>
      </c>
      <c r="U302" s="27">
        <v>3131</v>
      </c>
      <c r="V302" s="27">
        <f t="shared" si="228"/>
        <v>92</v>
      </c>
      <c r="W302" s="27"/>
      <c r="X302" s="27"/>
      <c r="Y302" s="45">
        <v>2017</v>
      </c>
      <c r="Z302" s="48" t="s">
        <v>46</v>
      </c>
      <c r="AA302" s="35">
        <f t="shared" si="194"/>
        <v>0.90023612750885473</v>
      </c>
      <c r="AB302" s="35">
        <f t="shared" si="195"/>
        <v>0.91978287092882993</v>
      </c>
      <c r="AC302" s="35">
        <f t="shared" si="196"/>
        <v>0.97874852420306968</v>
      </c>
      <c r="AD302" s="27">
        <v>1694</v>
      </c>
      <c r="AE302" s="27">
        <f t="shared" si="229"/>
        <v>36</v>
      </c>
      <c r="AF302" s="27">
        <v>1658</v>
      </c>
      <c r="AG302" s="27">
        <v>1525</v>
      </c>
      <c r="AH302" s="27">
        <f t="shared" si="230"/>
        <v>133</v>
      </c>
      <c r="AI302" s="27"/>
      <c r="AJ302" s="27"/>
      <c r="AK302" s="45">
        <v>2017</v>
      </c>
      <c r="AL302" s="48" t="s">
        <v>46</v>
      </c>
      <c r="AM302" s="35"/>
      <c r="AN302" s="35"/>
      <c r="AO302" s="35"/>
      <c r="AP302" s="27"/>
      <c r="AQ302" s="27"/>
      <c r="AR302" s="27"/>
      <c r="AS302" s="27"/>
      <c r="AT302" s="27"/>
      <c r="AU302" s="27"/>
      <c r="AV302" s="27"/>
      <c r="AW302" s="45"/>
      <c r="AX302" s="48"/>
      <c r="AY302" s="35"/>
      <c r="AZ302" s="35"/>
      <c r="BA302" s="35"/>
    </row>
    <row r="303" spans="1:53" s="29" customFormat="1" ht="12.75">
      <c r="A303" s="46">
        <v>2017</v>
      </c>
      <c r="B303" s="47" t="s">
        <v>47</v>
      </c>
      <c r="C303" s="35">
        <f t="shared" si="188"/>
        <v>0.92677165354330704</v>
      </c>
      <c r="D303" s="35">
        <f t="shared" si="189"/>
        <v>0.95168789165150591</v>
      </c>
      <c r="E303" s="35">
        <f t="shared" si="190"/>
        <v>0.97381889763779528</v>
      </c>
      <c r="F303" s="92">
        <f t="shared" si="222"/>
        <v>5080</v>
      </c>
      <c r="G303" s="27">
        <f t="shared" si="223"/>
        <v>133</v>
      </c>
      <c r="H303" s="92">
        <f t="shared" si="224"/>
        <v>4947</v>
      </c>
      <c r="I303" s="92">
        <f t="shared" si="225"/>
        <v>4708</v>
      </c>
      <c r="J303" s="27">
        <f t="shared" si="226"/>
        <v>239</v>
      </c>
      <c r="K303" s="27"/>
      <c r="L303" s="27"/>
      <c r="M303" s="46">
        <v>2017</v>
      </c>
      <c r="N303" s="47" t="s">
        <v>47</v>
      </c>
      <c r="O303" s="35">
        <f t="shared" si="191"/>
        <v>0.94396164219358702</v>
      </c>
      <c r="P303" s="35">
        <f t="shared" si="192"/>
        <v>0.96507352941176472</v>
      </c>
      <c r="Q303" s="35">
        <f t="shared" si="193"/>
        <v>0.97812406353011683</v>
      </c>
      <c r="R303" s="27">
        <v>3337</v>
      </c>
      <c r="S303" s="27">
        <f t="shared" si="227"/>
        <v>73</v>
      </c>
      <c r="T303" s="27">
        <v>3264</v>
      </c>
      <c r="U303" s="27">
        <v>3150</v>
      </c>
      <c r="V303" s="27">
        <f t="shared" si="228"/>
        <v>114</v>
      </c>
      <c r="W303" s="27"/>
      <c r="X303" s="27"/>
      <c r="Y303" s="46">
        <v>2017</v>
      </c>
      <c r="Z303" s="47" t="s">
        <v>47</v>
      </c>
      <c r="AA303" s="35">
        <f t="shared" si="194"/>
        <v>0.89386115892139983</v>
      </c>
      <c r="AB303" s="35">
        <f t="shared" si="195"/>
        <v>0.9257278669043375</v>
      </c>
      <c r="AC303" s="35">
        <f t="shared" si="196"/>
        <v>0.96557659208261615</v>
      </c>
      <c r="AD303" s="27">
        <v>1743</v>
      </c>
      <c r="AE303" s="27">
        <f t="shared" si="229"/>
        <v>60</v>
      </c>
      <c r="AF303" s="27">
        <v>1683</v>
      </c>
      <c r="AG303" s="27">
        <v>1558</v>
      </c>
      <c r="AH303" s="27">
        <f t="shared" si="230"/>
        <v>125</v>
      </c>
      <c r="AI303" s="27"/>
      <c r="AJ303" s="27"/>
      <c r="AK303" s="46">
        <v>2017</v>
      </c>
      <c r="AL303" s="47" t="s">
        <v>47</v>
      </c>
      <c r="AM303" s="35"/>
      <c r="AN303" s="35"/>
      <c r="AO303" s="35"/>
      <c r="AP303" s="27"/>
      <c r="AQ303" s="27"/>
      <c r="AR303" s="27"/>
      <c r="AS303" s="27"/>
      <c r="AT303" s="27"/>
      <c r="AU303" s="27"/>
      <c r="AV303" s="27"/>
      <c r="AW303" s="46"/>
      <c r="AX303" s="47"/>
      <c r="AY303" s="35"/>
      <c r="AZ303" s="35"/>
      <c r="BA303" s="35"/>
    </row>
    <row r="304" spans="1:53" s="29" customFormat="1" ht="12.75">
      <c r="A304" s="45">
        <v>2017</v>
      </c>
      <c r="B304" s="48" t="s">
        <v>48</v>
      </c>
      <c r="C304" s="35">
        <f t="shared" si="188"/>
        <v>0.93977364591754242</v>
      </c>
      <c r="D304" s="35">
        <f t="shared" si="189"/>
        <v>0.96114096734187682</v>
      </c>
      <c r="E304" s="35">
        <f t="shared" si="190"/>
        <v>0.9777687954729184</v>
      </c>
      <c r="F304" s="92">
        <f t="shared" si="222"/>
        <v>4948</v>
      </c>
      <c r="G304" s="27">
        <f t="shared" si="223"/>
        <v>110</v>
      </c>
      <c r="H304" s="92">
        <f t="shared" si="224"/>
        <v>4838</v>
      </c>
      <c r="I304" s="92">
        <f t="shared" si="225"/>
        <v>4650</v>
      </c>
      <c r="J304" s="27">
        <f t="shared" si="226"/>
        <v>188</v>
      </c>
      <c r="K304" s="27"/>
      <c r="L304" s="27"/>
      <c r="M304" s="45">
        <v>2017</v>
      </c>
      <c r="N304" s="48" t="s">
        <v>48</v>
      </c>
      <c r="O304" s="35">
        <f t="shared" si="191"/>
        <v>0.94567219152854509</v>
      </c>
      <c r="P304" s="35">
        <f t="shared" si="192"/>
        <v>0.96825895663104966</v>
      </c>
      <c r="Q304" s="35">
        <f t="shared" si="193"/>
        <v>0.97667280540208712</v>
      </c>
      <c r="R304" s="27">
        <v>3258</v>
      </c>
      <c r="S304" s="27">
        <f t="shared" si="227"/>
        <v>76</v>
      </c>
      <c r="T304" s="27">
        <v>3182</v>
      </c>
      <c r="U304" s="27">
        <v>3081</v>
      </c>
      <c r="V304" s="27">
        <f t="shared" si="228"/>
        <v>101</v>
      </c>
      <c r="W304" s="27"/>
      <c r="X304" s="27"/>
      <c r="Y304" s="45">
        <v>2017</v>
      </c>
      <c r="Z304" s="48" t="s">
        <v>48</v>
      </c>
      <c r="AA304" s="35">
        <f t="shared" si="194"/>
        <v>0.92840236686390532</v>
      </c>
      <c r="AB304" s="35">
        <f t="shared" si="195"/>
        <v>0.94746376811594202</v>
      </c>
      <c r="AC304" s="35">
        <f t="shared" si="196"/>
        <v>0.97988165680473371</v>
      </c>
      <c r="AD304" s="27">
        <v>1690</v>
      </c>
      <c r="AE304" s="27">
        <f t="shared" si="229"/>
        <v>34</v>
      </c>
      <c r="AF304" s="27">
        <v>1656</v>
      </c>
      <c r="AG304" s="27">
        <v>1569</v>
      </c>
      <c r="AH304" s="27">
        <f t="shared" si="230"/>
        <v>87</v>
      </c>
      <c r="AI304" s="27"/>
      <c r="AJ304" s="27"/>
      <c r="AK304" s="45">
        <v>2017</v>
      </c>
      <c r="AL304" s="48" t="s">
        <v>48</v>
      </c>
      <c r="AM304" s="35"/>
      <c r="AN304" s="35"/>
      <c r="AO304" s="35"/>
      <c r="AP304" s="27"/>
      <c r="AQ304" s="27"/>
      <c r="AR304" s="27"/>
      <c r="AS304" s="27"/>
      <c r="AT304" s="27"/>
      <c r="AU304" s="27"/>
      <c r="AV304" s="27"/>
      <c r="AW304" s="45"/>
      <c r="AX304" s="48"/>
      <c r="AY304" s="35"/>
      <c r="AZ304" s="35"/>
      <c r="BA304" s="35"/>
    </row>
    <row r="305" spans="1:59" s="29" customFormat="1" ht="12.75">
      <c r="A305" s="46">
        <v>2017</v>
      </c>
      <c r="B305" s="47" t="s">
        <v>49</v>
      </c>
      <c r="C305" s="35">
        <f t="shared" si="188"/>
        <v>0.88008735358348222</v>
      </c>
      <c r="D305" s="35">
        <f t="shared" si="189"/>
        <v>0.94019088016967123</v>
      </c>
      <c r="E305" s="35">
        <f t="shared" si="190"/>
        <v>0.9360730593607306</v>
      </c>
      <c r="F305" s="92">
        <f t="shared" si="222"/>
        <v>5037</v>
      </c>
      <c r="G305" s="27">
        <f t="shared" si="223"/>
        <v>322</v>
      </c>
      <c r="H305" s="92">
        <f t="shared" si="224"/>
        <v>4715</v>
      </c>
      <c r="I305" s="92">
        <f t="shared" si="225"/>
        <v>4433</v>
      </c>
      <c r="J305" s="27">
        <f t="shared" si="226"/>
        <v>282</v>
      </c>
      <c r="K305" s="27"/>
      <c r="L305" s="27"/>
      <c r="M305" s="46">
        <v>2017</v>
      </c>
      <c r="N305" s="47" t="s">
        <v>49</v>
      </c>
      <c r="O305" s="35">
        <f t="shared" si="191"/>
        <v>0.8841722255912674</v>
      </c>
      <c r="P305" s="35">
        <f t="shared" si="192"/>
        <v>0.95045632333767927</v>
      </c>
      <c r="Q305" s="35">
        <f t="shared" si="193"/>
        <v>0.93026076409945424</v>
      </c>
      <c r="R305" s="27">
        <v>3298</v>
      </c>
      <c r="S305" s="27">
        <f t="shared" si="227"/>
        <v>230</v>
      </c>
      <c r="T305" s="27">
        <v>3068</v>
      </c>
      <c r="U305" s="27">
        <v>2916</v>
      </c>
      <c r="V305" s="27">
        <f t="shared" si="228"/>
        <v>152</v>
      </c>
      <c r="W305" s="27"/>
      <c r="X305" s="27"/>
      <c r="Y305" s="46">
        <v>2017</v>
      </c>
      <c r="Z305" s="47" t="s">
        <v>49</v>
      </c>
      <c r="AA305" s="35">
        <f t="shared" si="194"/>
        <v>0.87234042553191493</v>
      </c>
      <c r="AB305" s="35">
        <f t="shared" si="195"/>
        <v>0.92106860959319981</v>
      </c>
      <c r="AC305" s="35">
        <f t="shared" si="196"/>
        <v>0.94709603220241523</v>
      </c>
      <c r="AD305" s="27">
        <v>1739</v>
      </c>
      <c r="AE305" s="27">
        <f t="shared" si="229"/>
        <v>92</v>
      </c>
      <c r="AF305" s="27">
        <v>1647</v>
      </c>
      <c r="AG305" s="27">
        <v>1517</v>
      </c>
      <c r="AH305" s="27">
        <f t="shared" si="230"/>
        <v>130</v>
      </c>
      <c r="AI305" s="27"/>
      <c r="AJ305" s="27"/>
      <c r="AK305" s="46">
        <v>2017</v>
      </c>
      <c r="AL305" s="47" t="s">
        <v>49</v>
      </c>
      <c r="AM305" s="35"/>
      <c r="AN305" s="35"/>
      <c r="AO305" s="35"/>
      <c r="AP305" s="27"/>
      <c r="AQ305" s="27"/>
      <c r="AR305" s="27"/>
      <c r="AS305" s="27"/>
      <c r="AT305" s="27"/>
      <c r="AU305" s="27"/>
      <c r="AV305" s="27"/>
      <c r="AW305" s="46"/>
      <c r="AX305" s="47"/>
      <c r="AY305" s="35"/>
      <c r="AZ305" s="35"/>
      <c r="BA305" s="35"/>
    </row>
    <row r="306" spans="1:59" s="29" customFormat="1" ht="12.75">
      <c r="A306" s="45">
        <v>2018</v>
      </c>
      <c r="B306" s="48" t="s">
        <v>38</v>
      </c>
      <c r="C306" s="35">
        <f t="shared" si="188"/>
        <v>0.93515625000000002</v>
      </c>
      <c r="D306" s="35">
        <f t="shared" si="189"/>
        <v>0.95454545454545459</v>
      </c>
      <c r="E306" s="35">
        <f t="shared" si="190"/>
        <v>0.97968750000000004</v>
      </c>
      <c r="F306" s="92">
        <f t="shared" ref="F306:F319" si="233">+R306+AD306+AP306+BB306</f>
        <v>5120</v>
      </c>
      <c r="G306" s="27">
        <f t="shared" ref="G306:G317" si="234">F306-H306</f>
        <v>104</v>
      </c>
      <c r="H306" s="92">
        <f t="shared" ref="H306:H319" si="235">+T306+AF306+AR306+BD306</f>
        <v>5016</v>
      </c>
      <c r="I306" s="92">
        <f t="shared" ref="I306:I319" si="236">+U306+AG306+AS306+BE306</f>
        <v>4788</v>
      </c>
      <c r="J306" s="27">
        <f t="shared" ref="J306:J317" si="237">H306-I306</f>
        <v>228</v>
      </c>
      <c r="K306" s="27"/>
      <c r="L306" s="27"/>
      <c r="M306" s="45">
        <v>2018</v>
      </c>
      <c r="N306" s="48" t="s">
        <v>38</v>
      </c>
      <c r="O306" s="35">
        <f t="shared" si="191"/>
        <v>0.94485621108805218</v>
      </c>
      <c r="P306" s="35">
        <f t="shared" si="192"/>
        <v>0.9683986630203586</v>
      </c>
      <c r="Q306" s="35">
        <f t="shared" si="193"/>
        <v>0.97568929736139931</v>
      </c>
      <c r="R306" s="27">
        <v>3373</v>
      </c>
      <c r="S306" s="27">
        <f t="shared" ref="S306:S317" si="238">R306-T306</f>
        <v>82</v>
      </c>
      <c r="T306" s="27">
        <v>3291</v>
      </c>
      <c r="U306" s="27">
        <v>3187</v>
      </c>
      <c r="V306" s="27">
        <f t="shared" ref="V306:V317" si="239">T306-U306</f>
        <v>104</v>
      </c>
      <c r="W306" s="27"/>
      <c r="X306" s="27"/>
      <c r="Y306" s="45">
        <v>2018</v>
      </c>
      <c r="Z306" s="48" t="s">
        <v>38</v>
      </c>
      <c r="AA306" s="35">
        <f t="shared" si="194"/>
        <v>0.91642816256439608</v>
      </c>
      <c r="AB306" s="35">
        <f t="shared" si="195"/>
        <v>0.92811594202898551</v>
      </c>
      <c r="AC306" s="35">
        <f t="shared" si="196"/>
        <v>0.98740698340011446</v>
      </c>
      <c r="AD306" s="27">
        <v>1747</v>
      </c>
      <c r="AE306" s="27">
        <f t="shared" ref="AE306:AE317" si="240">AD306-AF306</f>
        <v>22</v>
      </c>
      <c r="AF306" s="27">
        <v>1725</v>
      </c>
      <c r="AG306" s="27">
        <v>1601</v>
      </c>
      <c r="AH306" s="27">
        <f t="shared" ref="AH306:AH317" si="241">AF306-AG306</f>
        <v>124</v>
      </c>
      <c r="AI306" s="27"/>
      <c r="AJ306" s="27"/>
      <c r="AK306" s="45">
        <v>2018</v>
      </c>
      <c r="AL306" s="48" t="s">
        <v>38</v>
      </c>
      <c r="AM306" s="35"/>
      <c r="AN306" s="35"/>
      <c r="AO306" s="35"/>
      <c r="AP306" s="27"/>
      <c r="AQ306" s="27"/>
      <c r="AR306" s="27"/>
      <c r="AS306" s="27"/>
      <c r="AT306" s="27"/>
      <c r="AU306" s="27"/>
      <c r="AV306" s="27"/>
      <c r="AW306" s="45"/>
      <c r="AX306" s="48"/>
      <c r="AY306" s="35"/>
      <c r="AZ306" s="35"/>
      <c r="BA306" s="35"/>
      <c r="BB306" s="27"/>
      <c r="BC306" s="27"/>
      <c r="BD306" s="27"/>
      <c r="BE306" s="27"/>
      <c r="BF306" s="27"/>
    </row>
    <row r="307" spans="1:59" s="29" customFormat="1" ht="12.75">
      <c r="A307" s="46">
        <v>2018</v>
      </c>
      <c r="B307" s="47" t="s">
        <v>39</v>
      </c>
      <c r="C307" s="35">
        <f t="shared" si="188"/>
        <v>0.91038562664329536</v>
      </c>
      <c r="D307" s="35">
        <f t="shared" si="189"/>
        <v>0.94993141289437588</v>
      </c>
      <c r="E307" s="35">
        <f t="shared" si="190"/>
        <v>0.95836985100788785</v>
      </c>
      <c r="F307" s="92">
        <f t="shared" si="233"/>
        <v>4564</v>
      </c>
      <c r="G307" s="27">
        <f t="shared" si="234"/>
        <v>190</v>
      </c>
      <c r="H307" s="92">
        <f t="shared" si="235"/>
        <v>4374</v>
      </c>
      <c r="I307" s="92">
        <f t="shared" si="236"/>
        <v>4155</v>
      </c>
      <c r="J307" s="27">
        <f t="shared" si="237"/>
        <v>219</v>
      </c>
      <c r="K307" s="27"/>
      <c r="L307" s="27"/>
      <c r="M307" s="46">
        <v>2018</v>
      </c>
      <c r="N307" s="47" t="s">
        <v>39</v>
      </c>
      <c r="O307" s="35">
        <f t="shared" si="191"/>
        <v>0.93983957219251335</v>
      </c>
      <c r="P307" s="35">
        <f t="shared" si="192"/>
        <v>0.96665520797524918</v>
      </c>
      <c r="Q307" s="35">
        <f t="shared" si="193"/>
        <v>0.97225935828877008</v>
      </c>
      <c r="R307" s="27">
        <v>2992</v>
      </c>
      <c r="S307" s="27">
        <f t="shared" si="238"/>
        <v>83</v>
      </c>
      <c r="T307" s="27">
        <v>2909</v>
      </c>
      <c r="U307" s="27">
        <v>2812</v>
      </c>
      <c r="V307" s="27">
        <f t="shared" si="239"/>
        <v>97</v>
      </c>
      <c r="W307" s="27"/>
      <c r="X307" s="27"/>
      <c r="Y307" s="46">
        <v>2018</v>
      </c>
      <c r="Z307" s="47" t="s">
        <v>39</v>
      </c>
      <c r="AA307" s="35">
        <f t="shared" si="194"/>
        <v>0.85432569974554706</v>
      </c>
      <c r="AB307" s="35">
        <f t="shared" si="195"/>
        <v>0.91672354948805457</v>
      </c>
      <c r="AC307" s="35">
        <f t="shared" si="196"/>
        <v>0.93193384223918574</v>
      </c>
      <c r="AD307" s="27">
        <v>1572</v>
      </c>
      <c r="AE307" s="27">
        <f t="shared" si="240"/>
        <v>107</v>
      </c>
      <c r="AF307" s="27">
        <v>1465</v>
      </c>
      <c r="AG307" s="27">
        <v>1343</v>
      </c>
      <c r="AH307" s="27">
        <f t="shared" si="241"/>
        <v>122</v>
      </c>
      <c r="AI307" s="27"/>
      <c r="AJ307" s="27"/>
      <c r="AK307" s="46">
        <v>2018</v>
      </c>
      <c r="AL307" s="47" t="s">
        <v>39</v>
      </c>
      <c r="AM307" s="35"/>
      <c r="AN307" s="35"/>
      <c r="AO307" s="35"/>
      <c r="AP307" s="27"/>
      <c r="AQ307" s="27"/>
      <c r="AR307" s="27"/>
      <c r="AS307" s="27"/>
      <c r="AT307" s="27"/>
      <c r="AU307" s="27"/>
      <c r="AV307" s="27"/>
      <c r="AW307" s="46"/>
      <c r="AX307" s="47"/>
      <c r="AY307" s="35"/>
      <c r="AZ307" s="35"/>
      <c r="BA307" s="35"/>
      <c r="BB307" s="27"/>
      <c r="BC307" s="27"/>
      <c r="BD307" s="27"/>
      <c r="BE307" s="27"/>
      <c r="BF307" s="27"/>
    </row>
    <row r="308" spans="1:59" s="29" customFormat="1" ht="12.75">
      <c r="A308" s="45">
        <v>2018</v>
      </c>
      <c r="B308" s="48" t="s">
        <v>40</v>
      </c>
      <c r="C308" s="35">
        <f t="shared" si="188"/>
        <v>0.85975970061059681</v>
      </c>
      <c r="D308" s="35">
        <f t="shared" si="189"/>
        <v>0.83142857142857141</v>
      </c>
      <c r="E308" s="35">
        <f t="shared" si="190"/>
        <v>1.0340752412842229</v>
      </c>
      <c r="F308" s="92">
        <f t="shared" si="233"/>
        <v>5077</v>
      </c>
      <c r="G308" s="27">
        <f t="shared" si="234"/>
        <v>-173</v>
      </c>
      <c r="H308" s="92">
        <f t="shared" si="235"/>
        <v>5250</v>
      </c>
      <c r="I308" s="92">
        <f t="shared" si="236"/>
        <v>4365</v>
      </c>
      <c r="J308" s="27">
        <f t="shared" si="237"/>
        <v>885</v>
      </c>
      <c r="K308" s="27"/>
      <c r="L308" s="27"/>
      <c r="M308" s="45">
        <v>2018</v>
      </c>
      <c r="N308" s="48" t="s">
        <v>40</v>
      </c>
      <c r="O308" s="35">
        <f t="shared" si="191"/>
        <v>0.90101979604079185</v>
      </c>
      <c r="P308" s="35">
        <f t="shared" si="192"/>
        <v>0.93611717045808662</v>
      </c>
      <c r="Q308" s="35">
        <f t="shared" si="193"/>
        <v>0.96250749850029993</v>
      </c>
      <c r="R308" s="27">
        <v>3334</v>
      </c>
      <c r="S308" s="27">
        <f t="shared" si="238"/>
        <v>125</v>
      </c>
      <c r="T308" s="27">
        <v>3209</v>
      </c>
      <c r="U308" s="27">
        <v>3004</v>
      </c>
      <c r="V308" s="27">
        <f t="shared" si="239"/>
        <v>205</v>
      </c>
      <c r="W308" s="27"/>
      <c r="X308" s="27"/>
      <c r="Y308" s="45">
        <v>2018</v>
      </c>
      <c r="Z308" s="48" t="s">
        <v>40</v>
      </c>
      <c r="AA308" s="35">
        <f t="shared" si="194"/>
        <v>0.78083763625932301</v>
      </c>
      <c r="AB308" s="35">
        <f t="shared" si="195"/>
        <v>0.84956304619225964</v>
      </c>
      <c r="AC308" s="35">
        <f t="shared" si="196"/>
        <v>0.91910499139414803</v>
      </c>
      <c r="AD308" s="27">
        <v>1743</v>
      </c>
      <c r="AE308" s="27">
        <f t="shared" si="240"/>
        <v>141</v>
      </c>
      <c r="AF308" s="27">
        <v>1602</v>
      </c>
      <c r="AG308" s="27">
        <v>1361</v>
      </c>
      <c r="AH308" s="27">
        <f t="shared" si="241"/>
        <v>241</v>
      </c>
      <c r="AI308" s="27"/>
      <c r="AJ308" s="27"/>
      <c r="AK308" s="45">
        <v>2018</v>
      </c>
      <c r="AL308" s="48" t="s">
        <v>40</v>
      </c>
      <c r="AM308" s="35"/>
      <c r="AN308" s="35"/>
      <c r="AO308" s="35"/>
      <c r="AP308" s="27"/>
      <c r="AQ308" s="27"/>
      <c r="AR308" s="27"/>
      <c r="AS308" s="27"/>
      <c r="AT308" s="27"/>
      <c r="AU308" s="27"/>
      <c r="AV308" s="27"/>
      <c r="AW308" s="45">
        <v>2018</v>
      </c>
      <c r="AX308" s="48" t="s">
        <v>40</v>
      </c>
      <c r="AY308" s="35"/>
      <c r="AZ308" s="35"/>
      <c r="BA308" s="35"/>
      <c r="BB308" s="27"/>
      <c r="BC308" s="27"/>
      <c r="BD308" s="27">
        <v>439</v>
      </c>
      <c r="BE308" s="27"/>
      <c r="BF308" s="27"/>
      <c r="BG308" s="29" t="s">
        <v>80</v>
      </c>
    </row>
    <row r="309" spans="1:59" s="29" customFormat="1" ht="12.75">
      <c r="A309" s="46">
        <v>2018</v>
      </c>
      <c r="B309" s="47" t="s">
        <v>41</v>
      </c>
      <c r="C309" s="35">
        <f t="shared" si="188"/>
        <v>0.89282040732359602</v>
      </c>
      <c r="D309" s="35">
        <f t="shared" si="189"/>
        <v>0.74969770253929868</v>
      </c>
      <c r="E309" s="35">
        <f t="shared" si="190"/>
        <v>1.1909072207364739</v>
      </c>
      <c r="F309" s="92">
        <f t="shared" si="233"/>
        <v>4861</v>
      </c>
      <c r="G309" s="27">
        <f t="shared" si="234"/>
        <v>-928</v>
      </c>
      <c r="H309" s="92">
        <f t="shared" si="235"/>
        <v>5789</v>
      </c>
      <c r="I309" s="92">
        <f t="shared" si="236"/>
        <v>4340</v>
      </c>
      <c r="J309" s="27">
        <f t="shared" si="237"/>
        <v>1449</v>
      </c>
      <c r="K309" s="27"/>
      <c r="L309" s="27"/>
      <c r="M309" s="46">
        <v>2018</v>
      </c>
      <c r="N309" s="47" t="s">
        <v>41</v>
      </c>
      <c r="O309" s="35">
        <f t="shared" si="191"/>
        <v>0.92334275840402136</v>
      </c>
      <c r="P309" s="35">
        <f t="shared" si="192"/>
        <v>0.94714792136641957</v>
      </c>
      <c r="Q309" s="35">
        <f t="shared" si="193"/>
        <v>0.97486647816525296</v>
      </c>
      <c r="R309" s="27">
        <v>3183</v>
      </c>
      <c r="S309" s="27">
        <f t="shared" si="238"/>
        <v>80</v>
      </c>
      <c r="T309" s="27">
        <v>3103</v>
      </c>
      <c r="U309" s="27">
        <v>2939</v>
      </c>
      <c r="V309" s="27">
        <f t="shared" si="239"/>
        <v>164</v>
      </c>
      <c r="W309" s="27"/>
      <c r="X309" s="27"/>
      <c r="Y309" s="46">
        <v>2018</v>
      </c>
      <c r="Z309" s="47" t="s">
        <v>41</v>
      </c>
      <c r="AA309" s="35">
        <f t="shared" si="194"/>
        <v>0.83492252681764001</v>
      </c>
      <c r="AB309" s="35">
        <f t="shared" si="195"/>
        <v>0.8669554455445545</v>
      </c>
      <c r="AC309" s="35">
        <f t="shared" si="196"/>
        <v>0.96305125148986892</v>
      </c>
      <c r="AD309" s="27">
        <v>1678</v>
      </c>
      <c r="AE309" s="27">
        <f t="shared" si="240"/>
        <v>62</v>
      </c>
      <c r="AF309" s="27">
        <v>1616</v>
      </c>
      <c r="AG309" s="27">
        <v>1401</v>
      </c>
      <c r="AH309" s="27">
        <f t="shared" si="241"/>
        <v>215</v>
      </c>
      <c r="AI309" s="27"/>
      <c r="AJ309" s="27"/>
      <c r="AK309" s="46">
        <v>2018</v>
      </c>
      <c r="AL309" s="47" t="s">
        <v>41</v>
      </c>
      <c r="AM309" s="35"/>
      <c r="AN309" s="35"/>
      <c r="AO309" s="35"/>
      <c r="AP309" s="27"/>
      <c r="AQ309" s="27"/>
      <c r="AR309" s="27"/>
      <c r="AS309" s="27"/>
      <c r="AT309" s="27"/>
      <c r="AU309" s="27"/>
      <c r="AV309" s="27"/>
      <c r="AW309" s="46">
        <v>2018</v>
      </c>
      <c r="AX309" s="47" t="s">
        <v>41</v>
      </c>
      <c r="AY309" s="35"/>
      <c r="AZ309" s="35"/>
      <c r="BA309" s="35"/>
      <c r="BB309" s="27"/>
      <c r="BC309" s="27"/>
      <c r="BD309" s="27">
        <v>1070</v>
      </c>
      <c r="BE309" s="27"/>
      <c r="BF309" s="27"/>
    </row>
    <row r="310" spans="1:59" s="29" customFormat="1" ht="12.75">
      <c r="A310" s="45">
        <v>2018</v>
      </c>
      <c r="B310" s="48" t="s">
        <v>42</v>
      </c>
      <c r="C310" s="35">
        <f t="shared" si="188"/>
        <v>0.72136503902704663</v>
      </c>
      <c r="D310" s="35">
        <f t="shared" si="189"/>
        <v>0.65168907838635615</v>
      </c>
      <c r="E310" s="35">
        <f t="shared" si="190"/>
        <v>1.1069159557088402</v>
      </c>
      <c r="F310" s="92">
        <f t="shared" si="233"/>
        <v>5509</v>
      </c>
      <c r="G310" s="27">
        <f t="shared" si="234"/>
        <v>-589</v>
      </c>
      <c r="H310" s="92">
        <f t="shared" si="235"/>
        <v>6098</v>
      </c>
      <c r="I310" s="92">
        <f t="shared" si="236"/>
        <v>3974</v>
      </c>
      <c r="J310" s="27">
        <f t="shared" si="237"/>
        <v>2124</v>
      </c>
      <c r="K310" s="27"/>
      <c r="L310" s="27"/>
      <c r="M310" s="45">
        <v>2018</v>
      </c>
      <c r="N310" s="48" t="s">
        <v>42</v>
      </c>
      <c r="O310" s="35">
        <f t="shared" si="191"/>
        <v>0.75727636849132174</v>
      </c>
      <c r="P310" s="35">
        <f t="shared" si="192"/>
        <v>0.82083936324167872</v>
      </c>
      <c r="Q310" s="35">
        <f t="shared" si="193"/>
        <v>0.92256341789052065</v>
      </c>
      <c r="R310" s="27">
        <v>3745</v>
      </c>
      <c r="S310" s="27">
        <f t="shared" si="238"/>
        <v>290</v>
      </c>
      <c r="T310" s="27">
        <v>3455</v>
      </c>
      <c r="U310" s="27">
        <v>2836</v>
      </c>
      <c r="V310" s="27">
        <f t="shared" si="239"/>
        <v>619</v>
      </c>
      <c r="W310" s="27"/>
      <c r="X310" s="27"/>
      <c r="Y310" s="45">
        <v>2018</v>
      </c>
      <c r="Z310" s="48" t="s">
        <v>42</v>
      </c>
      <c r="AA310" s="35">
        <f t="shared" si="194"/>
        <v>0.64512471655328796</v>
      </c>
      <c r="AB310" s="35">
        <f t="shared" si="195"/>
        <v>0.73042362002567396</v>
      </c>
      <c r="AC310" s="35">
        <f t="shared" si="196"/>
        <v>0.8832199546485261</v>
      </c>
      <c r="AD310" s="27">
        <v>1764</v>
      </c>
      <c r="AE310" s="27">
        <f t="shared" si="240"/>
        <v>206</v>
      </c>
      <c r="AF310" s="27">
        <v>1558</v>
      </c>
      <c r="AG310" s="27">
        <v>1138</v>
      </c>
      <c r="AH310" s="27">
        <f t="shared" si="241"/>
        <v>420</v>
      </c>
      <c r="AI310" s="27"/>
      <c r="AJ310" s="27"/>
      <c r="AK310" s="45">
        <v>2018</v>
      </c>
      <c r="AL310" s="48" t="s">
        <v>42</v>
      </c>
      <c r="AM310" s="35"/>
      <c r="AN310" s="35"/>
      <c r="AO310" s="35"/>
      <c r="AP310" s="27"/>
      <c r="AQ310" s="27"/>
      <c r="AR310" s="27"/>
      <c r="AS310" s="27"/>
      <c r="AT310" s="27"/>
      <c r="AU310" s="27"/>
      <c r="AV310" s="27"/>
      <c r="AW310" s="45">
        <v>2018</v>
      </c>
      <c r="AX310" s="48" t="s">
        <v>42</v>
      </c>
      <c r="AY310" s="35"/>
      <c r="AZ310" s="35"/>
      <c r="BA310" s="35"/>
      <c r="BB310" s="27"/>
      <c r="BC310" s="27"/>
      <c r="BD310" s="27">
        <v>1085</v>
      </c>
      <c r="BE310" s="27"/>
      <c r="BF310" s="27"/>
    </row>
    <row r="311" spans="1:59" s="29" customFormat="1" ht="12.75">
      <c r="A311" s="46">
        <v>2018</v>
      </c>
      <c r="B311" s="47" t="s">
        <v>43</v>
      </c>
      <c r="C311" s="35">
        <f t="shared" si="188"/>
        <v>0.70202578268876614</v>
      </c>
      <c r="D311" s="35">
        <f t="shared" si="189"/>
        <v>0.66399581954363351</v>
      </c>
      <c r="E311" s="35">
        <f t="shared" si="190"/>
        <v>1.0572744014732964</v>
      </c>
      <c r="F311" s="92">
        <f t="shared" si="233"/>
        <v>5430</v>
      </c>
      <c r="G311" s="27">
        <f t="shared" si="234"/>
        <v>-311</v>
      </c>
      <c r="H311" s="92">
        <f t="shared" si="235"/>
        <v>5741</v>
      </c>
      <c r="I311" s="92">
        <f t="shared" si="236"/>
        <v>3812</v>
      </c>
      <c r="J311" s="27">
        <f t="shared" si="237"/>
        <v>1929</v>
      </c>
      <c r="K311" s="27"/>
      <c r="L311" s="27"/>
      <c r="M311" s="46">
        <v>2018</v>
      </c>
      <c r="N311" s="47" t="s">
        <v>43</v>
      </c>
      <c r="O311" s="35">
        <f t="shared" si="191"/>
        <v>0.7445491251682369</v>
      </c>
      <c r="P311" s="35">
        <f t="shared" si="192"/>
        <v>0.82863990413421207</v>
      </c>
      <c r="Q311" s="35">
        <f t="shared" si="193"/>
        <v>0.89851951547779274</v>
      </c>
      <c r="R311" s="27">
        <v>3715</v>
      </c>
      <c r="S311" s="27">
        <f t="shared" si="238"/>
        <v>377</v>
      </c>
      <c r="T311" s="27">
        <v>3338</v>
      </c>
      <c r="U311" s="27">
        <v>2766</v>
      </c>
      <c r="V311" s="27">
        <f t="shared" si="239"/>
        <v>572</v>
      </c>
      <c r="W311" s="27"/>
      <c r="X311" s="27"/>
      <c r="Y311" s="46">
        <v>2018</v>
      </c>
      <c r="Z311" s="47" t="s">
        <v>43</v>
      </c>
      <c r="AA311" s="35">
        <f t="shared" si="194"/>
        <v>0.60991253644314869</v>
      </c>
      <c r="AB311" s="35">
        <f t="shared" si="195"/>
        <v>0.71939477303988997</v>
      </c>
      <c r="AC311" s="35">
        <f t="shared" si="196"/>
        <v>0.84781341107871722</v>
      </c>
      <c r="AD311" s="27">
        <v>1715</v>
      </c>
      <c r="AE311" s="27">
        <f t="shared" si="240"/>
        <v>261</v>
      </c>
      <c r="AF311" s="27">
        <v>1454</v>
      </c>
      <c r="AG311" s="27">
        <v>1046</v>
      </c>
      <c r="AH311" s="27">
        <f t="shared" si="241"/>
        <v>408</v>
      </c>
      <c r="AI311" s="27"/>
      <c r="AJ311" s="27"/>
      <c r="AK311" s="46">
        <v>2018</v>
      </c>
      <c r="AL311" s="47" t="s">
        <v>43</v>
      </c>
      <c r="AM311" s="35"/>
      <c r="AN311" s="35"/>
      <c r="AO311" s="35"/>
      <c r="AP311" s="27"/>
      <c r="AQ311" s="27"/>
      <c r="AR311" s="27"/>
      <c r="AS311" s="27"/>
      <c r="AT311" s="27"/>
      <c r="AU311" s="27"/>
      <c r="AV311" s="27"/>
      <c r="AW311" s="46">
        <v>2018</v>
      </c>
      <c r="AX311" s="47" t="s">
        <v>43</v>
      </c>
      <c r="AY311" s="35"/>
      <c r="AZ311" s="35"/>
      <c r="BA311" s="35"/>
      <c r="BB311" s="27"/>
      <c r="BC311" s="27"/>
      <c r="BD311" s="27">
        <v>949</v>
      </c>
      <c r="BE311" s="27"/>
      <c r="BF311" s="27"/>
    </row>
    <row r="312" spans="1:59" s="29" customFormat="1" ht="12.75">
      <c r="A312" s="45">
        <v>2018</v>
      </c>
      <c r="B312" s="48" t="s">
        <v>44</v>
      </c>
      <c r="C312" s="35">
        <f t="shared" si="188"/>
        <v>0.75992844364937384</v>
      </c>
      <c r="D312" s="35">
        <f t="shared" si="189"/>
        <v>0.68295819935691315</v>
      </c>
      <c r="E312" s="35">
        <f t="shared" si="190"/>
        <v>1.1127012522361359</v>
      </c>
      <c r="F312" s="92">
        <f t="shared" si="233"/>
        <v>5590</v>
      </c>
      <c r="G312" s="27">
        <f t="shared" si="234"/>
        <v>-630</v>
      </c>
      <c r="H312" s="92">
        <f t="shared" si="235"/>
        <v>6220</v>
      </c>
      <c r="I312" s="92">
        <f t="shared" si="236"/>
        <v>4248</v>
      </c>
      <c r="J312" s="27">
        <f t="shared" si="237"/>
        <v>1972</v>
      </c>
      <c r="K312" s="27"/>
      <c r="L312" s="27"/>
      <c r="M312" s="45">
        <v>2018</v>
      </c>
      <c r="N312" s="48" t="s">
        <v>44</v>
      </c>
      <c r="O312" s="35">
        <f t="shared" si="191"/>
        <v>0.78728414442700156</v>
      </c>
      <c r="P312" s="35">
        <f t="shared" si="192"/>
        <v>0.84522471910112362</v>
      </c>
      <c r="Q312" s="35">
        <f t="shared" si="193"/>
        <v>0.93144950287807426</v>
      </c>
      <c r="R312" s="27">
        <v>3822</v>
      </c>
      <c r="S312" s="27">
        <f t="shared" si="238"/>
        <v>262</v>
      </c>
      <c r="T312" s="27">
        <v>3560</v>
      </c>
      <c r="U312" s="27">
        <v>3009</v>
      </c>
      <c r="V312" s="27">
        <f t="shared" si="239"/>
        <v>551</v>
      </c>
      <c r="W312" s="27"/>
      <c r="X312" s="27"/>
      <c r="Y312" s="45">
        <v>2018</v>
      </c>
      <c r="Z312" s="48" t="s">
        <v>44</v>
      </c>
      <c r="AA312" s="35">
        <f t="shared" si="194"/>
        <v>0.70079185520361986</v>
      </c>
      <c r="AB312" s="35">
        <f t="shared" si="195"/>
        <v>0.7634011090573013</v>
      </c>
      <c r="AC312" s="35">
        <f t="shared" si="196"/>
        <v>0.91798642533936647</v>
      </c>
      <c r="AD312" s="27">
        <v>1768</v>
      </c>
      <c r="AE312" s="27">
        <f t="shared" si="240"/>
        <v>145</v>
      </c>
      <c r="AF312" s="27">
        <v>1623</v>
      </c>
      <c r="AG312" s="27">
        <v>1239</v>
      </c>
      <c r="AH312" s="27">
        <f t="shared" si="241"/>
        <v>384</v>
      </c>
      <c r="AI312" s="27"/>
      <c r="AJ312" s="27"/>
      <c r="AK312" s="45">
        <v>2018</v>
      </c>
      <c r="AL312" s="48" t="s">
        <v>44</v>
      </c>
      <c r="AM312" s="35"/>
      <c r="AN312" s="35"/>
      <c r="AO312" s="35"/>
      <c r="AP312" s="27"/>
      <c r="AQ312" s="27"/>
      <c r="AR312" s="27"/>
      <c r="AS312" s="27"/>
      <c r="AT312" s="27"/>
      <c r="AU312" s="27"/>
      <c r="AV312" s="27"/>
      <c r="AW312" s="45">
        <v>2018</v>
      </c>
      <c r="AX312" s="48" t="s">
        <v>44</v>
      </c>
      <c r="AY312" s="35"/>
      <c r="AZ312" s="35"/>
      <c r="BA312" s="35"/>
      <c r="BB312" s="27"/>
      <c r="BC312" s="27"/>
      <c r="BD312" s="27">
        <v>1037</v>
      </c>
      <c r="BE312" s="27"/>
      <c r="BF312" s="27"/>
    </row>
    <row r="313" spans="1:59" s="29" customFormat="1" ht="12.75">
      <c r="A313" s="46">
        <v>2018</v>
      </c>
      <c r="B313" s="47" t="s">
        <v>45</v>
      </c>
      <c r="C313" s="35">
        <f t="shared" si="188"/>
        <v>0.71679999999999999</v>
      </c>
      <c r="D313" s="35">
        <f t="shared" si="189"/>
        <v>0.65871589609540926</v>
      </c>
      <c r="E313" s="35">
        <f t="shared" si="190"/>
        <v>1.0881777777777777</v>
      </c>
      <c r="F313" s="92">
        <f t="shared" si="233"/>
        <v>5625</v>
      </c>
      <c r="G313" s="27">
        <f t="shared" si="234"/>
        <v>-496</v>
      </c>
      <c r="H313" s="92">
        <f t="shared" si="235"/>
        <v>6121</v>
      </c>
      <c r="I313" s="92">
        <f t="shared" si="236"/>
        <v>4032</v>
      </c>
      <c r="J313" s="27">
        <f t="shared" si="237"/>
        <v>2089</v>
      </c>
      <c r="K313" s="27"/>
      <c r="L313" s="27"/>
      <c r="M313" s="46">
        <v>2018</v>
      </c>
      <c r="N313" s="47" t="s">
        <v>45</v>
      </c>
      <c r="O313" s="35">
        <f t="shared" si="191"/>
        <v>0.73650051921079962</v>
      </c>
      <c r="P313" s="35">
        <f t="shared" si="192"/>
        <v>0.82735491396908722</v>
      </c>
      <c r="Q313" s="35">
        <f t="shared" si="193"/>
        <v>0.89018691588785048</v>
      </c>
      <c r="R313" s="27">
        <v>3852</v>
      </c>
      <c r="S313" s="27">
        <f t="shared" si="238"/>
        <v>423</v>
      </c>
      <c r="T313" s="27">
        <v>3429</v>
      </c>
      <c r="U313" s="27">
        <v>2837</v>
      </c>
      <c r="V313" s="27">
        <f t="shared" si="239"/>
        <v>592</v>
      </c>
      <c r="W313" s="27"/>
      <c r="X313" s="27"/>
      <c r="Y313" s="46">
        <v>2018</v>
      </c>
      <c r="Z313" s="47" t="s">
        <v>45</v>
      </c>
      <c r="AA313" s="35">
        <f t="shared" si="194"/>
        <v>0.67399887196841513</v>
      </c>
      <c r="AB313" s="35">
        <f t="shared" si="195"/>
        <v>0.76017811704834604</v>
      </c>
      <c r="AC313" s="35">
        <f t="shared" si="196"/>
        <v>0.88663282571912017</v>
      </c>
      <c r="AD313" s="27">
        <v>1773</v>
      </c>
      <c r="AE313" s="27">
        <f t="shared" si="240"/>
        <v>201</v>
      </c>
      <c r="AF313" s="27">
        <v>1572</v>
      </c>
      <c r="AG313" s="27">
        <v>1195</v>
      </c>
      <c r="AH313" s="27">
        <f t="shared" si="241"/>
        <v>377</v>
      </c>
      <c r="AI313" s="27"/>
      <c r="AJ313" s="27"/>
      <c r="AK313" s="46">
        <v>2018</v>
      </c>
      <c r="AL313" s="47" t="s">
        <v>45</v>
      </c>
      <c r="AM313" s="35"/>
      <c r="AN313" s="35"/>
      <c r="AO313" s="35"/>
      <c r="AP313" s="27"/>
      <c r="AQ313" s="27"/>
      <c r="AR313" s="27"/>
      <c r="AS313" s="27"/>
      <c r="AT313" s="27"/>
      <c r="AU313" s="27"/>
      <c r="AV313" s="27"/>
      <c r="AW313" s="46">
        <v>2018</v>
      </c>
      <c r="AX313" s="47" t="s">
        <v>45</v>
      </c>
      <c r="AY313" s="35"/>
      <c r="AZ313" s="35"/>
      <c r="BA313" s="35"/>
      <c r="BB313" s="27"/>
      <c r="BC313" s="27"/>
      <c r="BD313" s="27">
        <v>1120</v>
      </c>
      <c r="BE313" s="27"/>
      <c r="BF313" s="27"/>
    </row>
    <row r="314" spans="1:59" s="29" customFormat="1" ht="12.75">
      <c r="A314" s="45">
        <v>2018</v>
      </c>
      <c r="B314" s="48" t="s">
        <v>46</v>
      </c>
      <c r="C314" s="35">
        <f t="shared" si="188"/>
        <v>0.66464088397790055</v>
      </c>
      <c r="D314" s="35">
        <f t="shared" si="189"/>
        <v>0.63215974776668415</v>
      </c>
      <c r="E314" s="35">
        <f t="shared" si="190"/>
        <v>1.0513812154696132</v>
      </c>
      <c r="F314" s="92">
        <f t="shared" si="233"/>
        <v>5430</v>
      </c>
      <c r="G314" s="27">
        <f t="shared" si="234"/>
        <v>-279</v>
      </c>
      <c r="H314" s="92">
        <f t="shared" si="235"/>
        <v>5709</v>
      </c>
      <c r="I314" s="92">
        <f t="shared" si="236"/>
        <v>3609</v>
      </c>
      <c r="J314" s="27">
        <f t="shared" si="237"/>
        <v>2100</v>
      </c>
      <c r="K314" s="27"/>
      <c r="L314" s="27"/>
      <c r="M314" s="45">
        <v>2018</v>
      </c>
      <c r="N314" s="48" t="s">
        <v>46</v>
      </c>
      <c r="O314" s="35">
        <f t="shared" si="191"/>
        <v>0.69017496635262454</v>
      </c>
      <c r="P314" s="35">
        <f t="shared" si="192"/>
        <v>0.80175109443402126</v>
      </c>
      <c r="Q314" s="35">
        <f t="shared" si="193"/>
        <v>0.86083445491251687</v>
      </c>
      <c r="R314" s="27">
        <v>3715</v>
      </c>
      <c r="S314" s="27">
        <f t="shared" si="238"/>
        <v>517</v>
      </c>
      <c r="T314" s="27">
        <v>3198</v>
      </c>
      <c r="U314" s="27">
        <v>2564</v>
      </c>
      <c r="V314" s="27">
        <f t="shared" si="239"/>
        <v>634</v>
      </c>
      <c r="W314" s="27"/>
      <c r="X314" s="27"/>
      <c r="Y314" s="45">
        <v>2018</v>
      </c>
      <c r="Z314" s="48" t="s">
        <v>46</v>
      </c>
      <c r="AA314" s="35">
        <f t="shared" si="194"/>
        <v>0.60932944606413997</v>
      </c>
      <c r="AB314" s="35">
        <f t="shared" si="195"/>
        <v>0.69899665551839463</v>
      </c>
      <c r="AC314" s="35">
        <f t="shared" si="196"/>
        <v>0.8717201166180758</v>
      </c>
      <c r="AD314" s="27">
        <v>1715</v>
      </c>
      <c r="AE314" s="27">
        <f t="shared" si="240"/>
        <v>220</v>
      </c>
      <c r="AF314" s="27">
        <v>1495</v>
      </c>
      <c r="AG314" s="27">
        <v>1045</v>
      </c>
      <c r="AH314" s="27">
        <f t="shared" si="241"/>
        <v>450</v>
      </c>
      <c r="AI314" s="27"/>
      <c r="AJ314" s="27"/>
      <c r="AK314" s="45">
        <v>2018</v>
      </c>
      <c r="AL314" s="48" t="s">
        <v>46</v>
      </c>
      <c r="AM314" s="35"/>
      <c r="AN314" s="35"/>
      <c r="AO314" s="35"/>
      <c r="AP314" s="27"/>
      <c r="AQ314" s="27"/>
      <c r="AR314" s="27"/>
      <c r="AS314" s="27"/>
      <c r="AT314" s="27"/>
      <c r="AU314" s="27"/>
      <c r="AV314" s="27"/>
      <c r="AW314" s="45">
        <v>2018</v>
      </c>
      <c r="AX314" s="48" t="s">
        <v>46</v>
      </c>
      <c r="AY314" s="35"/>
      <c r="AZ314" s="35"/>
      <c r="BA314" s="35"/>
      <c r="BB314" s="27"/>
      <c r="BC314" s="27"/>
      <c r="BD314" s="27">
        <v>1016</v>
      </c>
      <c r="BE314" s="27"/>
      <c r="BF314" s="27"/>
    </row>
    <row r="315" spans="1:59" s="29" customFormat="1" ht="12.75">
      <c r="A315" s="46">
        <v>2018</v>
      </c>
      <c r="B315" s="47" t="s">
        <v>47</v>
      </c>
      <c r="C315" s="35">
        <f t="shared" si="188"/>
        <v>0.6186666666666667</v>
      </c>
      <c r="D315" s="35">
        <f t="shared" si="189"/>
        <v>0.71856287425149701</v>
      </c>
      <c r="E315" s="35">
        <f t="shared" si="190"/>
        <v>0.86097777777777773</v>
      </c>
      <c r="F315" s="92">
        <f t="shared" si="233"/>
        <v>5625</v>
      </c>
      <c r="G315" s="27">
        <f t="shared" si="234"/>
        <v>782</v>
      </c>
      <c r="H315" s="92">
        <f t="shared" si="235"/>
        <v>4843</v>
      </c>
      <c r="I315" s="92">
        <f t="shared" si="236"/>
        <v>3480</v>
      </c>
      <c r="J315" s="27">
        <f t="shared" si="237"/>
        <v>1363</v>
      </c>
      <c r="K315" s="27"/>
      <c r="L315" s="27"/>
      <c r="M315" s="46">
        <v>2018</v>
      </c>
      <c r="N315" s="47" t="s">
        <v>47</v>
      </c>
      <c r="O315" s="35">
        <f t="shared" si="191"/>
        <v>0.65134994807891999</v>
      </c>
      <c r="P315" s="35">
        <f t="shared" si="192"/>
        <v>0.75300120048019203</v>
      </c>
      <c r="Q315" s="35">
        <f t="shared" si="193"/>
        <v>0.86500519210799587</v>
      </c>
      <c r="R315" s="27">
        <v>3852</v>
      </c>
      <c r="S315" s="27">
        <f t="shared" si="238"/>
        <v>520</v>
      </c>
      <c r="T315" s="27">
        <v>3332</v>
      </c>
      <c r="U315" s="27">
        <v>2509</v>
      </c>
      <c r="V315" s="27">
        <f t="shared" si="239"/>
        <v>823</v>
      </c>
      <c r="W315" s="27"/>
      <c r="X315" s="27"/>
      <c r="Y315" s="46">
        <v>2018</v>
      </c>
      <c r="Z315" s="47" t="s">
        <v>47</v>
      </c>
      <c r="AA315" s="35">
        <f t="shared" si="194"/>
        <v>0.54765933446136494</v>
      </c>
      <c r="AB315" s="35">
        <f t="shared" si="195"/>
        <v>0.65299260255548086</v>
      </c>
      <c r="AC315" s="35">
        <f t="shared" si="196"/>
        <v>0.8386914833615341</v>
      </c>
      <c r="AD315" s="27">
        <v>1773</v>
      </c>
      <c r="AE315" s="27">
        <f t="shared" si="240"/>
        <v>286</v>
      </c>
      <c r="AF315" s="27">
        <v>1487</v>
      </c>
      <c r="AG315" s="27">
        <v>971</v>
      </c>
      <c r="AH315" s="27">
        <f t="shared" si="241"/>
        <v>516</v>
      </c>
      <c r="AI315" s="27"/>
      <c r="AJ315" s="27"/>
      <c r="AK315" s="46">
        <v>2018</v>
      </c>
      <c r="AL315" s="47" t="s">
        <v>47</v>
      </c>
      <c r="AM315" s="35"/>
      <c r="AN315" s="35"/>
      <c r="AO315" s="35"/>
      <c r="AP315" s="27"/>
      <c r="AQ315" s="27"/>
      <c r="AR315" s="27"/>
      <c r="AS315" s="27"/>
      <c r="AT315" s="27"/>
      <c r="AU315" s="27"/>
      <c r="AV315" s="27"/>
      <c r="AW315" s="46">
        <v>2018</v>
      </c>
      <c r="AX315" s="47" t="s">
        <v>47</v>
      </c>
      <c r="AY315" s="35"/>
      <c r="AZ315" s="35"/>
      <c r="BA315" s="35"/>
      <c r="BB315" s="27"/>
      <c r="BC315" s="27"/>
      <c r="BD315" s="27">
        <v>24</v>
      </c>
      <c r="BE315" s="27"/>
      <c r="BF315" s="27"/>
    </row>
    <row r="316" spans="1:59" s="29" customFormat="1" ht="12.75">
      <c r="A316" s="45">
        <v>2018</v>
      </c>
      <c r="B316" s="48" t="s">
        <v>48</v>
      </c>
      <c r="C316" s="35">
        <f t="shared" si="188"/>
        <v>0.54828030163693209</v>
      </c>
      <c r="D316" s="35">
        <f t="shared" si="189"/>
        <v>0.60442011354420111</v>
      </c>
      <c r="E316" s="35">
        <f t="shared" si="190"/>
        <v>0.90711789589847347</v>
      </c>
      <c r="F316" s="92">
        <f t="shared" si="233"/>
        <v>5437</v>
      </c>
      <c r="G316" s="27">
        <f t="shared" si="234"/>
        <v>505</v>
      </c>
      <c r="H316" s="92">
        <f t="shared" si="235"/>
        <v>4932</v>
      </c>
      <c r="I316" s="92">
        <f t="shared" si="236"/>
        <v>2981</v>
      </c>
      <c r="J316" s="27">
        <f t="shared" si="237"/>
        <v>1951</v>
      </c>
      <c r="K316" s="27"/>
      <c r="L316" s="27"/>
      <c r="M316" s="45">
        <v>2018</v>
      </c>
      <c r="N316" s="48" t="s">
        <v>48</v>
      </c>
      <c r="O316" s="35">
        <f t="shared" si="191"/>
        <v>0.57227297152068779</v>
      </c>
      <c r="P316" s="35">
        <f t="shared" si="192"/>
        <v>0.70135001646361539</v>
      </c>
      <c r="Q316" s="35">
        <f t="shared" si="193"/>
        <v>0.81595916174099947</v>
      </c>
      <c r="R316" s="27">
        <v>3722</v>
      </c>
      <c r="S316" s="27">
        <f t="shared" si="238"/>
        <v>685</v>
      </c>
      <c r="T316" s="27">
        <v>3037</v>
      </c>
      <c r="U316" s="27">
        <v>2130</v>
      </c>
      <c r="V316" s="27">
        <f t="shared" si="239"/>
        <v>907</v>
      </c>
      <c r="W316" s="27"/>
      <c r="X316" s="27"/>
      <c r="Y316" s="45">
        <v>2018</v>
      </c>
      <c r="Z316" s="48" t="s">
        <v>48</v>
      </c>
      <c r="AA316" s="35">
        <f t="shared" si="194"/>
        <v>0.49620991253644314</v>
      </c>
      <c r="AB316" s="35">
        <f t="shared" si="195"/>
        <v>0.60014104372355426</v>
      </c>
      <c r="AC316" s="35">
        <f t="shared" si="196"/>
        <v>0.82682215743440235</v>
      </c>
      <c r="AD316" s="27">
        <v>1715</v>
      </c>
      <c r="AE316" s="27">
        <f t="shared" si="240"/>
        <v>297</v>
      </c>
      <c r="AF316" s="27">
        <v>1418</v>
      </c>
      <c r="AG316" s="27">
        <v>851</v>
      </c>
      <c r="AH316" s="27">
        <f t="shared" si="241"/>
        <v>567</v>
      </c>
      <c r="AI316" s="27"/>
      <c r="AJ316" s="27"/>
      <c r="AK316" s="45">
        <v>2018</v>
      </c>
      <c r="AL316" s="48" t="s">
        <v>48</v>
      </c>
      <c r="AM316" s="35"/>
      <c r="AN316" s="35"/>
      <c r="AO316" s="35"/>
      <c r="AP316" s="27"/>
      <c r="AQ316" s="27"/>
      <c r="AR316" s="27"/>
      <c r="AS316" s="27"/>
      <c r="AT316" s="27"/>
      <c r="AU316" s="27"/>
      <c r="AV316" s="27"/>
      <c r="AW316" s="45">
        <v>2018</v>
      </c>
      <c r="AX316" s="48" t="s">
        <v>48</v>
      </c>
      <c r="AY316" s="35"/>
      <c r="AZ316" s="35"/>
      <c r="BA316" s="35"/>
      <c r="BB316" s="27"/>
      <c r="BC316" s="27"/>
      <c r="BD316" s="27">
        <v>477</v>
      </c>
      <c r="BE316" s="27"/>
      <c r="BF316" s="27"/>
    </row>
    <row r="317" spans="1:59" s="29" customFormat="1" ht="12.75">
      <c r="A317" s="46">
        <v>2018</v>
      </c>
      <c r="B317" s="47" t="s">
        <v>49</v>
      </c>
      <c r="C317" s="35">
        <f t="shared" si="188"/>
        <v>0.58202490525175965</v>
      </c>
      <c r="D317" s="35">
        <f t="shared" si="189"/>
        <v>0.58775287042099511</v>
      </c>
      <c r="E317" s="35">
        <f t="shared" si="190"/>
        <v>0.99025446670276118</v>
      </c>
      <c r="F317" s="92">
        <f t="shared" si="233"/>
        <v>5541</v>
      </c>
      <c r="G317" s="27">
        <f t="shared" si="234"/>
        <v>54</v>
      </c>
      <c r="H317" s="92">
        <f t="shared" si="235"/>
        <v>5487</v>
      </c>
      <c r="I317" s="92">
        <f t="shared" si="236"/>
        <v>3225</v>
      </c>
      <c r="J317" s="27">
        <f t="shared" si="237"/>
        <v>2262</v>
      </c>
      <c r="K317" s="27"/>
      <c r="L317" s="27"/>
      <c r="M317" s="46">
        <v>2018</v>
      </c>
      <c r="N317" s="47" t="s">
        <v>49</v>
      </c>
      <c r="O317" s="35">
        <f t="shared" si="191"/>
        <v>0.61646373742721017</v>
      </c>
      <c r="P317" s="35">
        <f t="shared" si="192"/>
        <v>0.72645040548970685</v>
      </c>
      <c r="Q317" s="35">
        <f t="shared" si="193"/>
        <v>0.84859714134462683</v>
      </c>
      <c r="R317" s="27">
        <v>3778</v>
      </c>
      <c r="S317" s="27">
        <f t="shared" si="238"/>
        <v>572</v>
      </c>
      <c r="T317" s="27">
        <v>3206</v>
      </c>
      <c r="U317" s="27">
        <v>2329</v>
      </c>
      <c r="V317" s="27">
        <f t="shared" si="239"/>
        <v>877</v>
      </c>
      <c r="W317" s="27"/>
      <c r="X317" s="27"/>
      <c r="Y317" s="46">
        <v>2018</v>
      </c>
      <c r="Z317" s="47" t="s">
        <v>49</v>
      </c>
      <c r="AA317" s="35">
        <f t="shared" si="194"/>
        <v>0.5082246171298922</v>
      </c>
      <c r="AB317" s="35">
        <f t="shared" si="195"/>
        <v>0.59973226238286481</v>
      </c>
      <c r="AC317" s="35">
        <f t="shared" si="196"/>
        <v>0.84741917186613724</v>
      </c>
      <c r="AD317" s="27">
        <v>1763</v>
      </c>
      <c r="AE317" s="27">
        <f t="shared" si="240"/>
        <v>269</v>
      </c>
      <c r="AF317" s="27">
        <v>1494</v>
      </c>
      <c r="AG317" s="27">
        <v>896</v>
      </c>
      <c r="AH317" s="27">
        <f t="shared" si="241"/>
        <v>598</v>
      </c>
      <c r="AI317" s="27"/>
      <c r="AJ317" s="27"/>
      <c r="AK317" s="46">
        <v>2018</v>
      </c>
      <c r="AL317" s="47" t="s">
        <v>49</v>
      </c>
      <c r="AM317" s="35"/>
      <c r="AN317" s="35"/>
      <c r="AO317" s="35"/>
      <c r="AP317" s="27"/>
      <c r="AQ317" s="27"/>
      <c r="AR317" s="27"/>
      <c r="AS317" s="27"/>
      <c r="AT317" s="27"/>
      <c r="AU317" s="27"/>
      <c r="AV317" s="27"/>
      <c r="AW317" s="46">
        <v>2018</v>
      </c>
      <c r="AX317" s="47" t="s">
        <v>49</v>
      </c>
      <c r="AY317" s="35"/>
      <c r="AZ317" s="35"/>
      <c r="BA317" s="35"/>
      <c r="BB317" s="27"/>
      <c r="BC317" s="27"/>
      <c r="BD317" s="27">
        <v>787</v>
      </c>
      <c r="BE317" s="27"/>
      <c r="BF317" s="27"/>
    </row>
    <row r="318" spans="1:59" s="29" customFormat="1" ht="12.75">
      <c r="A318" s="45">
        <v>2019</v>
      </c>
      <c r="B318" s="48" t="s">
        <v>38</v>
      </c>
      <c r="C318" s="35">
        <f t="shared" si="188"/>
        <v>0.7301333333333333</v>
      </c>
      <c r="D318" s="35">
        <f t="shared" si="189"/>
        <v>0.68851634534786255</v>
      </c>
      <c r="E318" s="35">
        <f t="shared" si="190"/>
        <v>1.0604444444444445</v>
      </c>
      <c r="F318" s="92">
        <f t="shared" si="233"/>
        <v>5625</v>
      </c>
      <c r="G318" s="27">
        <f t="shared" ref="G318:G333" si="242">F318-H318</f>
        <v>-340</v>
      </c>
      <c r="H318" s="92">
        <f t="shared" si="235"/>
        <v>5965</v>
      </c>
      <c r="I318" s="92">
        <f t="shared" si="236"/>
        <v>4107</v>
      </c>
      <c r="J318" s="27">
        <f t="shared" ref="J318:J333" si="243">H318-I318</f>
        <v>1858</v>
      </c>
      <c r="K318" s="27"/>
      <c r="L318" s="27"/>
      <c r="M318" s="45">
        <v>2019</v>
      </c>
      <c r="N318" s="48" t="s">
        <v>38</v>
      </c>
      <c r="O318" s="35">
        <f t="shared" si="191"/>
        <v>0.75571131879543096</v>
      </c>
      <c r="P318" s="35">
        <f t="shared" si="192"/>
        <v>0.82816500711237551</v>
      </c>
      <c r="Q318" s="35">
        <f t="shared" si="193"/>
        <v>0.91251298026998962</v>
      </c>
      <c r="R318" s="27">
        <v>3852</v>
      </c>
      <c r="S318" s="27">
        <f t="shared" ref="S318:S333" si="244">R318-T318</f>
        <v>337</v>
      </c>
      <c r="T318" s="27">
        <v>3515</v>
      </c>
      <c r="U318" s="27">
        <v>2911</v>
      </c>
      <c r="V318" s="27">
        <f t="shared" ref="V318:V333" si="245">T318-U318</f>
        <v>604</v>
      </c>
      <c r="W318" s="27"/>
      <c r="X318" s="27"/>
      <c r="Y318" s="45">
        <v>2019</v>
      </c>
      <c r="Z318" s="48" t="s">
        <v>38</v>
      </c>
      <c r="AA318" s="35">
        <f t="shared" si="194"/>
        <v>0.67456288776085727</v>
      </c>
      <c r="AB318" s="35">
        <f t="shared" si="195"/>
        <v>0.73015873015873012</v>
      </c>
      <c r="AC318" s="35">
        <f t="shared" si="196"/>
        <v>0.92385786802030456</v>
      </c>
      <c r="AD318" s="27">
        <v>1773</v>
      </c>
      <c r="AE318" s="27">
        <f t="shared" ref="AE318:AE333" si="246">AD318-AF318</f>
        <v>135</v>
      </c>
      <c r="AF318" s="27">
        <v>1638</v>
      </c>
      <c r="AG318" s="27">
        <v>1196</v>
      </c>
      <c r="AH318" s="27">
        <f t="shared" ref="AH318:AH333" si="247">AF318-AG318</f>
        <v>442</v>
      </c>
      <c r="AI318" s="27"/>
      <c r="AJ318" s="27"/>
      <c r="AK318" s="45">
        <v>2019</v>
      </c>
      <c r="AL318" s="48" t="s">
        <v>38</v>
      </c>
      <c r="AM318" s="35"/>
      <c r="AN318" s="35"/>
      <c r="AO318" s="35"/>
      <c r="AP318" s="27"/>
      <c r="AQ318" s="27"/>
      <c r="AR318" s="27"/>
      <c r="AS318" s="27"/>
      <c r="AT318" s="27"/>
      <c r="AU318" s="27"/>
      <c r="AV318" s="27"/>
      <c r="AW318" s="45">
        <v>2019</v>
      </c>
      <c r="AX318" s="48" t="s">
        <v>38</v>
      </c>
      <c r="AY318" s="35"/>
      <c r="AZ318" s="35"/>
      <c r="BA318" s="35"/>
      <c r="BB318" s="27"/>
      <c r="BC318" s="27"/>
      <c r="BD318" s="27">
        <v>812</v>
      </c>
      <c r="BE318" s="27"/>
      <c r="BF318" s="27"/>
    </row>
    <row r="319" spans="1:59" s="29" customFormat="1" ht="12.75">
      <c r="A319" s="46">
        <v>2019</v>
      </c>
      <c r="B319" s="47" t="s">
        <v>39</v>
      </c>
      <c r="C319" s="35">
        <f t="shared" si="188"/>
        <v>0.7140894819466248</v>
      </c>
      <c r="D319" s="35">
        <f t="shared" si="189"/>
        <v>0.69459820576445885</v>
      </c>
      <c r="E319" s="35">
        <f t="shared" si="190"/>
        <v>1.028061224489796</v>
      </c>
      <c r="F319" s="92">
        <f t="shared" si="233"/>
        <v>5096</v>
      </c>
      <c r="G319" s="27">
        <f t="shared" si="242"/>
        <v>-143</v>
      </c>
      <c r="H319" s="92">
        <f t="shared" si="235"/>
        <v>5239</v>
      </c>
      <c r="I319" s="92">
        <f t="shared" si="236"/>
        <v>3639</v>
      </c>
      <c r="J319" s="27">
        <f t="shared" si="243"/>
        <v>1600</v>
      </c>
      <c r="K319" s="27"/>
      <c r="L319" s="27"/>
      <c r="M319" s="46">
        <v>2019</v>
      </c>
      <c r="N319" s="47" t="s">
        <v>39</v>
      </c>
      <c r="O319" s="35">
        <f t="shared" si="191"/>
        <v>0.73367697594501713</v>
      </c>
      <c r="P319" s="35">
        <f t="shared" si="192"/>
        <v>0.83479960899315742</v>
      </c>
      <c r="Q319" s="35">
        <f t="shared" si="193"/>
        <v>0.87886597938144329</v>
      </c>
      <c r="R319" s="27">
        <v>3492</v>
      </c>
      <c r="S319" s="27">
        <f t="shared" si="244"/>
        <v>423</v>
      </c>
      <c r="T319" s="27">
        <v>3069</v>
      </c>
      <c r="U319" s="27">
        <v>2562</v>
      </c>
      <c r="V319" s="27">
        <f t="shared" si="245"/>
        <v>507</v>
      </c>
      <c r="W319" s="27"/>
      <c r="X319" s="27"/>
      <c r="Y319" s="46">
        <v>2019</v>
      </c>
      <c r="Z319" s="47" t="s">
        <v>39</v>
      </c>
      <c r="AA319" s="35">
        <f t="shared" si="194"/>
        <v>0.6714463840399002</v>
      </c>
      <c r="AB319" s="35">
        <f t="shared" si="195"/>
        <v>0.78100072516316166</v>
      </c>
      <c r="AC319" s="35">
        <f t="shared" si="196"/>
        <v>0.85972568578553621</v>
      </c>
      <c r="AD319" s="27">
        <v>1604</v>
      </c>
      <c r="AE319" s="27">
        <f t="shared" si="246"/>
        <v>225</v>
      </c>
      <c r="AF319" s="27">
        <v>1379</v>
      </c>
      <c r="AG319" s="27">
        <v>1077</v>
      </c>
      <c r="AH319" s="27">
        <f t="shared" si="247"/>
        <v>302</v>
      </c>
      <c r="AI319" s="27"/>
      <c r="AJ319" s="27"/>
      <c r="AK319" s="46"/>
      <c r="AL319" s="47"/>
      <c r="AM319" s="35"/>
      <c r="AN319" s="35"/>
      <c r="AO319" s="35"/>
      <c r="AP319" s="27"/>
      <c r="AQ319" s="27"/>
      <c r="AR319" s="27"/>
      <c r="AS319" s="27"/>
      <c r="AT319" s="27"/>
      <c r="AU319" s="27"/>
      <c r="AV319" s="27"/>
      <c r="AW319" s="46">
        <v>2019</v>
      </c>
      <c r="AX319" s="47" t="s">
        <v>39</v>
      </c>
      <c r="AY319" s="35"/>
      <c r="AZ319" s="35"/>
      <c r="BA319" s="35"/>
      <c r="BB319" s="27"/>
      <c r="BC319" s="27"/>
      <c r="BD319" s="27">
        <v>791</v>
      </c>
      <c r="BE319" s="27"/>
      <c r="BF319" s="27"/>
    </row>
    <row r="320" spans="1:59" s="29" customFormat="1" ht="12.75">
      <c r="A320" s="45">
        <v>2019</v>
      </c>
      <c r="B320" s="48" t="s">
        <v>40</v>
      </c>
      <c r="C320" s="35">
        <f t="shared" si="188"/>
        <v>0.72985553772070622</v>
      </c>
      <c r="D320" s="35">
        <f t="shared" si="189"/>
        <v>0.80095120662321651</v>
      </c>
      <c r="E320" s="35">
        <f t="shared" si="190"/>
        <v>0.91123595505617982</v>
      </c>
      <c r="F320" s="92">
        <f>+R320+AD320+AP320+BB320</f>
        <v>6230</v>
      </c>
      <c r="G320" s="27">
        <f t="shared" si="242"/>
        <v>553</v>
      </c>
      <c r="H320" s="92">
        <f>+T320+AF320+AR320+BD320</f>
        <v>5677</v>
      </c>
      <c r="I320" s="92">
        <f>+U320+AG320+AS320+BE320</f>
        <v>4547</v>
      </c>
      <c r="J320" s="27">
        <f t="shared" si="243"/>
        <v>1130</v>
      </c>
      <c r="K320" s="27"/>
      <c r="L320" s="27"/>
      <c r="M320" s="45">
        <v>2019</v>
      </c>
      <c r="N320" s="48" t="s">
        <v>40</v>
      </c>
      <c r="O320" s="35">
        <f t="shared" si="191"/>
        <v>0.71040594625500286</v>
      </c>
      <c r="P320" s="35">
        <f t="shared" si="192"/>
        <v>0.78341740226986134</v>
      </c>
      <c r="Q320" s="35">
        <f t="shared" si="193"/>
        <v>0.90680388793596345</v>
      </c>
      <c r="R320" s="27">
        <v>3498</v>
      </c>
      <c r="S320" s="27">
        <f t="shared" si="244"/>
        <v>326</v>
      </c>
      <c r="T320" s="27">
        <v>3172</v>
      </c>
      <c r="U320" s="27">
        <v>2485</v>
      </c>
      <c r="V320" s="27">
        <f t="shared" si="245"/>
        <v>687</v>
      </c>
      <c r="W320" s="27"/>
      <c r="X320" s="27"/>
      <c r="Y320" s="45">
        <v>2019</v>
      </c>
      <c r="Z320" s="48" t="s">
        <v>40</v>
      </c>
      <c r="AA320" s="35">
        <f t="shared" si="194"/>
        <v>0.64823815309842037</v>
      </c>
      <c r="AB320" s="35">
        <f t="shared" si="195"/>
        <v>0.73535492763611299</v>
      </c>
      <c r="AC320" s="35">
        <f t="shared" si="196"/>
        <v>0.88153098420413123</v>
      </c>
      <c r="AD320" s="27">
        <v>1646</v>
      </c>
      <c r="AE320" s="27">
        <f t="shared" si="246"/>
        <v>195</v>
      </c>
      <c r="AF320" s="27">
        <v>1451</v>
      </c>
      <c r="AG320" s="27">
        <v>1067</v>
      </c>
      <c r="AH320" s="27">
        <f t="shared" si="247"/>
        <v>384</v>
      </c>
      <c r="AI320" s="27"/>
      <c r="AJ320" s="27"/>
      <c r="AK320" s="45"/>
      <c r="AL320" s="48"/>
      <c r="AM320" s="35"/>
      <c r="AN320" s="35"/>
      <c r="AO320" s="35"/>
      <c r="AP320" s="27"/>
      <c r="AQ320" s="27"/>
      <c r="AR320" s="27"/>
      <c r="AS320" s="27"/>
      <c r="AT320" s="27"/>
      <c r="AU320" s="27"/>
      <c r="AV320" s="27"/>
      <c r="AW320" s="45">
        <v>2019</v>
      </c>
      <c r="AX320" s="48" t="s">
        <v>40</v>
      </c>
      <c r="AY320" s="35">
        <f t="shared" ref="AY320:AY326" si="248">BE320/BB320</f>
        <v>0.91620626151012896</v>
      </c>
      <c r="AZ320" s="35">
        <f t="shared" ref="AZ320:AZ326" si="249">BE320/BD320</f>
        <v>0.94402277039848193</v>
      </c>
      <c r="BA320" s="35">
        <f t="shared" ref="BA320:BA326" si="250">BD320/BB320</f>
        <v>0.97053406998158376</v>
      </c>
      <c r="BB320" s="27">
        <v>1086</v>
      </c>
      <c r="BC320" s="27">
        <f t="shared" ref="BC320:BC332" si="251">BB320-BD320</f>
        <v>32</v>
      </c>
      <c r="BD320" s="27">
        <v>1054</v>
      </c>
      <c r="BE320" s="27">
        <v>995</v>
      </c>
      <c r="BF320" s="27">
        <f t="shared" ref="BF320:BF332" si="252">BD320-BE320</f>
        <v>59</v>
      </c>
      <c r="BG320" s="29" t="s">
        <v>79</v>
      </c>
    </row>
    <row r="321" spans="1:59" s="29" customFormat="1" ht="12.75">
      <c r="A321" s="46">
        <v>2019</v>
      </c>
      <c r="B321" s="47" t="s">
        <v>41</v>
      </c>
      <c r="C321" s="35">
        <f t="shared" si="188"/>
        <v>0.88731466227347611</v>
      </c>
      <c r="D321" s="35">
        <f t="shared" si="189"/>
        <v>0.92622527944969901</v>
      </c>
      <c r="E321" s="35">
        <f t="shared" si="190"/>
        <v>0.95799011532125211</v>
      </c>
      <c r="F321" s="92">
        <f>+R321+AD321+AP321+BB321</f>
        <v>6070</v>
      </c>
      <c r="G321" s="27">
        <f t="shared" si="242"/>
        <v>255</v>
      </c>
      <c r="H321" s="92">
        <f t="shared" ref="H321:I334" si="253">+T321+AF321+AR321+BD321</f>
        <v>5815</v>
      </c>
      <c r="I321" s="92">
        <f t="shared" si="253"/>
        <v>5386</v>
      </c>
      <c r="J321" s="27">
        <f t="shared" si="243"/>
        <v>429</v>
      </c>
      <c r="K321" s="27"/>
      <c r="L321" s="27"/>
      <c r="M321" s="46">
        <v>2019</v>
      </c>
      <c r="N321" s="47" t="s">
        <v>41</v>
      </c>
      <c r="O321" s="35">
        <f t="shared" si="191"/>
        <v>0.88145539906103287</v>
      </c>
      <c r="P321" s="35">
        <f t="shared" si="192"/>
        <v>0.92402337742233154</v>
      </c>
      <c r="Q321" s="35">
        <f t="shared" si="193"/>
        <v>0.95393192488262912</v>
      </c>
      <c r="R321" s="27">
        <v>3408</v>
      </c>
      <c r="S321" s="27">
        <f t="shared" si="244"/>
        <v>157</v>
      </c>
      <c r="T321" s="27">
        <v>3251</v>
      </c>
      <c r="U321" s="27">
        <v>3004</v>
      </c>
      <c r="V321" s="27">
        <f t="shared" si="245"/>
        <v>247</v>
      </c>
      <c r="W321" s="27"/>
      <c r="X321" s="27"/>
      <c r="Y321" s="46">
        <v>2019</v>
      </c>
      <c r="Z321" s="47" t="s">
        <v>41</v>
      </c>
      <c r="AA321" s="35">
        <f t="shared" si="194"/>
        <v>0.84711779448621549</v>
      </c>
      <c r="AB321" s="35">
        <f t="shared" si="195"/>
        <v>0.89477167438782268</v>
      </c>
      <c r="AC321" s="35">
        <f t="shared" si="196"/>
        <v>0.94674185463659144</v>
      </c>
      <c r="AD321" s="27">
        <v>1596</v>
      </c>
      <c r="AE321" s="27">
        <f t="shared" si="246"/>
        <v>85</v>
      </c>
      <c r="AF321" s="27">
        <v>1511</v>
      </c>
      <c r="AG321" s="27">
        <v>1352</v>
      </c>
      <c r="AH321" s="27">
        <f t="shared" si="247"/>
        <v>159</v>
      </c>
      <c r="AI321" s="27"/>
      <c r="AJ321" s="27"/>
      <c r="AK321" s="46"/>
      <c r="AL321" s="47"/>
      <c r="AM321" s="35"/>
      <c r="AN321" s="35"/>
      <c r="AO321" s="35"/>
      <c r="AP321" s="27"/>
      <c r="AQ321" s="27"/>
      <c r="AR321" s="27"/>
      <c r="AS321" s="27"/>
      <c r="AT321" s="27"/>
      <c r="AU321" s="27"/>
      <c r="AV321" s="27"/>
      <c r="AW321" s="46">
        <v>2019</v>
      </c>
      <c r="AX321" s="47" t="s">
        <v>41</v>
      </c>
      <c r="AY321" s="35">
        <f t="shared" si="248"/>
        <v>0.9662288930581614</v>
      </c>
      <c r="AZ321" s="35">
        <f t="shared" si="249"/>
        <v>0.97815764482431145</v>
      </c>
      <c r="BA321" s="35">
        <f t="shared" si="250"/>
        <v>0.98780487804878048</v>
      </c>
      <c r="BB321" s="27">
        <v>1066</v>
      </c>
      <c r="BC321" s="27">
        <f t="shared" si="251"/>
        <v>13</v>
      </c>
      <c r="BD321" s="27">
        <v>1053</v>
      </c>
      <c r="BE321" s="27">
        <v>1030</v>
      </c>
      <c r="BF321" s="27">
        <f t="shared" si="252"/>
        <v>23</v>
      </c>
    </row>
    <row r="322" spans="1:59" s="29" customFormat="1" ht="12.75">
      <c r="A322" s="45">
        <v>2019</v>
      </c>
      <c r="B322" s="48" t="s">
        <v>42</v>
      </c>
      <c r="C322" s="35">
        <f t="shared" si="188"/>
        <v>0.83784208870714061</v>
      </c>
      <c r="D322" s="35">
        <f t="shared" si="189"/>
        <v>0.90687776642832818</v>
      </c>
      <c r="E322" s="35">
        <f t="shared" si="190"/>
        <v>0.92387543252595161</v>
      </c>
      <c r="F322" s="92">
        <f t="shared" ref="F322:F334" si="254">+R322+AD322+AP322+BB322</f>
        <v>6358</v>
      </c>
      <c r="G322" s="27">
        <f t="shared" si="242"/>
        <v>484</v>
      </c>
      <c r="H322" s="92">
        <f t="shared" si="253"/>
        <v>5874</v>
      </c>
      <c r="I322" s="92">
        <f t="shared" si="253"/>
        <v>5327</v>
      </c>
      <c r="J322" s="27">
        <f t="shared" si="243"/>
        <v>547</v>
      </c>
      <c r="K322" s="27"/>
      <c r="L322" s="27"/>
      <c r="M322" s="45">
        <v>2019</v>
      </c>
      <c r="N322" s="48" t="s">
        <v>42</v>
      </c>
      <c r="O322" s="35">
        <f t="shared" si="191"/>
        <v>0.84552616769836808</v>
      </c>
      <c r="P322" s="35">
        <f t="shared" si="192"/>
        <v>0.91532135242156565</v>
      </c>
      <c r="Q322" s="35">
        <f t="shared" si="193"/>
        <v>0.92374788970174448</v>
      </c>
      <c r="R322" s="27">
        <v>3554</v>
      </c>
      <c r="S322" s="27">
        <f t="shared" si="244"/>
        <v>271</v>
      </c>
      <c r="T322" s="27">
        <v>3283</v>
      </c>
      <c r="U322" s="27">
        <v>3005</v>
      </c>
      <c r="V322" s="27">
        <f t="shared" si="245"/>
        <v>278</v>
      </c>
      <c r="W322" s="27"/>
      <c r="X322" s="27"/>
      <c r="Y322" s="45">
        <v>2019</v>
      </c>
      <c r="Z322" s="48" t="s">
        <v>42</v>
      </c>
      <c r="AA322" s="35">
        <f t="shared" si="194"/>
        <v>0.78121212121212125</v>
      </c>
      <c r="AB322" s="35">
        <f t="shared" si="195"/>
        <v>0.85194976867151351</v>
      </c>
      <c r="AC322" s="35">
        <f t="shared" si="196"/>
        <v>0.91696969696969699</v>
      </c>
      <c r="AD322" s="27">
        <v>1650</v>
      </c>
      <c r="AE322" s="27">
        <f t="shared" si="246"/>
        <v>137</v>
      </c>
      <c r="AF322" s="27">
        <v>1513</v>
      </c>
      <c r="AG322" s="27">
        <v>1289</v>
      </c>
      <c r="AH322" s="27">
        <f t="shared" si="247"/>
        <v>224</v>
      </c>
      <c r="AI322" s="27"/>
      <c r="AJ322" s="27"/>
      <c r="AK322" s="45"/>
      <c r="AL322" s="48"/>
      <c r="AM322" s="35"/>
      <c r="AN322" s="35"/>
      <c r="AO322" s="35"/>
      <c r="AP322" s="27"/>
      <c r="AQ322" s="27"/>
      <c r="AR322" s="27"/>
      <c r="AS322" s="27"/>
      <c r="AT322" s="27"/>
      <c r="AU322" s="27"/>
      <c r="AV322" s="27"/>
      <c r="AW322" s="45">
        <v>2019</v>
      </c>
      <c r="AX322" s="48" t="s">
        <v>42</v>
      </c>
      <c r="AY322" s="35">
        <f t="shared" si="248"/>
        <v>0.8951473136915078</v>
      </c>
      <c r="AZ322" s="35">
        <f t="shared" si="249"/>
        <v>0.95825602968460111</v>
      </c>
      <c r="BA322" s="35">
        <f t="shared" si="250"/>
        <v>0.9341421143847487</v>
      </c>
      <c r="BB322" s="27">
        <v>1154</v>
      </c>
      <c r="BC322" s="27">
        <f t="shared" si="251"/>
        <v>76</v>
      </c>
      <c r="BD322" s="27">
        <v>1078</v>
      </c>
      <c r="BE322" s="27">
        <v>1033</v>
      </c>
      <c r="BF322" s="27">
        <f t="shared" si="252"/>
        <v>45</v>
      </c>
    </row>
    <row r="323" spans="1:59" s="29" customFormat="1" ht="12.75">
      <c r="A323" s="46">
        <v>2019</v>
      </c>
      <c r="B323" s="47" t="s">
        <v>43</v>
      </c>
      <c r="C323" s="35">
        <f t="shared" si="188"/>
        <v>0.8667221297836939</v>
      </c>
      <c r="D323" s="35">
        <f t="shared" si="189"/>
        <v>0.93451740222461432</v>
      </c>
      <c r="E323" s="35">
        <f t="shared" si="190"/>
        <v>0.92745424292845258</v>
      </c>
      <c r="F323" s="92">
        <f t="shared" si="254"/>
        <v>6010</v>
      </c>
      <c r="G323" s="27">
        <f t="shared" si="242"/>
        <v>436</v>
      </c>
      <c r="H323" s="92">
        <f t="shared" si="253"/>
        <v>5574</v>
      </c>
      <c r="I323" s="92">
        <f t="shared" si="253"/>
        <v>5209</v>
      </c>
      <c r="J323" s="27">
        <f t="shared" si="243"/>
        <v>365</v>
      </c>
      <c r="K323" s="27"/>
      <c r="L323" s="27"/>
      <c r="M323" s="46">
        <v>2019</v>
      </c>
      <c r="N323" s="47" t="s">
        <v>43</v>
      </c>
      <c r="O323" s="35">
        <f t="shared" si="191"/>
        <v>0.86611374407582942</v>
      </c>
      <c r="P323" s="35">
        <f t="shared" si="192"/>
        <v>0.93958868894601544</v>
      </c>
      <c r="Q323" s="35">
        <f t="shared" si="193"/>
        <v>0.9218009478672986</v>
      </c>
      <c r="R323" s="27">
        <v>3376</v>
      </c>
      <c r="S323" s="27">
        <f t="shared" si="244"/>
        <v>264</v>
      </c>
      <c r="T323" s="27">
        <v>3112</v>
      </c>
      <c r="U323" s="27">
        <v>2924</v>
      </c>
      <c r="V323" s="27">
        <f t="shared" si="245"/>
        <v>188</v>
      </c>
      <c r="W323" s="27"/>
      <c r="X323" s="27"/>
      <c r="Y323" s="46">
        <v>2019</v>
      </c>
      <c r="Z323" s="47" t="s">
        <v>43</v>
      </c>
      <c r="AA323" s="35">
        <f t="shared" si="194"/>
        <v>0.80904522613065322</v>
      </c>
      <c r="AB323" s="35">
        <f t="shared" si="195"/>
        <v>0.89011748445058747</v>
      </c>
      <c r="AC323" s="35">
        <f t="shared" si="196"/>
        <v>0.9089195979899497</v>
      </c>
      <c r="AD323" s="27">
        <v>1592</v>
      </c>
      <c r="AE323" s="27">
        <f t="shared" si="246"/>
        <v>145</v>
      </c>
      <c r="AF323" s="27">
        <v>1447</v>
      </c>
      <c r="AG323" s="27">
        <v>1288</v>
      </c>
      <c r="AH323" s="27">
        <f t="shared" si="247"/>
        <v>159</v>
      </c>
      <c r="AI323" s="27"/>
      <c r="AJ323" s="27"/>
      <c r="AK323" s="46"/>
      <c r="AL323" s="47"/>
      <c r="AM323" s="35"/>
      <c r="AN323" s="35"/>
      <c r="AO323" s="35"/>
      <c r="AP323" s="27"/>
      <c r="AQ323" s="27"/>
      <c r="AR323" s="27"/>
      <c r="AS323" s="27"/>
      <c r="AT323" s="27"/>
      <c r="AU323" s="27"/>
      <c r="AV323" s="27"/>
      <c r="AW323" s="46">
        <v>2019</v>
      </c>
      <c r="AX323" s="47" t="s">
        <v>43</v>
      </c>
      <c r="AY323" s="35">
        <f t="shared" si="248"/>
        <v>0.95681381957773515</v>
      </c>
      <c r="AZ323" s="35">
        <f t="shared" si="249"/>
        <v>0.98226600985221679</v>
      </c>
      <c r="BA323" s="35">
        <f t="shared" si="250"/>
        <v>0.97408829174664102</v>
      </c>
      <c r="BB323" s="27">
        <v>1042</v>
      </c>
      <c r="BC323" s="27">
        <f t="shared" si="251"/>
        <v>27</v>
      </c>
      <c r="BD323" s="27">
        <v>1015</v>
      </c>
      <c r="BE323" s="27">
        <v>997</v>
      </c>
      <c r="BF323" s="27">
        <f t="shared" si="252"/>
        <v>18</v>
      </c>
    </row>
    <row r="324" spans="1:59" s="29" customFormat="1" ht="12.75">
      <c r="A324" s="45">
        <v>2019</v>
      </c>
      <c r="B324" s="48" t="s">
        <v>44</v>
      </c>
      <c r="C324" s="35">
        <f t="shared" si="188"/>
        <v>0.84188976377952751</v>
      </c>
      <c r="D324" s="35">
        <f t="shared" si="189"/>
        <v>0.90121375590020225</v>
      </c>
      <c r="E324" s="35">
        <f t="shared" si="190"/>
        <v>0.93417322834645666</v>
      </c>
      <c r="F324" s="92">
        <f t="shared" si="254"/>
        <v>6350</v>
      </c>
      <c r="G324" s="27">
        <f t="shared" si="242"/>
        <v>418</v>
      </c>
      <c r="H324" s="92">
        <f t="shared" si="253"/>
        <v>5932</v>
      </c>
      <c r="I324" s="92">
        <f t="shared" si="253"/>
        <v>5346</v>
      </c>
      <c r="J324" s="27">
        <f t="shared" si="243"/>
        <v>586</v>
      </c>
      <c r="K324" s="27"/>
      <c r="L324" s="27"/>
      <c r="M324" s="45">
        <v>2019</v>
      </c>
      <c r="N324" s="48" t="s">
        <v>44</v>
      </c>
      <c r="O324" s="35">
        <f t="shared" si="191"/>
        <v>0.83829309376754635</v>
      </c>
      <c r="P324" s="35">
        <f t="shared" si="192"/>
        <v>0.89939759036144573</v>
      </c>
      <c r="Q324" s="35">
        <f t="shared" si="193"/>
        <v>0.93206064008983713</v>
      </c>
      <c r="R324" s="27">
        <v>3562</v>
      </c>
      <c r="S324" s="27">
        <f t="shared" si="244"/>
        <v>242</v>
      </c>
      <c r="T324" s="27">
        <v>3320</v>
      </c>
      <c r="U324" s="27">
        <v>2986</v>
      </c>
      <c r="V324" s="27">
        <f t="shared" si="245"/>
        <v>334</v>
      </c>
      <c r="W324" s="27"/>
      <c r="X324" s="27"/>
      <c r="Y324" s="45">
        <v>2019</v>
      </c>
      <c r="Z324" s="48" t="s">
        <v>44</v>
      </c>
      <c r="AA324" s="35">
        <f t="shared" si="194"/>
        <v>0.77992744860943164</v>
      </c>
      <c r="AB324" s="35">
        <f t="shared" si="195"/>
        <v>0.85487077534791256</v>
      </c>
      <c r="AC324" s="35">
        <f t="shared" si="196"/>
        <v>0.9123337363966143</v>
      </c>
      <c r="AD324" s="27">
        <v>1654</v>
      </c>
      <c r="AE324" s="27">
        <f t="shared" si="246"/>
        <v>145</v>
      </c>
      <c r="AF324" s="27">
        <v>1509</v>
      </c>
      <c r="AG324" s="27">
        <v>1290</v>
      </c>
      <c r="AH324" s="27">
        <f t="shared" si="247"/>
        <v>219</v>
      </c>
      <c r="AI324" s="27"/>
      <c r="AJ324" s="27"/>
      <c r="AK324" s="45"/>
      <c r="AL324" s="48"/>
      <c r="AM324" s="35"/>
      <c r="AN324" s="35"/>
      <c r="AO324" s="35"/>
      <c r="AP324" s="27"/>
      <c r="AQ324" s="27"/>
      <c r="AR324" s="27"/>
      <c r="AS324" s="27"/>
      <c r="AT324" s="27"/>
      <c r="AU324" s="27"/>
      <c r="AV324" s="27"/>
      <c r="AW324" s="45">
        <v>2019</v>
      </c>
      <c r="AX324" s="48" t="s">
        <v>44</v>
      </c>
      <c r="AY324" s="35">
        <f t="shared" si="248"/>
        <v>0.9435626102292769</v>
      </c>
      <c r="AZ324" s="35">
        <f t="shared" si="249"/>
        <v>0.97008159564823204</v>
      </c>
      <c r="BA324" s="35">
        <f t="shared" si="250"/>
        <v>0.97266313932980597</v>
      </c>
      <c r="BB324" s="27">
        <v>1134</v>
      </c>
      <c r="BC324" s="27">
        <f t="shared" si="251"/>
        <v>31</v>
      </c>
      <c r="BD324" s="27">
        <v>1103</v>
      </c>
      <c r="BE324" s="27">
        <v>1070</v>
      </c>
      <c r="BF324" s="27">
        <f t="shared" si="252"/>
        <v>33</v>
      </c>
    </row>
    <row r="325" spans="1:59" s="29" customFormat="1" ht="12.75">
      <c r="A325" s="46">
        <v>2019</v>
      </c>
      <c r="B325" s="47" t="s">
        <v>45</v>
      </c>
      <c r="C325" s="35">
        <f t="shared" si="188"/>
        <v>0.88944881889763783</v>
      </c>
      <c r="D325" s="35">
        <f t="shared" si="189"/>
        <v>0.93078444297956497</v>
      </c>
      <c r="E325" s="35">
        <f t="shared" si="190"/>
        <v>0.95559055118110237</v>
      </c>
      <c r="F325" s="92">
        <f t="shared" si="254"/>
        <v>6350</v>
      </c>
      <c r="G325" s="27">
        <f t="shared" si="242"/>
        <v>282</v>
      </c>
      <c r="H325" s="92">
        <f t="shared" si="253"/>
        <v>6068</v>
      </c>
      <c r="I325" s="92">
        <f t="shared" si="253"/>
        <v>5648</v>
      </c>
      <c r="J325" s="27">
        <f t="shared" si="243"/>
        <v>420</v>
      </c>
      <c r="K325" s="27"/>
      <c r="L325" s="27"/>
      <c r="M325" s="46">
        <v>2019</v>
      </c>
      <c r="N325" s="47" t="s">
        <v>45</v>
      </c>
      <c r="O325" s="35">
        <f t="shared" si="191"/>
        <v>0.88826501965188098</v>
      </c>
      <c r="P325" s="35">
        <f t="shared" si="192"/>
        <v>0.93141006770680013</v>
      </c>
      <c r="Q325" s="35">
        <f t="shared" si="193"/>
        <v>0.95367770915216166</v>
      </c>
      <c r="R325" s="27">
        <v>3562</v>
      </c>
      <c r="S325" s="27">
        <f t="shared" si="244"/>
        <v>165</v>
      </c>
      <c r="T325" s="27">
        <v>3397</v>
      </c>
      <c r="U325" s="27">
        <v>3164</v>
      </c>
      <c r="V325" s="27">
        <f t="shared" si="245"/>
        <v>233</v>
      </c>
      <c r="W325" s="27"/>
      <c r="X325" s="27"/>
      <c r="Y325" s="46">
        <v>2019</v>
      </c>
      <c r="Z325" s="47" t="s">
        <v>45</v>
      </c>
      <c r="AA325" s="35">
        <f t="shared" si="194"/>
        <v>0.83675937122128174</v>
      </c>
      <c r="AB325" s="35">
        <f t="shared" si="195"/>
        <v>0.89003215434083605</v>
      </c>
      <c r="AC325" s="35">
        <f t="shared" si="196"/>
        <v>0.94014510278113661</v>
      </c>
      <c r="AD325" s="27">
        <v>1654</v>
      </c>
      <c r="AE325" s="27">
        <f t="shared" si="246"/>
        <v>99</v>
      </c>
      <c r="AF325" s="27">
        <v>1555</v>
      </c>
      <c r="AG325" s="27">
        <v>1384</v>
      </c>
      <c r="AH325" s="27">
        <f t="shared" si="247"/>
        <v>171</v>
      </c>
      <c r="AI325" s="27"/>
      <c r="AJ325" s="27"/>
      <c r="AK325" s="46"/>
      <c r="AL325" s="47"/>
      <c r="AM325" s="35"/>
      <c r="AN325" s="35"/>
      <c r="AO325" s="35"/>
      <c r="AP325" s="27"/>
      <c r="AQ325" s="27"/>
      <c r="AR325" s="27"/>
      <c r="AS325" s="27"/>
      <c r="AT325" s="27"/>
      <c r="AU325" s="27"/>
      <c r="AV325" s="27"/>
      <c r="AW325" s="46">
        <v>2019</v>
      </c>
      <c r="AX325" s="47" t="s">
        <v>45</v>
      </c>
      <c r="AY325" s="35">
        <f t="shared" si="248"/>
        <v>0.9700176366843033</v>
      </c>
      <c r="AZ325" s="35">
        <f t="shared" si="249"/>
        <v>0.98566308243727596</v>
      </c>
      <c r="BA325" s="35">
        <f t="shared" si="250"/>
        <v>0.98412698412698407</v>
      </c>
      <c r="BB325" s="27">
        <v>1134</v>
      </c>
      <c r="BC325" s="27">
        <f t="shared" si="251"/>
        <v>18</v>
      </c>
      <c r="BD325" s="27">
        <v>1116</v>
      </c>
      <c r="BE325" s="27">
        <v>1100</v>
      </c>
      <c r="BF325" s="27">
        <f t="shared" si="252"/>
        <v>16</v>
      </c>
    </row>
    <row r="326" spans="1:59" s="29" customFormat="1" ht="12.75">
      <c r="A326" s="45">
        <v>2019</v>
      </c>
      <c r="B326" s="48" t="s">
        <v>46</v>
      </c>
      <c r="C326" s="35">
        <f t="shared" si="188"/>
        <v>0.92439974042829332</v>
      </c>
      <c r="D326" s="35">
        <f t="shared" si="189"/>
        <v>0.94150693985459355</v>
      </c>
      <c r="E326" s="35">
        <f t="shared" si="190"/>
        <v>0.981829980532122</v>
      </c>
      <c r="F326" s="92">
        <f t="shared" si="254"/>
        <v>6164</v>
      </c>
      <c r="G326" s="27">
        <f t="shared" si="242"/>
        <v>112</v>
      </c>
      <c r="H326" s="92">
        <f t="shared" si="253"/>
        <v>6052</v>
      </c>
      <c r="I326" s="92">
        <f t="shared" si="253"/>
        <v>5698</v>
      </c>
      <c r="J326" s="27">
        <f t="shared" si="243"/>
        <v>354</v>
      </c>
      <c r="K326" s="27"/>
      <c r="L326" s="27"/>
      <c r="M326" s="45">
        <v>2019</v>
      </c>
      <c r="N326" s="48" t="s">
        <v>46</v>
      </c>
      <c r="O326" s="35">
        <f t="shared" si="191"/>
        <v>0.921784472769409</v>
      </c>
      <c r="P326" s="35">
        <f t="shared" si="192"/>
        <v>0.93781314470969646</v>
      </c>
      <c r="Q326" s="35">
        <f t="shared" si="193"/>
        <v>0.98290845886442646</v>
      </c>
      <c r="R326" s="27">
        <v>3452</v>
      </c>
      <c r="S326" s="27">
        <f t="shared" si="244"/>
        <v>59</v>
      </c>
      <c r="T326" s="27">
        <v>3393</v>
      </c>
      <c r="U326" s="27">
        <v>3182</v>
      </c>
      <c r="V326" s="27">
        <f t="shared" si="245"/>
        <v>211</v>
      </c>
      <c r="W326" s="27"/>
      <c r="X326" s="27"/>
      <c r="Y326" s="45">
        <v>2019</v>
      </c>
      <c r="Z326" s="48" t="s">
        <v>46</v>
      </c>
      <c r="AA326" s="35">
        <f t="shared" si="194"/>
        <v>0.89437500000000003</v>
      </c>
      <c r="AB326" s="35">
        <f t="shared" si="195"/>
        <v>0.91613316261203581</v>
      </c>
      <c r="AC326" s="35">
        <f t="shared" si="196"/>
        <v>0.97624999999999995</v>
      </c>
      <c r="AD326" s="27">
        <v>1600</v>
      </c>
      <c r="AE326" s="27">
        <f t="shared" si="246"/>
        <v>38</v>
      </c>
      <c r="AF326" s="27">
        <v>1562</v>
      </c>
      <c r="AG326" s="27">
        <v>1431</v>
      </c>
      <c r="AH326" s="27">
        <f t="shared" si="247"/>
        <v>131</v>
      </c>
      <c r="AI326" s="27"/>
      <c r="AJ326" s="27"/>
      <c r="AK326" s="45"/>
      <c r="AL326" s="48"/>
      <c r="AM326" s="35"/>
      <c r="AN326" s="35"/>
      <c r="AO326" s="35"/>
      <c r="AP326" s="27"/>
      <c r="AQ326" s="27"/>
      <c r="AR326" s="27"/>
      <c r="AS326" s="27"/>
      <c r="AT326" s="27"/>
      <c r="AU326" s="27"/>
      <c r="AV326" s="27"/>
      <c r="AW326" s="45">
        <v>2019</v>
      </c>
      <c r="AX326" s="48" t="s">
        <v>46</v>
      </c>
      <c r="AY326" s="35">
        <f t="shared" si="248"/>
        <v>0.97571942446043169</v>
      </c>
      <c r="AZ326" s="35">
        <f t="shared" si="249"/>
        <v>0.9890610756608933</v>
      </c>
      <c r="BA326" s="35">
        <f t="shared" si="250"/>
        <v>0.98651079136690645</v>
      </c>
      <c r="BB326" s="27">
        <v>1112</v>
      </c>
      <c r="BC326" s="27">
        <f t="shared" si="251"/>
        <v>15</v>
      </c>
      <c r="BD326" s="27">
        <v>1097</v>
      </c>
      <c r="BE326" s="27">
        <v>1085</v>
      </c>
      <c r="BF326" s="27">
        <f t="shared" si="252"/>
        <v>12</v>
      </c>
    </row>
    <row r="327" spans="1:59" s="29" customFormat="1" ht="12.75">
      <c r="A327" s="46">
        <v>2019</v>
      </c>
      <c r="B327" s="47" t="s">
        <v>47</v>
      </c>
      <c r="C327" s="35">
        <f t="shared" ref="C327:C333" si="255">I327/F327</f>
        <v>0.91306390977443608</v>
      </c>
      <c r="D327" s="35">
        <f t="shared" ref="D327:D333" si="256">I327/H327</f>
        <v>0.93910101498308363</v>
      </c>
      <c r="E327" s="35">
        <f t="shared" ref="E327:E333" si="257">H327/F327</f>
        <v>0.97227443609022557</v>
      </c>
      <c r="F327" s="92">
        <f t="shared" si="254"/>
        <v>6384</v>
      </c>
      <c r="G327" s="27">
        <f t="shared" si="242"/>
        <v>177</v>
      </c>
      <c r="H327" s="92">
        <f t="shared" si="253"/>
        <v>6207</v>
      </c>
      <c r="I327" s="92">
        <f t="shared" si="253"/>
        <v>5829</v>
      </c>
      <c r="J327" s="27">
        <f t="shared" si="243"/>
        <v>378</v>
      </c>
      <c r="K327" s="27"/>
      <c r="L327" s="27"/>
      <c r="M327" s="46">
        <v>2019</v>
      </c>
      <c r="N327" s="47" t="s">
        <v>47</v>
      </c>
      <c r="O327" s="35">
        <f t="shared" ref="O327:O333" si="258">U327/R327</f>
        <v>0.90151091214325685</v>
      </c>
      <c r="P327" s="35">
        <f t="shared" ref="P327:P333" si="259">U327/T327</f>
        <v>0.93364242248623586</v>
      </c>
      <c r="Q327" s="35">
        <f t="shared" ref="Q327:Q333" si="260">T327/R327</f>
        <v>0.9655847789591494</v>
      </c>
      <c r="R327" s="27">
        <v>3574</v>
      </c>
      <c r="S327" s="27">
        <f t="shared" si="244"/>
        <v>123</v>
      </c>
      <c r="T327" s="27">
        <v>3451</v>
      </c>
      <c r="U327" s="27">
        <v>3222</v>
      </c>
      <c r="V327" s="27">
        <f t="shared" si="245"/>
        <v>229</v>
      </c>
      <c r="W327" s="27"/>
      <c r="X327" s="27"/>
      <c r="Y327" s="46">
        <v>2019</v>
      </c>
      <c r="Z327" s="47" t="s">
        <v>47</v>
      </c>
      <c r="AA327" s="35">
        <f t="shared" ref="AA327:AA333" si="261">AG327/AD327</f>
        <v>0.89177750906892383</v>
      </c>
      <c r="AB327" s="35">
        <f t="shared" ref="AB327:AB333" si="262">AG327/AF327</f>
        <v>0.91614906832298137</v>
      </c>
      <c r="AC327" s="35">
        <f t="shared" ref="AC327:AC333" si="263">AF327/AD327</f>
        <v>0.97339782345828296</v>
      </c>
      <c r="AD327" s="27">
        <v>1654</v>
      </c>
      <c r="AE327" s="27">
        <f t="shared" si="246"/>
        <v>44</v>
      </c>
      <c r="AF327" s="27">
        <v>1610</v>
      </c>
      <c r="AG327" s="27">
        <v>1475</v>
      </c>
      <c r="AH327" s="27">
        <f t="shared" si="247"/>
        <v>135</v>
      </c>
      <c r="AI327" s="27"/>
      <c r="AJ327" s="27"/>
      <c r="AK327" s="46"/>
      <c r="AL327" s="47"/>
      <c r="AM327" s="35"/>
      <c r="AN327" s="35"/>
      <c r="AO327" s="35"/>
      <c r="AP327" s="27"/>
      <c r="AQ327" s="27"/>
      <c r="AR327" s="27"/>
      <c r="AS327" s="27"/>
      <c r="AT327" s="27"/>
      <c r="AU327" s="27"/>
      <c r="AV327" s="27"/>
      <c r="AW327" s="46">
        <v>2019</v>
      </c>
      <c r="AX327" s="47" t="s">
        <v>47</v>
      </c>
      <c r="AY327" s="35">
        <f t="shared" ref="AY327:AY332" si="264">BE327/BB327</f>
        <v>0.97923875432525953</v>
      </c>
      <c r="AZ327" s="35">
        <f t="shared" ref="AZ327:AZ332" si="265">BE327/BD327</f>
        <v>0.98778359511343805</v>
      </c>
      <c r="BA327" s="35">
        <f t="shared" ref="BA327:BA332" si="266">BD327/BB327</f>
        <v>0.99134948096885811</v>
      </c>
      <c r="BB327" s="27">
        <v>1156</v>
      </c>
      <c r="BC327" s="27">
        <f t="shared" si="251"/>
        <v>10</v>
      </c>
      <c r="BD327" s="27">
        <v>1146</v>
      </c>
      <c r="BE327" s="27">
        <v>1132</v>
      </c>
      <c r="BF327" s="27">
        <f t="shared" si="252"/>
        <v>14</v>
      </c>
    </row>
    <row r="328" spans="1:59" s="29" customFormat="1" ht="12.75">
      <c r="A328" s="45">
        <v>2019</v>
      </c>
      <c r="B328" s="48" t="s">
        <v>48</v>
      </c>
      <c r="C328" s="35">
        <f t="shared" si="255"/>
        <v>0.83898858075040783</v>
      </c>
      <c r="D328" s="35">
        <f t="shared" si="256"/>
        <v>0.86787040161997975</v>
      </c>
      <c r="E328" s="35">
        <f t="shared" si="257"/>
        <v>0.96672104404567705</v>
      </c>
      <c r="F328" s="92">
        <f t="shared" si="254"/>
        <v>6130</v>
      </c>
      <c r="G328" s="27">
        <f t="shared" si="242"/>
        <v>204</v>
      </c>
      <c r="H328" s="92">
        <f t="shared" si="253"/>
        <v>5926</v>
      </c>
      <c r="I328" s="92">
        <f t="shared" si="253"/>
        <v>5143</v>
      </c>
      <c r="J328" s="27">
        <f t="shared" si="243"/>
        <v>783</v>
      </c>
      <c r="K328" s="27"/>
      <c r="L328" s="27"/>
      <c r="M328" s="45">
        <v>2019</v>
      </c>
      <c r="N328" s="48" t="s">
        <v>48</v>
      </c>
      <c r="O328" s="35">
        <f t="shared" si="258"/>
        <v>0.82761627906976742</v>
      </c>
      <c r="P328" s="35">
        <f t="shared" si="259"/>
        <v>0.85908267954133977</v>
      </c>
      <c r="Q328" s="35">
        <f t="shared" si="260"/>
        <v>0.96337209302325577</v>
      </c>
      <c r="R328" s="27">
        <v>3440</v>
      </c>
      <c r="S328" s="27">
        <f t="shared" si="244"/>
        <v>126</v>
      </c>
      <c r="T328" s="27">
        <v>3314</v>
      </c>
      <c r="U328" s="27">
        <v>2847</v>
      </c>
      <c r="V328" s="27">
        <f t="shared" si="245"/>
        <v>467</v>
      </c>
      <c r="W328" s="27"/>
      <c r="X328" s="27"/>
      <c r="Y328" s="45">
        <v>2019</v>
      </c>
      <c r="Z328" s="48" t="s">
        <v>48</v>
      </c>
      <c r="AA328" s="35">
        <f t="shared" si="261"/>
        <v>0.78749999999999998</v>
      </c>
      <c r="AB328" s="35">
        <f t="shared" si="262"/>
        <v>0.81028938906752412</v>
      </c>
      <c r="AC328" s="35">
        <f t="shared" si="263"/>
        <v>0.97187500000000004</v>
      </c>
      <c r="AD328" s="27">
        <v>1600</v>
      </c>
      <c r="AE328" s="27">
        <f t="shared" si="246"/>
        <v>45</v>
      </c>
      <c r="AF328" s="27">
        <v>1555</v>
      </c>
      <c r="AG328" s="27">
        <v>1260</v>
      </c>
      <c r="AH328" s="27">
        <f t="shared" si="247"/>
        <v>295</v>
      </c>
      <c r="AI328" s="27"/>
      <c r="AJ328" s="27"/>
      <c r="AK328" s="45"/>
      <c r="AL328" s="48"/>
      <c r="AM328" s="35"/>
      <c r="AN328" s="35"/>
      <c r="AO328" s="35"/>
      <c r="AP328" s="27"/>
      <c r="AQ328" s="27"/>
      <c r="AR328" s="27"/>
      <c r="AS328" s="27"/>
      <c r="AT328" s="27"/>
      <c r="AU328" s="27"/>
      <c r="AV328" s="27"/>
      <c r="AW328" s="45">
        <v>2019</v>
      </c>
      <c r="AX328" s="48" t="s">
        <v>48</v>
      </c>
      <c r="AY328" s="35">
        <f t="shared" si="264"/>
        <v>0.95045871559633033</v>
      </c>
      <c r="AZ328" s="35">
        <f t="shared" si="265"/>
        <v>0.98013245033112584</v>
      </c>
      <c r="BA328" s="35">
        <f t="shared" si="266"/>
        <v>0.96972477064220186</v>
      </c>
      <c r="BB328" s="27">
        <v>1090</v>
      </c>
      <c r="BC328" s="27">
        <f t="shared" si="251"/>
        <v>33</v>
      </c>
      <c r="BD328" s="27">
        <v>1057</v>
      </c>
      <c r="BE328" s="27">
        <v>1036</v>
      </c>
      <c r="BF328" s="27">
        <f t="shared" si="252"/>
        <v>21</v>
      </c>
    </row>
    <row r="329" spans="1:59" s="29" customFormat="1" ht="12.75">
      <c r="A329" s="46">
        <v>2019</v>
      </c>
      <c r="B329" s="47" t="s">
        <v>49</v>
      </c>
      <c r="C329" s="35">
        <f t="shared" si="255"/>
        <v>0.88203324808184147</v>
      </c>
      <c r="D329" s="35">
        <f t="shared" si="256"/>
        <v>0.89461738002594038</v>
      </c>
      <c r="E329" s="35">
        <f t="shared" si="257"/>
        <v>0.98593350383631717</v>
      </c>
      <c r="F329" s="92">
        <f t="shared" si="254"/>
        <v>6256</v>
      </c>
      <c r="G329" s="27">
        <f t="shared" si="242"/>
        <v>88</v>
      </c>
      <c r="H329" s="92">
        <f t="shared" si="253"/>
        <v>6168</v>
      </c>
      <c r="I329" s="92">
        <f t="shared" si="253"/>
        <v>5518</v>
      </c>
      <c r="J329" s="27">
        <f t="shared" si="243"/>
        <v>650</v>
      </c>
      <c r="K329" s="27"/>
      <c r="L329" s="27"/>
      <c r="M329" s="46">
        <v>2019</v>
      </c>
      <c r="N329" s="47" t="s">
        <v>49</v>
      </c>
      <c r="O329" s="35">
        <f t="shared" si="258"/>
        <v>0.87720295622512789</v>
      </c>
      <c r="P329" s="35">
        <f t="shared" si="259"/>
        <v>0.88780207134637512</v>
      </c>
      <c r="Q329" s="35">
        <f t="shared" si="260"/>
        <v>0.98806139852188746</v>
      </c>
      <c r="R329" s="27">
        <v>3518</v>
      </c>
      <c r="S329" s="27">
        <f t="shared" si="244"/>
        <v>42</v>
      </c>
      <c r="T329" s="27">
        <v>3476</v>
      </c>
      <c r="U329" s="27">
        <v>3086</v>
      </c>
      <c r="V329" s="27">
        <f t="shared" si="245"/>
        <v>390</v>
      </c>
      <c r="W329" s="27"/>
      <c r="X329" s="27"/>
      <c r="Y329" s="46">
        <v>2019</v>
      </c>
      <c r="Z329" s="47" t="s">
        <v>49</v>
      </c>
      <c r="AA329" s="35">
        <f t="shared" si="261"/>
        <v>0.8418181818181818</v>
      </c>
      <c r="AB329" s="35">
        <f t="shared" si="262"/>
        <v>0.85476923076923073</v>
      </c>
      <c r="AC329" s="35">
        <f t="shared" si="263"/>
        <v>0.98484848484848486</v>
      </c>
      <c r="AD329" s="27">
        <v>1650</v>
      </c>
      <c r="AE329" s="27">
        <f t="shared" si="246"/>
        <v>25</v>
      </c>
      <c r="AF329" s="27">
        <v>1625</v>
      </c>
      <c r="AG329" s="27">
        <v>1389</v>
      </c>
      <c r="AH329" s="27">
        <f t="shared" si="247"/>
        <v>236</v>
      </c>
      <c r="AI329" s="27"/>
      <c r="AJ329" s="27"/>
      <c r="AK329" s="46"/>
      <c r="AL329" s="47"/>
      <c r="AM329" s="35"/>
      <c r="AN329" s="35"/>
      <c r="AO329" s="35"/>
      <c r="AP329" s="27"/>
      <c r="AQ329" s="27"/>
      <c r="AR329" s="27"/>
      <c r="AS329" s="27"/>
      <c r="AT329" s="27"/>
      <c r="AU329" s="27"/>
      <c r="AV329" s="27"/>
      <c r="AW329" s="46">
        <v>2019</v>
      </c>
      <c r="AX329" s="47" t="s">
        <v>49</v>
      </c>
      <c r="AY329" s="35">
        <f t="shared" si="264"/>
        <v>0.95863970588235292</v>
      </c>
      <c r="AZ329" s="35">
        <f t="shared" si="265"/>
        <v>0.9775070290534208</v>
      </c>
      <c r="BA329" s="35">
        <f t="shared" si="266"/>
        <v>0.98069852941176472</v>
      </c>
      <c r="BB329" s="27">
        <v>1088</v>
      </c>
      <c r="BC329" s="27">
        <f t="shared" si="251"/>
        <v>21</v>
      </c>
      <c r="BD329" s="27">
        <v>1067</v>
      </c>
      <c r="BE329" s="27">
        <v>1043</v>
      </c>
      <c r="BF329" s="27">
        <f t="shared" si="252"/>
        <v>24</v>
      </c>
    </row>
    <row r="330" spans="1:59" s="29" customFormat="1" ht="12.75">
      <c r="A330" s="50">
        <v>2020</v>
      </c>
      <c r="B330" s="53" t="s">
        <v>38</v>
      </c>
      <c r="C330" s="35">
        <f t="shared" si="255"/>
        <v>0.89458020050125309</v>
      </c>
      <c r="D330" s="35">
        <f t="shared" si="256"/>
        <v>0.90910538045208533</v>
      </c>
      <c r="E330" s="35">
        <f t="shared" si="257"/>
        <v>0.98402255639097747</v>
      </c>
      <c r="F330" s="92">
        <f t="shared" si="254"/>
        <v>6384</v>
      </c>
      <c r="G330" s="27">
        <f t="shared" si="242"/>
        <v>102</v>
      </c>
      <c r="H330" s="92">
        <f t="shared" si="253"/>
        <v>6282</v>
      </c>
      <c r="I330" s="92">
        <f t="shared" si="253"/>
        <v>5711</v>
      </c>
      <c r="J330" s="27">
        <f t="shared" si="243"/>
        <v>571</v>
      </c>
      <c r="K330" s="27"/>
      <c r="L330" s="27"/>
      <c r="M330" s="50">
        <v>2020</v>
      </c>
      <c r="N330" s="53" t="s">
        <v>38</v>
      </c>
      <c r="O330" s="35">
        <f t="shared" si="258"/>
        <v>0.88052602126468937</v>
      </c>
      <c r="P330" s="35">
        <f t="shared" si="259"/>
        <v>0.89581554227156279</v>
      </c>
      <c r="Q330" s="35">
        <f t="shared" si="260"/>
        <v>0.98293228875209848</v>
      </c>
      <c r="R330" s="27">
        <v>3574</v>
      </c>
      <c r="S330" s="27">
        <f t="shared" si="244"/>
        <v>61</v>
      </c>
      <c r="T330" s="27">
        <v>3513</v>
      </c>
      <c r="U330" s="27">
        <v>3147</v>
      </c>
      <c r="V330" s="27">
        <f t="shared" si="245"/>
        <v>366</v>
      </c>
      <c r="W330" s="27"/>
      <c r="X330" s="27"/>
      <c r="Y330" s="50">
        <v>2020</v>
      </c>
      <c r="Z330" s="53" t="s">
        <v>38</v>
      </c>
      <c r="AA330" s="35">
        <f t="shared" si="261"/>
        <v>0.8669891172914147</v>
      </c>
      <c r="AB330" s="35">
        <f t="shared" si="262"/>
        <v>0.88518518518518519</v>
      </c>
      <c r="AC330" s="35">
        <f t="shared" si="263"/>
        <v>0.97944377267230953</v>
      </c>
      <c r="AD330" s="27">
        <v>1654</v>
      </c>
      <c r="AE330" s="27">
        <f t="shared" si="246"/>
        <v>34</v>
      </c>
      <c r="AF330" s="27">
        <v>1620</v>
      </c>
      <c r="AG330" s="27">
        <v>1434</v>
      </c>
      <c r="AH330" s="27">
        <f t="shared" si="247"/>
        <v>186</v>
      </c>
      <c r="AI330" s="27"/>
      <c r="AJ330" s="27"/>
      <c r="AK330" s="50"/>
      <c r="AL330" s="53"/>
      <c r="AM330" s="35"/>
      <c r="AN330" s="35"/>
      <c r="AO330" s="35"/>
      <c r="AP330" s="27"/>
      <c r="AQ330" s="27"/>
      <c r="AR330" s="27"/>
      <c r="AS330" s="27"/>
      <c r="AT330" s="27"/>
      <c r="AU330" s="27"/>
      <c r="AV330" s="27"/>
      <c r="AW330" s="50">
        <v>2020</v>
      </c>
      <c r="AX330" s="53" t="s">
        <v>38</v>
      </c>
      <c r="AY330" s="35">
        <f t="shared" si="264"/>
        <v>0.97750865051903113</v>
      </c>
      <c r="AZ330" s="35">
        <f t="shared" si="265"/>
        <v>0.98346388163620535</v>
      </c>
      <c r="BA330" s="35">
        <f t="shared" si="266"/>
        <v>0.99394463667820065</v>
      </c>
      <c r="BB330" s="27">
        <v>1156</v>
      </c>
      <c r="BC330" s="27">
        <f t="shared" si="251"/>
        <v>7</v>
      </c>
      <c r="BD330" s="27">
        <v>1149</v>
      </c>
      <c r="BE330" s="27">
        <v>1130</v>
      </c>
      <c r="BF330" s="27">
        <f t="shared" si="252"/>
        <v>19</v>
      </c>
    </row>
    <row r="331" spans="1:59" s="29" customFormat="1" ht="12.75">
      <c r="A331" s="51">
        <v>2020</v>
      </c>
      <c r="B331" s="54" t="s">
        <v>39</v>
      </c>
      <c r="C331" s="35">
        <f t="shared" si="255"/>
        <v>0.85059829059829062</v>
      </c>
      <c r="D331" s="35">
        <f t="shared" si="256"/>
        <v>0.87977369165487973</v>
      </c>
      <c r="E331" s="35">
        <f t="shared" si="257"/>
        <v>0.96683760683760689</v>
      </c>
      <c r="F331" s="92">
        <f t="shared" si="254"/>
        <v>5850</v>
      </c>
      <c r="G331" s="27">
        <f t="shared" si="242"/>
        <v>194</v>
      </c>
      <c r="H331" s="92">
        <f t="shared" si="253"/>
        <v>5656</v>
      </c>
      <c r="I331" s="92">
        <f t="shared" si="253"/>
        <v>4976</v>
      </c>
      <c r="J331" s="27">
        <f t="shared" si="243"/>
        <v>680</v>
      </c>
      <c r="K331" s="27"/>
      <c r="L331" s="27"/>
      <c r="M331" s="51">
        <v>2020</v>
      </c>
      <c r="N331" s="54" t="s">
        <v>39</v>
      </c>
      <c r="O331" s="35">
        <f t="shared" si="258"/>
        <v>0.85179549604382232</v>
      </c>
      <c r="P331" s="35">
        <f t="shared" si="259"/>
        <v>0.86549165120593696</v>
      </c>
      <c r="Q331" s="35">
        <f t="shared" si="260"/>
        <v>0.98417528910529517</v>
      </c>
      <c r="R331" s="27">
        <v>3286</v>
      </c>
      <c r="S331" s="27">
        <f t="shared" si="244"/>
        <v>52</v>
      </c>
      <c r="T331" s="27">
        <v>3234</v>
      </c>
      <c r="U331" s="27">
        <v>2799</v>
      </c>
      <c r="V331" s="27">
        <f t="shared" si="245"/>
        <v>435</v>
      </c>
      <c r="W331" s="27"/>
      <c r="X331" s="27"/>
      <c r="Y331" s="51">
        <v>2020</v>
      </c>
      <c r="Z331" s="54" t="s">
        <v>39</v>
      </c>
      <c r="AA331" s="35">
        <f t="shared" si="261"/>
        <v>0.83657587548638135</v>
      </c>
      <c r="AB331" s="35">
        <f t="shared" si="262"/>
        <v>0.85317460317460314</v>
      </c>
      <c r="AC331" s="35">
        <f t="shared" si="263"/>
        <v>0.98054474708171202</v>
      </c>
      <c r="AD331" s="27">
        <v>1542</v>
      </c>
      <c r="AE331" s="27">
        <f t="shared" si="246"/>
        <v>30</v>
      </c>
      <c r="AF331" s="27">
        <v>1512</v>
      </c>
      <c r="AG331" s="27">
        <v>1290</v>
      </c>
      <c r="AH331" s="27">
        <f t="shared" si="247"/>
        <v>222</v>
      </c>
      <c r="AI331" s="27"/>
      <c r="AJ331" s="27"/>
      <c r="AK331" s="51"/>
      <c r="AL331" s="54"/>
      <c r="AM331" s="35"/>
      <c r="AN331" s="35"/>
      <c r="AO331" s="35"/>
      <c r="AP331" s="27"/>
      <c r="AQ331" s="27"/>
      <c r="AR331" s="27"/>
      <c r="AS331" s="27"/>
      <c r="AT331" s="27"/>
      <c r="AU331" s="27"/>
      <c r="AV331" s="27"/>
      <c r="AW331" s="51">
        <v>2020</v>
      </c>
      <c r="AX331" s="54" t="s">
        <v>39</v>
      </c>
      <c r="AY331" s="35">
        <f t="shared" si="264"/>
        <v>0.8679060665362035</v>
      </c>
      <c r="AZ331" s="35">
        <f t="shared" si="265"/>
        <v>0.9747252747252747</v>
      </c>
      <c r="BA331" s="35">
        <f t="shared" si="266"/>
        <v>0.8904109589041096</v>
      </c>
      <c r="BB331" s="27">
        <v>1022</v>
      </c>
      <c r="BC331" s="27">
        <f t="shared" si="251"/>
        <v>112</v>
      </c>
      <c r="BD331" s="27">
        <v>910</v>
      </c>
      <c r="BE331" s="27">
        <v>887</v>
      </c>
      <c r="BF331" s="27">
        <f t="shared" si="252"/>
        <v>23</v>
      </c>
    </row>
    <row r="332" spans="1:59" s="29" customFormat="1" ht="12.75">
      <c r="A332" s="114">
        <v>2020</v>
      </c>
      <c r="B332" s="115" t="s">
        <v>40</v>
      </c>
      <c r="C332" s="35">
        <f t="shared" si="255"/>
        <v>0.76304200542005418</v>
      </c>
      <c r="D332" s="35">
        <f t="shared" si="256"/>
        <v>0.87255471625024206</v>
      </c>
      <c r="E332" s="35">
        <f t="shared" si="257"/>
        <v>0.87449186991869921</v>
      </c>
      <c r="F332" s="92">
        <f t="shared" si="254"/>
        <v>5904</v>
      </c>
      <c r="G332" s="27">
        <f t="shared" si="242"/>
        <v>741</v>
      </c>
      <c r="H332" s="92">
        <f t="shared" si="253"/>
        <v>5163</v>
      </c>
      <c r="I332" s="92">
        <f t="shared" si="253"/>
        <v>4505</v>
      </c>
      <c r="J332" s="27">
        <f t="shared" si="243"/>
        <v>658</v>
      </c>
      <c r="K332" s="27"/>
      <c r="L332" s="27"/>
      <c r="M332" s="114">
        <v>2020</v>
      </c>
      <c r="N332" s="115" t="s">
        <v>40</v>
      </c>
      <c r="O332" s="35">
        <f t="shared" si="258"/>
        <v>0.80289330922242319</v>
      </c>
      <c r="P332" s="35">
        <f t="shared" si="259"/>
        <v>0.87891784889475422</v>
      </c>
      <c r="Q332" s="35">
        <f t="shared" si="260"/>
        <v>0.9135021097046413</v>
      </c>
      <c r="R332" s="27">
        <v>3318</v>
      </c>
      <c r="S332" s="27">
        <f t="shared" si="244"/>
        <v>287</v>
      </c>
      <c r="T332" s="27">
        <v>3031</v>
      </c>
      <c r="U332" s="27">
        <v>2664</v>
      </c>
      <c r="V332" s="27">
        <f t="shared" si="245"/>
        <v>367</v>
      </c>
      <c r="W332" s="31" t="s">
        <v>87</v>
      </c>
      <c r="X332" s="27"/>
      <c r="Y332" s="114">
        <v>2020</v>
      </c>
      <c r="Z332" s="115" t="s">
        <v>40</v>
      </c>
      <c r="AA332" s="35">
        <f t="shared" si="261"/>
        <v>0.80271270036991371</v>
      </c>
      <c r="AB332" s="35">
        <f t="shared" si="262"/>
        <v>0.8282442748091603</v>
      </c>
      <c r="AC332" s="35">
        <f t="shared" si="263"/>
        <v>0.96917385943279899</v>
      </c>
      <c r="AD332" s="27">
        <v>1622</v>
      </c>
      <c r="AE332" s="27">
        <f t="shared" si="246"/>
        <v>50</v>
      </c>
      <c r="AF332" s="27">
        <v>1572</v>
      </c>
      <c r="AG332" s="27">
        <v>1302</v>
      </c>
      <c r="AH332" s="27">
        <f t="shared" si="247"/>
        <v>270</v>
      </c>
      <c r="AI332" s="27"/>
      <c r="AJ332" s="27"/>
      <c r="AK332" s="114"/>
      <c r="AL332" s="115"/>
      <c r="AM332" s="35"/>
      <c r="AN332" s="35"/>
      <c r="AO332" s="35"/>
      <c r="AP332" s="27"/>
      <c r="AQ332" s="27"/>
      <c r="AR332" s="27"/>
      <c r="AS332" s="27"/>
      <c r="AT332" s="27"/>
      <c r="AU332" s="27"/>
      <c r="AV332" s="27"/>
      <c r="AW332" s="114">
        <v>2020</v>
      </c>
      <c r="AX332" s="115" t="s">
        <v>40</v>
      </c>
      <c r="AY332" s="35">
        <f t="shared" si="264"/>
        <v>0.5591286307053942</v>
      </c>
      <c r="AZ332" s="35">
        <f t="shared" si="265"/>
        <v>0.96250000000000002</v>
      </c>
      <c r="BA332" s="35">
        <f t="shared" si="266"/>
        <v>0.58091286307053946</v>
      </c>
      <c r="BB332" s="27">
        <v>964</v>
      </c>
      <c r="BC332" s="27">
        <f t="shared" si="251"/>
        <v>404</v>
      </c>
      <c r="BD332" s="27">
        <v>560</v>
      </c>
      <c r="BE332" s="27">
        <v>539</v>
      </c>
      <c r="BF332" s="27">
        <f t="shared" si="252"/>
        <v>21</v>
      </c>
      <c r="BG332" s="29" t="s">
        <v>86</v>
      </c>
    </row>
    <row r="333" spans="1:59" s="29" customFormat="1" ht="12.75">
      <c r="A333" s="116">
        <v>2020</v>
      </c>
      <c r="B333" s="117" t="s">
        <v>41</v>
      </c>
      <c r="C333" s="35">
        <f t="shared" si="255"/>
        <v>0.85108130303859841</v>
      </c>
      <c r="D333" s="35">
        <f t="shared" si="256"/>
        <v>0.89855491329479764</v>
      </c>
      <c r="E333" s="35">
        <f t="shared" si="257"/>
        <v>0.94716671229126748</v>
      </c>
      <c r="F333" s="92">
        <f t="shared" si="254"/>
        <v>3653</v>
      </c>
      <c r="G333" s="27">
        <f t="shared" si="242"/>
        <v>193</v>
      </c>
      <c r="H333" s="92">
        <f t="shared" si="253"/>
        <v>3460</v>
      </c>
      <c r="I333" s="92">
        <f t="shared" si="253"/>
        <v>3109</v>
      </c>
      <c r="J333" s="27">
        <f t="shared" si="243"/>
        <v>351</v>
      </c>
      <c r="K333" s="31"/>
      <c r="L333" s="27"/>
      <c r="M333" s="116">
        <v>2020</v>
      </c>
      <c r="N333" s="117" t="s">
        <v>41</v>
      </c>
      <c r="O333" s="35">
        <f t="shared" si="258"/>
        <v>0.83052351375332745</v>
      </c>
      <c r="P333" s="35">
        <f t="shared" si="259"/>
        <v>0.88385269121813026</v>
      </c>
      <c r="Q333" s="35">
        <f t="shared" si="260"/>
        <v>0.93966282165039927</v>
      </c>
      <c r="R333" s="27">
        <v>2254</v>
      </c>
      <c r="S333" s="27">
        <f t="shared" si="244"/>
        <v>136</v>
      </c>
      <c r="T333" s="27">
        <v>2118</v>
      </c>
      <c r="U333" s="27">
        <v>1872</v>
      </c>
      <c r="V333" s="27">
        <f t="shared" si="245"/>
        <v>246</v>
      </c>
      <c r="W333" s="31" t="s">
        <v>87</v>
      </c>
      <c r="X333" s="27"/>
      <c r="Y333" s="116">
        <v>2020</v>
      </c>
      <c r="Z333" s="117" t="s">
        <v>41</v>
      </c>
      <c r="AA333" s="35">
        <f t="shared" si="261"/>
        <v>0.88420300214438885</v>
      </c>
      <c r="AB333" s="35">
        <f t="shared" si="262"/>
        <v>0.92175856929955291</v>
      </c>
      <c r="AC333" s="35">
        <f t="shared" si="263"/>
        <v>0.95925661186561828</v>
      </c>
      <c r="AD333" s="27">
        <v>1399</v>
      </c>
      <c r="AE333" s="27">
        <f t="shared" si="246"/>
        <v>57</v>
      </c>
      <c r="AF333" s="27">
        <v>1342</v>
      </c>
      <c r="AG333" s="27">
        <v>1237</v>
      </c>
      <c r="AH333" s="27">
        <f t="shared" si="247"/>
        <v>105</v>
      </c>
      <c r="AI333" s="27"/>
      <c r="AJ333" s="27"/>
      <c r="AK333" s="112"/>
      <c r="AL333" s="113"/>
      <c r="AM333" s="35"/>
      <c r="AN333" s="35"/>
      <c r="AO333" s="35"/>
      <c r="AP333" s="27"/>
      <c r="AQ333" s="27"/>
      <c r="AR333" s="27"/>
      <c r="AS333" s="27"/>
      <c r="AT333" s="27"/>
      <c r="AU333" s="27"/>
      <c r="AV333" s="27"/>
      <c r="AW333" s="116">
        <v>2020</v>
      </c>
      <c r="AX333" s="117" t="s">
        <v>41</v>
      </c>
      <c r="AY333" s="35"/>
      <c r="AZ333" s="35"/>
      <c r="BA333" s="35"/>
      <c r="BB333" s="27"/>
      <c r="BC333" s="27"/>
      <c r="BD333" s="27"/>
      <c r="BE333" s="27"/>
      <c r="BF333" s="27"/>
      <c r="BG333" s="29" t="s">
        <v>86</v>
      </c>
    </row>
    <row r="334" spans="1:59" s="106" customFormat="1" ht="12.75">
      <c r="A334" s="114">
        <v>2020</v>
      </c>
      <c r="B334" s="115" t="s">
        <v>42</v>
      </c>
      <c r="C334" s="101">
        <f>I334/F334</f>
        <v>0.89030883919062831</v>
      </c>
      <c r="D334" s="101">
        <f>I334/H334</f>
        <v>0.90574214517876495</v>
      </c>
      <c r="E334" s="101">
        <f>H334/F334</f>
        <v>0.98296059637912669</v>
      </c>
      <c r="F334" s="92">
        <f t="shared" si="254"/>
        <v>3756</v>
      </c>
      <c r="G334" s="56">
        <f t="shared" ref="G334:G339" si="267">F334-H334</f>
        <v>64</v>
      </c>
      <c r="H334" s="92">
        <f t="shared" si="253"/>
        <v>3692</v>
      </c>
      <c r="I334" s="92">
        <f t="shared" si="253"/>
        <v>3344</v>
      </c>
      <c r="J334" s="56">
        <f t="shared" ref="J334:J339" si="268">H334-I334</f>
        <v>348</v>
      </c>
      <c r="K334" s="31"/>
      <c r="M334" s="114">
        <v>2020</v>
      </c>
      <c r="N334" s="115" t="s">
        <v>42</v>
      </c>
      <c r="O334" s="101">
        <f t="shared" ref="O334:O339" si="269">U334/R334</f>
        <v>0.87661525635681536</v>
      </c>
      <c r="P334" s="101">
        <f t="shared" ref="P334:P339" si="270">U334/T334</f>
        <v>0.89718430034129693</v>
      </c>
      <c r="Q334" s="101">
        <f t="shared" ref="Q334:Q339" si="271">T334/R334</f>
        <v>0.97707378074197582</v>
      </c>
      <c r="R334" s="56">
        <v>2399</v>
      </c>
      <c r="S334" s="56">
        <f t="shared" ref="S334:S341" si="272">R334-T334</f>
        <v>55</v>
      </c>
      <c r="T334" s="56">
        <v>2344</v>
      </c>
      <c r="U334" s="56">
        <v>2103</v>
      </c>
      <c r="V334" s="56">
        <f t="shared" ref="V334:V339" si="273">T334-U334</f>
        <v>241</v>
      </c>
      <c r="W334" s="31" t="s">
        <v>87</v>
      </c>
      <c r="Y334" s="114">
        <v>2020</v>
      </c>
      <c r="Z334" s="115" t="s">
        <v>42</v>
      </c>
      <c r="AA334" s="101">
        <f t="shared" ref="AA334:AA339" si="274">AG334/AD334</f>
        <v>0.9145173176123802</v>
      </c>
      <c r="AB334" s="101">
        <f t="shared" ref="AB334:AB339" si="275">AG334/AF334</f>
        <v>0.92062314540059342</v>
      </c>
      <c r="AC334" s="101">
        <f t="shared" ref="AC334:AC339" si="276">AF334/AD334</f>
        <v>0.99336772291820197</v>
      </c>
      <c r="AD334" s="56">
        <v>1357</v>
      </c>
      <c r="AE334" s="56">
        <f t="shared" ref="AE334:AE339" si="277">AD334-AF334</f>
        <v>9</v>
      </c>
      <c r="AF334" s="56">
        <v>1348</v>
      </c>
      <c r="AG334" s="56">
        <v>1241</v>
      </c>
      <c r="AH334" s="56">
        <f t="shared" ref="AH334:AH339" si="278">AF334-AG334</f>
        <v>107</v>
      </c>
      <c r="AI334" s="56"/>
      <c r="AK334" s="114"/>
      <c r="AL334" s="115"/>
      <c r="AM334" s="35"/>
      <c r="AN334" s="35"/>
      <c r="AO334" s="35"/>
      <c r="AP334" s="27"/>
      <c r="AQ334" s="27"/>
      <c r="AR334" s="27"/>
      <c r="AS334" s="27"/>
      <c r="AT334" s="27"/>
      <c r="AU334" s="27"/>
      <c r="AW334" s="114">
        <v>2020</v>
      </c>
      <c r="AX334" s="115" t="s">
        <v>42</v>
      </c>
      <c r="AY334" s="101"/>
      <c r="AZ334" s="101"/>
      <c r="BA334" s="101"/>
      <c r="BB334" s="56"/>
      <c r="BC334" s="56"/>
      <c r="BD334" s="56"/>
      <c r="BE334" s="56"/>
      <c r="BF334" s="56"/>
      <c r="BG334" s="29" t="s">
        <v>86</v>
      </c>
    </row>
    <row r="335" spans="1:59" s="106" customFormat="1" ht="12.75">
      <c r="A335" s="114">
        <v>2020</v>
      </c>
      <c r="B335" s="115" t="s">
        <v>43</v>
      </c>
      <c r="C335" s="35">
        <f t="shared" ref="C335" si="279">I335/F335</f>
        <v>0.9188811188811189</v>
      </c>
      <c r="D335" s="35">
        <f t="shared" ref="D335" si="280">I335/H335</f>
        <v>0.93834801237800525</v>
      </c>
      <c r="E335" s="35">
        <f t="shared" ref="E335" si="281">H335/F335</f>
        <v>0.97925407925407926</v>
      </c>
      <c r="F335" s="92">
        <f t="shared" ref="F335" si="282">+R335+AD335+AP335+BB335</f>
        <v>4290</v>
      </c>
      <c r="G335" s="56">
        <f t="shared" si="267"/>
        <v>89</v>
      </c>
      <c r="H335" s="92">
        <f t="shared" ref="H335" si="283">+T335+AF335+AR335+BD335</f>
        <v>4201</v>
      </c>
      <c r="I335" s="92">
        <f t="shared" ref="I335" si="284">+U335+AG335+AS335+BE335</f>
        <v>3942</v>
      </c>
      <c r="J335" s="56">
        <f t="shared" si="268"/>
        <v>259</v>
      </c>
      <c r="K335" s="56"/>
      <c r="M335" s="114">
        <v>2020</v>
      </c>
      <c r="N335" s="115" t="s">
        <v>43</v>
      </c>
      <c r="O335" s="101">
        <f t="shared" si="269"/>
        <v>0.91142443962400577</v>
      </c>
      <c r="P335" s="101">
        <f t="shared" si="270"/>
        <v>0.93197781885397413</v>
      </c>
      <c r="Q335" s="101">
        <f t="shared" si="271"/>
        <v>0.97794649313087489</v>
      </c>
      <c r="R335" s="56">
        <v>2766</v>
      </c>
      <c r="S335" s="56">
        <f t="shared" si="272"/>
        <v>61</v>
      </c>
      <c r="T335" s="56">
        <v>2705</v>
      </c>
      <c r="U335" s="56">
        <v>2521</v>
      </c>
      <c r="V335" s="56">
        <f t="shared" si="273"/>
        <v>184</v>
      </c>
      <c r="W335" s="31" t="s">
        <v>87</v>
      </c>
      <c r="Y335" s="114">
        <v>2020</v>
      </c>
      <c r="Z335" s="115" t="s">
        <v>43</v>
      </c>
      <c r="AA335" s="101">
        <f t="shared" si="274"/>
        <v>0.9324146981627297</v>
      </c>
      <c r="AB335" s="101">
        <f t="shared" si="275"/>
        <v>0.94986631016042777</v>
      </c>
      <c r="AC335" s="101">
        <f t="shared" si="276"/>
        <v>0.98162729658792647</v>
      </c>
      <c r="AD335" s="56">
        <v>1524</v>
      </c>
      <c r="AE335" s="56">
        <f t="shared" si="277"/>
        <v>28</v>
      </c>
      <c r="AF335" s="56">
        <v>1496</v>
      </c>
      <c r="AG335" s="56">
        <v>1421</v>
      </c>
      <c r="AH335" s="56">
        <f t="shared" si="278"/>
        <v>75</v>
      </c>
      <c r="AI335" s="56"/>
      <c r="AK335" s="114"/>
      <c r="AL335" s="115"/>
      <c r="AM335" s="35"/>
      <c r="AN335" s="35"/>
      <c r="AO335" s="35"/>
      <c r="AP335" s="27"/>
      <c r="AQ335" s="27"/>
      <c r="AR335" s="27"/>
      <c r="AS335" s="27"/>
      <c r="AT335" s="27"/>
      <c r="AU335" s="27"/>
      <c r="AW335" s="114">
        <v>2020</v>
      </c>
      <c r="AX335" s="115" t="s">
        <v>43</v>
      </c>
      <c r="AY335" s="35"/>
      <c r="AZ335" s="35"/>
      <c r="BA335" s="35"/>
      <c r="BB335" s="56"/>
      <c r="BC335" s="56"/>
      <c r="BD335" s="56"/>
      <c r="BE335" s="56"/>
      <c r="BF335" s="56"/>
      <c r="BG335" s="29" t="s">
        <v>86</v>
      </c>
    </row>
    <row r="336" spans="1:59" s="106" customFormat="1" ht="12.75">
      <c r="A336" s="106">
        <v>2020</v>
      </c>
      <c r="B336" s="106" t="s">
        <v>44</v>
      </c>
      <c r="C336" s="101">
        <f>I336/F336</f>
        <v>0.94810469314079426</v>
      </c>
      <c r="D336" s="101">
        <f>I336/H336</f>
        <v>0.96775679410409954</v>
      </c>
      <c r="E336" s="101">
        <f>H336/F336</f>
        <v>0.97969314079422387</v>
      </c>
      <c r="F336" s="92">
        <f t="shared" ref="F336:F339" si="285">+R336+AD336+AP336+BB336</f>
        <v>4432</v>
      </c>
      <c r="G336" s="56">
        <f t="shared" si="267"/>
        <v>90</v>
      </c>
      <c r="H336" s="92">
        <f t="shared" ref="H336:H339" si="286">+T336+AF336+AR336+BD336</f>
        <v>4342</v>
      </c>
      <c r="I336" s="92">
        <f t="shared" ref="I336:I339" si="287">+U336+AG336+AS336+BE336</f>
        <v>4202</v>
      </c>
      <c r="J336" s="56">
        <f t="shared" si="268"/>
        <v>140</v>
      </c>
      <c r="K336" s="56"/>
      <c r="M336" s="106">
        <v>2020</v>
      </c>
      <c r="N336" s="106" t="s">
        <v>44</v>
      </c>
      <c r="O336" s="101">
        <f t="shared" si="269"/>
        <v>0.94679733986699333</v>
      </c>
      <c r="P336" s="101">
        <f t="shared" si="270"/>
        <v>0.96918667144392689</v>
      </c>
      <c r="Q336" s="101">
        <f t="shared" si="271"/>
        <v>0.9768988449422471</v>
      </c>
      <c r="R336" s="56">
        <v>2857</v>
      </c>
      <c r="S336" s="56">
        <f t="shared" si="272"/>
        <v>66</v>
      </c>
      <c r="T336" s="56">
        <v>2791</v>
      </c>
      <c r="U336" s="56">
        <v>2705</v>
      </c>
      <c r="V336" s="56">
        <f t="shared" si="273"/>
        <v>86</v>
      </c>
      <c r="W336" s="31" t="s">
        <v>87</v>
      </c>
      <c r="Y336" s="106">
        <v>2020</v>
      </c>
      <c r="Z336" s="106" t="s">
        <v>44</v>
      </c>
      <c r="AA336" s="101">
        <f t="shared" si="274"/>
        <v>0.95047619047619047</v>
      </c>
      <c r="AB336" s="101">
        <f t="shared" si="275"/>
        <v>0.96518375241779497</v>
      </c>
      <c r="AC336" s="101">
        <f t="shared" si="276"/>
        <v>0.98476190476190473</v>
      </c>
      <c r="AD336" s="56">
        <v>1575</v>
      </c>
      <c r="AE336" s="56">
        <f t="shared" si="277"/>
        <v>24</v>
      </c>
      <c r="AF336" s="56">
        <v>1551</v>
      </c>
      <c r="AG336" s="56">
        <v>1497</v>
      </c>
      <c r="AH336" s="56">
        <f t="shared" si="278"/>
        <v>54</v>
      </c>
      <c r="AI336" s="56"/>
      <c r="AK336" s="114"/>
      <c r="AL336" s="115"/>
      <c r="AM336" s="35"/>
      <c r="AN336" s="35"/>
      <c r="AO336" s="35"/>
      <c r="AP336" s="27"/>
      <c r="AQ336" s="27"/>
      <c r="AR336" s="27"/>
      <c r="AS336" s="27"/>
      <c r="AT336" s="27"/>
      <c r="AU336" s="27"/>
      <c r="AW336" s="106">
        <v>2020</v>
      </c>
      <c r="AX336" s="106" t="s">
        <v>44</v>
      </c>
      <c r="AY336" s="101"/>
      <c r="AZ336" s="101"/>
      <c r="BA336" s="101"/>
      <c r="BB336" s="56"/>
      <c r="BC336" s="56"/>
      <c r="BD336" s="56"/>
      <c r="BE336" s="56"/>
      <c r="BF336" s="56"/>
      <c r="BG336" s="29" t="s">
        <v>86</v>
      </c>
    </row>
    <row r="337" spans="1:59" s="106" customFormat="1" ht="12.75">
      <c r="A337" s="106">
        <v>2020</v>
      </c>
      <c r="B337" s="106" t="s">
        <v>45</v>
      </c>
      <c r="C337" s="101">
        <f>I337/F337</f>
        <v>0.93947606142728091</v>
      </c>
      <c r="D337" s="101">
        <f>I337/H337</f>
        <v>0.97060195986934206</v>
      </c>
      <c r="E337" s="101">
        <f>H337/F337</f>
        <v>0.96793134598012642</v>
      </c>
      <c r="F337" s="92">
        <f t="shared" si="285"/>
        <v>4428</v>
      </c>
      <c r="G337" s="56">
        <f t="shared" si="267"/>
        <v>142</v>
      </c>
      <c r="H337" s="92">
        <f t="shared" si="286"/>
        <v>4286</v>
      </c>
      <c r="I337" s="92">
        <f t="shared" si="287"/>
        <v>4160</v>
      </c>
      <c r="J337" s="56">
        <f t="shared" si="268"/>
        <v>126</v>
      </c>
      <c r="K337" s="56"/>
      <c r="M337" s="106">
        <v>2020</v>
      </c>
      <c r="N337" s="106" t="s">
        <v>45</v>
      </c>
      <c r="O337" s="101">
        <f t="shared" si="269"/>
        <v>0.9225376796354714</v>
      </c>
      <c r="P337" s="101">
        <f t="shared" si="270"/>
        <v>0.96234003656307132</v>
      </c>
      <c r="Q337" s="101">
        <f t="shared" si="271"/>
        <v>0.95864002804065895</v>
      </c>
      <c r="R337" s="56">
        <v>2853</v>
      </c>
      <c r="S337" s="56">
        <f t="shared" si="272"/>
        <v>118</v>
      </c>
      <c r="T337" s="56">
        <v>2735</v>
      </c>
      <c r="U337" s="56">
        <v>2632</v>
      </c>
      <c r="V337" s="56">
        <f t="shared" si="273"/>
        <v>103</v>
      </c>
      <c r="W337" s="31" t="s">
        <v>87</v>
      </c>
      <c r="Y337" s="106">
        <v>2020</v>
      </c>
      <c r="Z337" s="106" t="s">
        <v>45</v>
      </c>
      <c r="AA337" s="101">
        <f t="shared" si="274"/>
        <v>0.97015873015873011</v>
      </c>
      <c r="AB337" s="101">
        <f t="shared" si="275"/>
        <v>0.98517085751128308</v>
      </c>
      <c r="AC337" s="101">
        <f t="shared" si="276"/>
        <v>0.98476190476190473</v>
      </c>
      <c r="AD337" s="56">
        <v>1575</v>
      </c>
      <c r="AE337" s="56">
        <f t="shared" si="277"/>
        <v>24</v>
      </c>
      <c r="AF337" s="56">
        <v>1551</v>
      </c>
      <c r="AG337" s="56">
        <v>1528</v>
      </c>
      <c r="AH337" s="56">
        <f t="shared" si="278"/>
        <v>23</v>
      </c>
      <c r="AI337" s="56"/>
      <c r="AK337" s="114"/>
      <c r="AL337" s="115"/>
      <c r="AM337" s="35"/>
      <c r="AN337" s="35"/>
      <c r="AO337" s="35"/>
      <c r="AP337" s="27"/>
      <c r="AQ337" s="27"/>
      <c r="AR337" s="27"/>
      <c r="AS337" s="27"/>
      <c r="AT337" s="27"/>
      <c r="AU337" s="27"/>
      <c r="AW337" s="106">
        <v>2020</v>
      </c>
      <c r="AX337" s="106" t="s">
        <v>45</v>
      </c>
      <c r="AY337" s="101"/>
      <c r="AZ337" s="101"/>
      <c r="BA337" s="101"/>
      <c r="BB337" s="56"/>
      <c r="BC337" s="56"/>
      <c r="BD337" s="56"/>
      <c r="BE337" s="56"/>
      <c r="BF337" s="56"/>
      <c r="BG337" s="29" t="s">
        <v>86</v>
      </c>
    </row>
    <row r="338" spans="1:59" s="106" customFormat="1" ht="12.75">
      <c r="A338" s="106">
        <v>2020</v>
      </c>
      <c r="B338" s="106" t="s">
        <v>46</v>
      </c>
      <c r="C338" s="101">
        <f>I338/F338</f>
        <v>0.91396103896103897</v>
      </c>
      <c r="D338" s="101">
        <f>I338/H338</f>
        <v>0.9581813761244834</v>
      </c>
      <c r="E338" s="101">
        <f>H338/F338</f>
        <v>0.95384972170686455</v>
      </c>
      <c r="F338" s="92">
        <f t="shared" si="285"/>
        <v>4312</v>
      </c>
      <c r="G338" s="56">
        <f t="shared" si="267"/>
        <v>199</v>
      </c>
      <c r="H338" s="92">
        <f t="shared" si="286"/>
        <v>4113</v>
      </c>
      <c r="I338" s="92">
        <f t="shared" si="287"/>
        <v>3941</v>
      </c>
      <c r="J338" s="56">
        <f t="shared" si="268"/>
        <v>172</v>
      </c>
      <c r="K338" s="56"/>
      <c r="M338" s="106">
        <v>2020</v>
      </c>
      <c r="N338" s="106" t="s">
        <v>46</v>
      </c>
      <c r="O338" s="101">
        <f t="shared" si="269"/>
        <v>0.90524048815506097</v>
      </c>
      <c r="P338" s="101">
        <f t="shared" si="270"/>
        <v>0.95893536121673006</v>
      </c>
      <c r="Q338" s="101">
        <f t="shared" si="271"/>
        <v>0.94400574300071782</v>
      </c>
      <c r="R338" s="56">
        <v>2786</v>
      </c>
      <c r="S338" s="56">
        <f t="shared" si="272"/>
        <v>156</v>
      </c>
      <c r="T338" s="56">
        <v>2630</v>
      </c>
      <c r="U338" s="56">
        <v>2522</v>
      </c>
      <c r="V338" s="56">
        <f t="shared" si="273"/>
        <v>108</v>
      </c>
      <c r="W338" s="31" t="s">
        <v>87</v>
      </c>
      <c r="Y338" s="106">
        <v>2020</v>
      </c>
      <c r="Z338" s="106" t="s">
        <v>46</v>
      </c>
      <c r="AA338" s="101">
        <f t="shared" si="274"/>
        <v>0.92988204456094359</v>
      </c>
      <c r="AB338" s="101">
        <f t="shared" si="275"/>
        <v>0.95684423465947399</v>
      </c>
      <c r="AC338" s="101">
        <f t="shared" si="276"/>
        <v>0.97182175622542599</v>
      </c>
      <c r="AD338" s="56">
        <v>1526</v>
      </c>
      <c r="AE338" s="56">
        <f t="shared" si="277"/>
        <v>43</v>
      </c>
      <c r="AF338" s="56">
        <v>1483</v>
      </c>
      <c r="AG338" s="56">
        <v>1419</v>
      </c>
      <c r="AH338" s="56">
        <f t="shared" si="278"/>
        <v>64</v>
      </c>
      <c r="AI338" s="56"/>
      <c r="AK338" s="114"/>
      <c r="AL338" s="115"/>
      <c r="AM338" s="35"/>
      <c r="AN338" s="35"/>
      <c r="AO338" s="35"/>
      <c r="AP338" s="27"/>
      <c r="AQ338" s="27"/>
      <c r="AR338" s="27"/>
      <c r="AS338" s="27"/>
      <c r="AT338" s="27"/>
      <c r="AU338" s="27"/>
      <c r="AW338" s="106">
        <v>2020</v>
      </c>
      <c r="AX338" s="106" t="s">
        <v>46</v>
      </c>
      <c r="AY338" s="101"/>
      <c r="AZ338" s="101"/>
      <c r="BA338" s="101"/>
      <c r="BB338" s="56"/>
      <c r="BC338" s="56"/>
      <c r="BD338" s="56"/>
      <c r="BE338" s="56"/>
      <c r="BF338" s="56"/>
      <c r="BG338" s="29" t="s">
        <v>86</v>
      </c>
    </row>
    <row r="339" spans="1:59" s="106" customFormat="1" ht="12.75">
      <c r="A339" s="106">
        <v>2020</v>
      </c>
      <c r="B339" s="106" t="s">
        <v>47</v>
      </c>
      <c r="C339" s="101">
        <f>I339/F339</f>
        <v>0.94483224498986718</v>
      </c>
      <c r="D339" s="101">
        <f>I339/H339</f>
        <v>0.9670430974879004</v>
      </c>
      <c r="E339" s="101">
        <f>H339/F339</f>
        <v>0.97703219995496515</v>
      </c>
      <c r="F339" s="92">
        <f t="shared" si="285"/>
        <v>4441</v>
      </c>
      <c r="G339" s="56">
        <f t="shared" si="267"/>
        <v>102</v>
      </c>
      <c r="H339" s="92">
        <f t="shared" si="286"/>
        <v>4339</v>
      </c>
      <c r="I339" s="92">
        <f t="shared" si="287"/>
        <v>4196</v>
      </c>
      <c r="J339" s="56">
        <f t="shared" si="268"/>
        <v>143</v>
      </c>
      <c r="K339" s="56"/>
      <c r="M339" s="106">
        <v>2020</v>
      </c>
      <c r="N339" s="106" t="s">
        <v>47</v>
      </c>
      <c r="O339" s="101">
        <f t="shared" si="269"/>
        <v>0.94136125654450264</v>
      </c>
      <c r="P339" s="101">
        <f t="shared" si="270"/>
        <v>0.96909809558030902</v>
      </c>
      <c r="Q339" s="101">
        <f t="shared" si="271"/>
        <v>0.97137870855148345</v>
      </c>
      <c r="R339" s="56">
        <v>2865</v>
      </c>
      <c r="S339" s="56">
        <f t="shared" si="272"/>
        <v>82</v>
      </c>
      <c r="T339" s="56">
        <v>2783</v>
      </c>
      <c r="U339" s="56">
        <v>2697</v>
      </c>
      <c r="V339" s="56">
        <f t="shared" si="273"/>
        <v>86</v>
      </c>
      <c r="W339" s="31" t="s">
        <v>87</v>
      </c>
      <c r="Y339" s="106">
        <v>2020</v>
      </c>
      <c r="Z339" s="106" t="s">
        <v>47</v>
      </c>
      <c r="AA339" s="101">
        <f t="shared" si="274"/>
        <v>0.95114213197969544</v>
      </c>
      <c r="AB339" s="101">
        <f t="shared" si="275"/>
        <v>0.96336760925449871</v>
      </c>
      <c r="AC339" s="101">
        <f t="shared" si="276"/>
        <v>0.98730964467005078</v>
      </c>
      <c r="AD339" s="56">
        <v>1576</v>
      </c>
      <c r="AE339" s="56">
        <f t="shared" si="277"/>
        <v>20</v>
      </c>
      <c r="AF339" s="56">
        <v>1556</v>
      </c>
      <c r="AG339" s="56">
        <v>1499</v>
      </c>
      <c r="AH339" s="56">
        <f t="shared" si="278"/>
        <v>57</v>
      </c>
      <c r="AI339" s="56"/>
      <c r="AK339" s="114"/>
      <c r="AL339" s="115"/>
      <c r="AM339" s="35"/>
      <c r="AN339" s="35"/>
      <c r="AO339" s="35"/>
      <c r="AP339" s="27"/>
      <c r="AQ339" s="27"/>
      <c r="AR339" s="27"/>
      <c r="AS339" s="27"/>
      <c r="AT339" s="27"/>
      <c r="AU339" s="27"/>
      <c r="AW339" s="106">
        <v>2020</v>
      </c>
      <c r="AX339" s="106" t="s">
        <v>47</v>
      </c>
      <c r="AY339" s="101"/>
      <c r="AZ339" s="101"/>
      <c r="BA339" s="101"/>
      <c r="BB339" s="56"/>
      <c r="BC339" s="56"/>
      <c r="BD339" s="56"/>
      <c r="BE339" s="56"/>
      <c r="BF339" s="56"/>
      <c r="BG339" s="29" t="s">
        <v>86</v>
      </c>
    </row>
    <row r="340" spans="1:59" s="106" customFormat="1" ht="12.75">
      <c r="A340" s="114">
        <v>2020</v>
      </c>
      <c r="B340" s="115" t="s">
        <v>48</v>
      </c>
      <c r="C340" s="101">
        <f t="shared" ref="C340:C341" si="288">I340/F340</f>
        <v>0.91893780573025852</v>
      </c>
      <c r="D340" s="101">
        <f t="shared" ref="D340:D341" si="289">I340/H340</f>
        <v>0.95428156748911463</v>
      </c>
      <c r="E340" s="101">
        <f t="shared" ref="E340:E341" si="290">H340/F340</f>
        <v>0.96296296296296291</v>
      </c>
      <c r="F340" s="92">
        <f t="shared" ref="F340:F341" si="291">+R340+AD340+AP340+BB340</f>
        <v>4293</v>
      </c>
      <c r="G340" s="56">
        <f t="shared" ref="G340:G341" si="292">F340-H340</f>
        <v>159</v>
      </c>
      <c r="H340" s="92">
        <f t="shared" ref="H340:H341" si="293">+T340+AF340+AR340+BD340</f>
        <v>4134</v>
      </c>
      <c r="I340" s="92">
        <f t="shared" ref="I340:I341" si="294">+U340+AG340+AS340+BE340</f>
        <v>3945</v>
      </c>
      <c r="J340" s="56">
        <f t="shared" ref="J340:J341" si="295">H340-I340</f>
        <v>189</v>
      </c>
      <c r="K340" s="56"/>
      <c r="M340" s="106">
        <v>2020</v>
      </c>
      <c r="N340" s="106" t="s">
        <v>48</v>
      </c>
      <c r="O340" s="101">
        <f t="shared" ref="O340:O345" si="296">U340/R340</f>
        <v>0.91865509761388287</v>
      </c>
      <c r="P340" s="101">
        <f t="shared" ref="P340:P345" si="297">U340/T340</f>
        <v>0.9538288288288288</v>
      </c>
      <c r="Q340" s="101">
        <f t="shared" ref="Q340:Q345" si="298">T340/R340</f>
        <v>0.96312364425162689</v>
      </c>
      <c r="R340" s="56">
        <v>2766</v>
      </c>
      <c r="S340" s="56">
        <f t="shared" si="272"/>
        <v>102</v>
      </c>
      <c r="T340" s="56">
        <v>2664</v>
      </c>
      <c r="U340" s="56">
        <v>2541</v>
      </c>
      <c r="V340" s="56">
        <f t="shared" ref="V340:V345" si="299">T340-U340</f>
        <v>123</v>
      </c>
      <c r="W340" s="109" t="s">
        <v>87</v>
      </c>
      <c r="Y340" s="106">
        <v>2020</v>
      </c>
      <c r="Z340" s="106" t="s">
        <v>48</v>
      </c>
      <c r="AA340" s="101">
        <f t="shared" ref="AA340:AA345" si="300">AG340/AD340</f>
        <v>0.91944990176817287</v>
      </c>
      <c r="AB340" s="101">
        <f t="shared" ref="AB340:AB345" si="301">AG340/AF340</f>
        <v>0.95510204081632655</v>
      </c>
      <c r="AC340" s="101">
        <f t="shared" ref="AC340:AC345" si="302">AF340/AD340</f>
        <v>0.96267190569744598</v>
      </c>
      <c r="AD340" s="56">
        <v>1527</v>
      </c>
      <c r="AE340" s="56">
        <f t="shared" ref="AE340:AE345" si="303">AD340-AF340</f>
        <v>57</v>
      </c>
      <c r="AF340" s="56">
        <v>1470</v>
      </c>
      <c r="AG340" s="56">
        <v>1404</v>
      </c>
      <c r="AH340" s="56">
        <f t="shared" ref="AH340:AH345" si="304">AF340-AG340</f>
        <v>66</v>
      </c>
      <c r="AI340" s="56"/>
      <c r="AK340" s="112"/>
      <c r="AL340" s="113"/>
      <c r="AM340" s="35"/>
      <c r="AN340" s="35"/>
      <c r="AO340" s="35"/>
      <c r="AP340" s="27"/>
      <c r="AQ340" s="27"/>
      <c r="AR340" s="27"/>
      <c r="AS340" s="27"/>
      <c r="AT340" s="27"/>
      <c r="AU340" s="27"/>
      <c r="AW340" s="106">
        <v>2020</v>
      </c>
      <c r="AX340" s="106" t="s">
        <v>48</v>
      </c>
      <c r="AY340" s="101"/>
      <c r="AZ340" s="101"/>
      <c r="BA340" s="101"/>
      <c r="BB340" s="56"/>
      <c r="BC340" s="56"/>
      <c r="BD340" s="56"/>
      <c r="BE340" s="56"/>
      <c r="BF340" s="56"/>
      <c r="BG340" s="29" t="s">
        <v>86</v>
      </c>
    </row>
    <row r="341" spans="1:59">
      <c r="A341" s="106">
        <v>2020</v>
      </c>
      <c r="B341" s="106" t="s">
        <v>49</v>
      </c>
      <c r="C341" s="101">
        <f t="shared" si="288"/>
        <v>0.84923146473779387</v>
      </c>
      <c r="D341" s="101">
        <f t="shared" si="289"/>
        <v>0.9324894514767933</v>
      </c>
      <c r="E341" s="101">
        <f t="shared" si="290"/>
        <v>0.9107142857142857</v>
      </c>
      <c r="F341" s="92">
        <f t="shared" si="291"/>
        <v>4424</v>
      </c>
      <c r="G341" s="56">
        <f t="shared" si="292"/>
        <v>395</v>
      </c>
      <c r="H341" s="92">
        <f t="shared" si="293"/>
        <v>4029</v>
      </c>
      <c r="I341" s="92">
        <f t="shared" si="294"/>
        <v>3757</v>
      </c>
      <c r="J341" s="56">
        <f t="shared" si="295"/>
        <v>272</v>
      </c>
      <c r="K341" s="56"/>
      <c r="M341" s="106">
        <v>2020</v>
      </c>
      <c r="N341" s="106" t="s">
        <v>49</v>
      </c>
      <c r="O341" s="101">
        <f t="shared" si="296"/>
        <v>0.83725834797891041</v>
      </c>
      <c r="P341" s="101">
        <f t="shared" si="297"/>
        <v>0.92720903075126504</v>
      </c>
      <c r="Q341" s="101">
        <f t="shared" si="298"/>
        <v>0.90298769771528997</v>
      </c>
      <c r="R341" s="56">
        <v>2845</v>
      </c>
      <c r="S341" s="56">
        <f t="shared" si="272"/>
        <v>276</v>
      </c>
      <c r="T341" s="56">
        <v>2569</v>
      </c>
      <c r="U341" s="56">
        <v>2382</v>
      </c>
      <c r="V341" s="56">
        <f t="shared" si="299"/>
        <v>187</v>
      </c>
      <c r="W341" s="56"/>
      <c r="Y341" s="106">
        <v>2020</v>
      </c>
      <c r="Z341" s="106" t="s">
        <v>49</v>
      </c>
      <c r="AA341" s="101">
        <f t="shared" si="300"/>
        <v>0.87080430652311591</v>
      </c>
      <c r="AB341" s="101">
        <f t="shared" si="301"/>
        <v>0.94178082191780821</v>
      </c>
      <c r="AC341" s="101">
        <f t="shared" si="302"/>
        <v>0.92463584547181765</v>
      </c>
      <c r="AD341" s="56">
        <v>1579</v>
      </c>
      <c r="AE341" s="56">
        <f t="shared" si="303"/>
        <v>119</v>
      </c>
      <c r="AF341" s="56">
        <v>1460</v>
      </c>
      <c r="AG341" s="56">
        <v>1375</v>
      </c>
      <c r="AH341" s="56">
        <f t="shared" si="304"/>
        <v>85</v>
      </c>
      <c r="AI341" s="56"/>
      <c r="AK341" s="114"/>
      <c r="AL341" s="115"/>
      <c r="AM341" s="35"/>
      <c r="AN341" s="35"/>
      <c r="AO341" s="35"/>
      <c r="AP341" s="27"/>
      <c r="AQ341" s="27"/>
      <c r="AR341" s="27"/>
      <c r="AS341" s="27"/>
      <c r="AT341" s="27"/>
      <c r="AU341" s="27"/>
      <c r="AW341" s="106">
        <v>2020</v>
      </c>
      <c r="AX341" s="106" t="s">
        <v>49</v>
      </c>
      <c r="AY341" s="101"/>
      <c r="AZ341" s="101"/>
      <c r="BA341" s="101"/>
      <c r="BB341" s="56"/>
      <c r="BC341" s="56"/>
      <c r="BD341" s="56"/>
      <c r="BE341" s="56"/>
      <c r="BF341" s="56"/>
      <c r="BG341" s="29" t="s">
        <v>86</v>
      </c>
    </row>
    <row r="342" spans="1:59">
      <c r="A342" s="114">
        <v>2021</v>
      </c>
      <c r="B342" s="115" t="s">
        <v>38</v>
      </c>
      <c r="C342" s="101">
        <f t="shared" ref="C342:C343" si="305">I342/F342</f>
        <v>0.85998193315266491</v>
      </c>
      <c r="D342" s="101">
        <f t="shared" ref="D342:D343" si="306">I342/H342</f>
        <v>0.90108849976336958</v>
      </c>
      <c r="E342" s="101">
        <f t="shared" ref="E342:E343" si="307">H342/F342</f>
        <v>0.95438121047877145</v>
      </c>
      <c r="F342" s="92">
        <f t="shared" ref="F342:F345" si="308">+R342+AD342+AP342+BB342</f>
        <v>4428</v>
      </c>
      <c r="G342" s="56">
        <f t="shared" ref="G342:G343" si="309">F342-H342</f>
        <v>202</v>
      </c>
      <c r="H342" s="92">
        <f t="shared" ref="H342:H345" si="310">+T342+AF342+AR342+BD342</f>
        <v>4226</v>
      </c>
      <c r="I342" s="92">
        <f t="shared" ref="I342:I345" si="311">+U342+AG342+AS342+BE342</f>
        <v>3808</v>
      </c>
      <c r="J342" s="56">
        <f t="shared" ref="J342:J343" si="312">H342-I342</f>
        <v>418</v>
      </c>
      <c r="K342" s="56"/>
      <c r="M342" s="114">
        <v>2021</v>
      </c>
      <c r="N342" s="115" t="s">
        <v>38</v>
      </c>
      <c r="O342" s="101">
        <f t="shared" si="296"/>
        <v>0.86926042762004907</v>
      </c>
      <c r="P342" s="101">
        <f t="shared" si="297"/>
        <v>0.91310751104565535</v>
      </c>
      <c r="Q342" s="101">
        <f t="shared" si="298"/>
        <v>0.95198037153873116</v>
      </c>
      <c r="R342" s="56">
        <v>2853</v>
      </c>
      <c r="S342" s="56">
        <f t="shared" ref="S342:S349" si="313">R342-T342</f>
        <v>137</v>
      </c>
      <c r="T342" s="56">
        <v>2716</v>
      </c>
      <c r="U342" s="56">
        <v>2480</v>
      </c>
      <c r="V342" s="56">
        <f t="shared" si="299"/>
        <v>236</v>
      </c>
      <c r="W342" s="56"/>
      <c r="Y342" s="114">
        <v>2021</v>
      </c>
      <c r="Z342" s="115" t="s">
        <v>38</v>
      </c>
      <c r="AA342" s="101">
        <f t="shared" si="300"/>
        <v>0.84317460317460313</v>
      </c>
      <c r="AB342" s="101">
        <f t="shared" si="301"/>
        <v>0.87947019867549669</v>
      </c>
      <c r="AC342" s="101">
        <f t="shared" si="302"/>
        <v>0.95873015873015877</v>
      </c>
      <c r="AD342" s="56">
        <v>1575</v>
      </c>
      <c r="AE342" s="56">
        <f t="shared" si="303"/>
        <v>65</v>
      </c>
      <c r="AF342" s="56">
        <v>1510</v>
      </c>
      <c r="AG342" s="56">
        <v>1328</v>
      </c>
      <c r="AH342" s="56">
        <f t="shared" si="304"/>
        <v>182</v>
      </c>
      <c r="AI342" s="56"/>
      <c r="AM342" s="101"/>
      <c r="AN342" s="101"/>
      <c r="AO342" s="101"/>
      <c r="AP342" s="56"/>
      <c r="AQ342" s="56"/>
      <c r="AR342" s="56"/>
      <c r="AS342" s="56"/>
      <c r="AT342" s="56"/>
      <c r="AU342" s="56"/>
      <c r="AW342" s="114">
        <v>2021</v>
      </c>
      <c r="AX342" s="115" t="s">
        <v>38</v>
      </c>
      <c r="AY342" s="101"/>
      <c r="AZ342" s="101"/>
      <c r="BA342" s="101"/>
      <c r="BB342" s="56"/>
      <c r="BC342" s="56"/>
      <c r="BD342" s="56"/>
      <c r="BE342" s="56"/>
      <c r="BF342" s="56"/>
      <c r="BG342" s="29" t="s">
        <v>86</v>
      </c>
    </row>
    <row r="343" spans="1:59" ht="15" customHeight="1">
      <c r="A343" s="106">
        <v>2021</v>
      </c>
      <c r="B343" s="106" t="s">
        <v>39</v>
      </c>
      <c r="C343" s="101">
        <f t="shared" si="305"/>
        <v>0.8222333500250375</v>
      </c>
      <c r="D343" s="101">
        <f t="shared" si="306"/>
        <v>0.90021929824561409</v>
      </c>
      <c r="E343" s="101">
        <f t="shared" si="307"/>
        <v>0.91337005508262392</v>
      </c>
      <c r="F343" s="92">
        <f t="shared" si="308"/>
        <v>3994</v>
      </c>
      <c r="G343" s="56">
        <f t="shared" si="309"/>
        <v>346</v>
      </c>
      <c r="H343" s="92">
        <f t="shared" si="310"/>
        <v>3648</v>
      </c>
      <c r="I343" s="92">
        <f t="shared" si="311"/>
        <v>3284</v>
      </c>
      <c r="J343" s="56">
        <f t="shared" si="312"/>
        <v>364</v>
      </c>
      <c r="K343" s="56"/>
      <c r="M343" s="106">
        <v>2021</v>
      </c>
      <c r="N343" s="106" t="s">
        <v>39</v>
      </c>
      <c r="O343" s="101">
        <f t="shared" si="296"/>
        <v>0.82426127527216175</v>
      </c>
      <c r="P343" s="101">
        <f t="shared" si="297"/>
        <v>0.90443686006825941</v>
      </c>
      <c r="Q343" s="101">
        <f t="shared" si="298"/>
        <v>0.91135303265940903</v>
      </c>
      <c r="R343" s="56">
        <v>2572</v>
      </c>
      <c r="S343" s="56">
        <f t="shared" si="313"/>
        <v>228</v>
      </c>
      <c r="T343" s="56">
        <v>2344</v>
      </c>
      <c r="U343" s="56">
        <v>2120</v>
      </c>
      <c r="V343" s="56">
        <f t="shared" si="299"/>
        <v>224</v>
      </c>
      <c r="W343" s="56"/>
      <c r="Y343" s="106">
        <v>2021</v>
      </c>
      <c r="Z343" s="106" t="s">
        <v>39</v>
      </c>
      <c r="AA343" s="101">
        <f t="shared" si="300"/>
        <v>0.81856540084388185</v>
      </c>
      <c r="AB343" s="101">
        <f t="shared" si="301"/>
        <v>0.8926380368098159</v>
      </c>
      <c r="AC343" s="101">
        <f t="shared" si="302"/>
        <v>0.91701828410689168</v>
      </c>
      <c r="AD343" s="56">
        <v>1422</v>
      </c>
      <c r="AE343" s="56">
        <f t="shared" si="303"/>
        <v>118</v>
      </c>
      <c r="AF343" s="56">
        <v>1304</v>
      </c>
      <c r="AG343" s="56">
        <v>1164</v>
      </c>
      <c r="AH343" s="56">
        <f t="shared" si="304"/>
        <v>140</v>
      </c>
      <c r="AI343" s="56"/>
      <c r="AM343" s="101"/>
      <c r="AN343" s="101"/>
      <c r="AO343" s="101"/>
      <c r="AP343" s="56"/>
      <c r="AQ343" s="56"/>
      <c r="AR343" s="56"/>
      <c r="AS343" s="56"/>
      <c r="AT343" s="56"/>
      <c r="AU343" s="56"/>
      <c r="AW343" s="106">
        <v>2021</v>
      </c>
      <c r="AX343" s="106" t="s">
        <v>39</v>
      </c>
      <c r="AY343" s="101"/>
      <c r="AZ343" s="101"/>
      <c r="BA343" s="101"/>
      <c r="BB343" s="56"/>
      <c r="BC343" s="56"/>
      <c r="BD343" s="56"/>
      <c r="BE343" s="56"/>
      <c r="BF343" s="56"/>
      <c r="BG343" s="29" t="s">
        <v>86</v>
      </c>
    </row>
    <row r="344" spans="1:59" s="150" customFormat="1" ht="15" customHeight="1">
      <c r="A344" s="114">
        <v>2021</v>
      </c>
      <c r="B344" s="115" t="s">
        <v>40</v>
      </c>
      <c r="C344" s="101">
        <f t="shared" ref="C344:C345" si="314">I344/F344</f>
        <v>0.88526434195725534</v>
      </c>
      <c r="D344" s="101">
        <f t="shared" ref="D344:D345" si="315">I344/H344</f>
        <v>0.92176153665963922</v>
      </c>
      <c r="E344" s="101">
        <f t="shared" ref="E344:E345" si="316">H344/F344</f>
        <v>0.96040494938132737</v>
      </c>
      <c r="F344" s="92">
        <f t="shared" si="308"/>
        <v>4445</v>
      </c>
      <c r="G344" s="56">
        <f t="shared" ref="G344:G345" si="317">F344-H344</f>
        <v>176</v>
      </c>
      <c r="H344" s="92">
        <f t="shared" si="310"/>
        <v>4269</v>
      </c>
      <c r="I344" s="92">
        <f t="shared" si="311"/>
        <v>3935</v>
      </c>
      <c r="J344" s="56">
        <f t="shared" ref="J344:J345" si="318">H344-I344</f>
        <v>334</v>
      </c>
      <c r="K344" s="56"/>
      <c r="M344" s="114">
        <v>2021</v>
      </c>
      <c r="N344" s="115" t="s">
        <v>40</v>
      </c>
      <c r="O344" s="101">
        <f t="shared" si="296"/>
        <v>0.89055420006971076</v>
      </c>
      <c r="P344" s="101">
        <f t="shared" si="297"/>
        <v>0.92942888323026551</v>
      </c>
      <c r="Q344" s="101">
        <f t="shared" si="298"/>
        <v>0.95817357964447547</v>
      </c>
      <c r="R344" s="56">
        <v>2869</v>
      </c>
      <c r="S344" s="56">
        <f t="shared" si="313"/>
        <v>120</v>
      </c>
      <c r="T344" s="56">
        <v>2749</v>
      </c>
      <c r="U344" s="56">
        <v>2555</v>
      </c>
      <c r="V344" s="56">
        <f t="shared" si="299"/>
        <v>194</v>
      </c>
      <c r="W344" s="56"/>
      <c r="Y344" s="114">
        <v>2021</v>
      </c>
      <c r="Z344" s="115" t="s">
        <v>40</v>
      </c>
      <c r="AA344" s="101">
        <f t="shared" si="300"/>
        <v>0.87563451776649748</v>
      </c>
      <c r="AB344" s="101">
        <f t="shared" si="301"/>
        <v>0.90789473684210531</v>
      </c>
      <c r="AC344" s="101">
        <f t="shared" si="302"/>
        <v>0.96446700507614214</v>
      </c>
      <c r="AD344" s="56">
        <v>1576</v>
      </c>
      <c r="AE344" s="56">
        <f t="shared" si="303"/>
        <v>56</v>
      </c>
      <c r="AF344" s="56">
        <v>1520</v>
      </c>
      <c r="AG344" s="56">
        <v>1380</v>
      </c>
      <c r="AH344" s="56">
        <f t="shared" si="304"/>
        <v>140</v>
      </c>
      <c r="AI344" s="56"/>
      <c r="AK344" s="114"/>
      <c r="AL344" s="115"/>
      <c r="AM344" s="101"/>
      <c r="AN344" s="101"/>
      <c r="AO344" s="101"/>
      <c r="AP344" s="56"/>
      <c r="AQ344" s="56"/>
      <c r="AR344" s="56"/>
      <c r="AS344" s="56"/>
      <c r="AT344" s="56"/>
      <c r="AU344" s="56"/>
      <c r="AW344" s="114">
        <v>2021</v>
      </c>
      <c r="AX344" s="115" t="s">
        <v>40</v>
      </c>
      <c r="AY344" s="101"/>
      <c r="AZ344" s="101"/>
      <c r="BA344" s="101"/>
      <c r="BB344" s="56"/>
      <c r="BC344" s="56"/>
      <c r="BD344" s="56"/>
      <c r="BE344" s="56"/>
      <c r="BF344" s="56"/>
      <c r="BG344" s="29" t="s">
        <v>86</v>
      </c>
    </row>
    <row r="345" spans="1:59" ht="15" customHeight="1">
      <c r="A345" s="106">
        <v>2021</v>
      </c>
      <c r="B345" s="106" t="s">
        <v>41</v>
      </c>
      <c r="C345" s="101">
        <f t="shared" si="314"/>
        <v>0.77206053550640275</v>
      </c>
      <c r="D345" s="101">
        <f t="shared" si="315"/>
        <v>0.83003754693366705</v>
      </c>
      <c r="E345" s="101">
        <f t="shared" si="316"/>
        <v>0.93015133876600697</v>
      </c>
      <c r="F345" s="92">
        <f t="shared" si="308"/>
        <v>4295</v>
      </c>
      <c r="G345" s="56">
        <f t="shared" si="317"/>
        <v>300</v>
      </c>
      <c r="H345" s="92">
        <f t="shared" si="310"/>
        <v>3995</v>
      </c>
      <c r="I345" s="92">
        <f t="shared" si="311"/>
        <v>3316</v>
      </c>
      <c r="J345" s="56">
        <f t="shared" si="318"/>
        <v>679</v>
      </c>
      <c r="K345" s="56"/>
      <c r="M345" s="106">
        <v>2021</v>
      </c>
      <c r="N345" s="106" t="s">
        <v>41</v>
      </c>
      <c r="O345" s="101">
        <f t="shared" si="296"/>
        <v>0.74657039711191331</v>
      </c>
      <c r="P345" s="101">
        <f t="shared" si="297"/>
        <v>0.80592361652377242</v>
      </c>
      <c r="Q345" s="101">
        <f t="shared" si="298"/>
        <v>0.92635379061371836</v>
      </c>
      <c r="R345" s="56">
        <v>2770</v>
      </c>
      <c r="S345" s="56">
        <f t="shared" si="313"/>
        <v>204</v>
      </c>
      <c r="T345" s="56">
        <v>2566</v>
      </c>
      <c r="U345" s="56">
        <v>2068</v>
      </c>
      <c r="V345" s="56">
        <f t="shared" si="299"/>
        <v>498</v>
      </c>
      <c r="W345" s="56"/>
      <c r="Y345" s="106">
        <v>2021</v>
      </c>
      <c r="Z345" s="106" t="s">
        <v>41</v>
      </c>
      <c r="AA345" s="101">
        <f t="shared" si="300"/>
        <v>0.81836065573770489</v>
      </c>
      <c r="AB345" s="101">
        <f t="shared" si="301"/>
        <v>0.87333799860041983</v>
      </c>
      <c r="AC345" s="101">
        <f t="shared" si="302"/>
        <v>0.93704918032786888</v>
      </c>
      <c r="AD345" s="56">
        <v>1525</v>
      </c>
      <c r="AE345" s="56">
        <f t="shared" si="303"/>
        <v>96</v>
      </c>
      <c r="AF345" s="56">
        <v>1429</v>
      </c>
      <c r="AG345" s="56">
        <v>1248</v>
      </c>
      <c r="AH345" s="56">
        <f t="shared" si="304"/>
        <v>181</v>
      </c>
      <c r="AI345" s="56"/>
      <c r="AK345" s="106"/>
      <c r="AL345" s="106"/>
      <c r="AM345" s="101"/>
      <c r="AN345" s="101"/>
      <c r="AO345" s="101"/>
      <c r="AP345" s="56"/>
      <c r="AQ345" s="56"/>
      <c r="AR345" s="56"/>
      <c r="AS345" s="56"/>
      <c r="AT345" s="56"/>
      <c r="AU345" s="56"/>
      <c r="AW345" s="106">
        <v>2021</v>
      </c>
      <c r="AX345" s="106" t="s">
        <v>41</v>
      </c>
      <c r="AY345" s="101"/>
      <c r="AZ345" s="101"/>
      <c r="BA345" s="101"/>
      <c r="BB345" s="56"/>
      <c r="BC345" s="56"/>
      <c r="BD345" s="56"/>
      <c r="BE345" s="56"/>
      <c r="BF345" s="56"/>
      <c r="BG345" s="29" t="s">
        <v>86</v>
      </c>
    </row>
    <row r="346" spans="1:59" ht="15" customHeight="1">
      <c r="A346" s="114">
        <v>2021</v>
      </c>
      <c r="B346" s="115" t="s">
        <v>42</v>
      </c>
      <c r="C346" s="101">
        <f t="shared" ref="C346:C347" si="319">I346/F346</f>
        <v>0.80186109850204268</v>
      </c>
      <c r="D346" s="101">
        <f t="shared" ref="D346:D347" si="320">I346/H346</f>
        <v>0.84279580152671751</v>
      </c>
      <c r="E346" s="101">
        <f t="shared" ref="E346:E347" si="321">H346/F346</f>
        <v>0.95142986836132548</v>
      </c>
      <c r="F346" s="92">
        <f t="shared" ref="F346:F347" si="322">+R346+AD346+AP346+BB346</f>
        <v>4406</v>
      </c>
      <c r="G346" s="56">
        <f t="shared" ref="G346:G347" si="323">F346-H346</f>
        <v>214</v>
      </c>
      <c r="H346" s="92">
        <f t="shared" ref="H346:H347" si="324">+T346+AF346+AR346+BD346</f>
        <v>4192</v>
      </c>
      <c r="I346" s="92">
        <f t="shared" ref="I346:I347" si="325">+U346+AG346+AS346+BE346</f>
        <v>3533</v>
      </c>
      <c r="J346" s="56">
        <f t="shared" ref="J346:J347" si="326">H346-I346</f>
        <v>659</v>
      </c>
      <c r="K346" s="56"/>
      <c r="M346" s="114">
        <v>2021</v>
      </c>
      <c r="N346" s="115" t="s">
        <v>42</v>
      </c>
      <c r="O346" s="101">
        <f>U346/R346</f>
        <v>0.79915284151076593</v>
      </c>
      <c r="P346" s="101">
        <f>U346/T346</f>
        <v>0.83914010378057824</v>
      </c>
      <c r="Q346" s="101">
        <f>T346/R346</f>
        <v>0.95234733498058599</v>
      </c>
      <c r="R346" s="56">
        <v>2833</v>
      </c>
      <c r="S346" s="56">
        <f t="shared" si="313"/>
        <v>135</v>
      </c>
      <c r="T346" s="56">
        <v>2698</v>
      </c>
      <c r="U346" s="56">
        <v>2264</v>
      </c>
      <c r="V346" s="56">
        <f>T346-U346</f>
        <v>434</v>
      </c>
      <c r="W346" s="56"/>
      <c r="Y346" s="114">
        <v>2021</v>
      </c>
      <c r="Z346" s="115" t="s">
        <v>42</v>
      </c>
      <c r="AA346" s="101">
        <f>AG346/AD346</f>
        <v>0.80673871582962497</v>
      </c>
      <c r="AB346" s="101">
        <f>AG346/AF346</f>
        <v>0.8493975903614458</v>
      </c>
      <c r="AC346" s="101">
        <f>AF346/AD346</f>
        <v>0.94977749523204069</v>
      </c>
      <c r="AD346" s="56">
        <v>1573</v>
      </c>
      <c r="AE346" s="56">
        <f>AD346-AF346</f>
        <v>79</v>
      </c>
      <c r="AF346" s="56">
        <v>1494</v>
      </c>
      <c r="AG346" s="56">
        <v>1269</v>
      </c>
      <c r="AH346" s="56">
        <f>AF346-AG346</f>
        <v>225</v>
      </c>
      <c r="AI346" s="56"/>
      <c r="AM346" s="101"/>
      <c r="AN346" s="101"/>
      <c r="AO346" s="101"/>
      <c r="AP346" s="56"/>
      <c r="AQ346" s="56"/>
      <c r="AR346" s="56"/>
      <c r="AS346" s="56"/>
      <c r="AT346" s="56"/>
      <c r="AU346" s="56"/>
      <c r="AW346" s="114">
        <v>2021</v>
      </c>
      <c r="AX346" s="115" t="s">
        <v>42</v>
      </c>
      <c r="AY346" s="101"/>
      <c r="AZ346" s="101"/>
      <c r="BA346" s="101"/>
      <c r="BB346" s="56"/>
      <c r="BC346" s="56"/>
      <c r="BD346" s="56"/>
      <c r="BE346" s="56"/>
      <c r="BF346" s="56"/>
      <c r="BG346" s="29" t="s">
        <v>86</v>
      </c>
    </row>
    <row r="347" spans="1:59" ht="15" customHeight="1">
      <c r="A347" s="106">
        <v>2021</v>
      </c>
      <c r="B347" s="106" t="s">
        <v>43</v>
      </c>
      <c r="C347" s="101">
        <f t="shared" si="319"/>
        <v>0.7741335194231217</v>
      </c>
      <c r="D347" s="101">
        <f t="shared" si="320"/>
        <v>0.85706927633273244</v>
      </c>
      <c r="E347" s="101">
        <f t="shared" si="321"/>
        <v>0.90323331007210983</v>
      </c>
      <c r="F347" s="92">
        <f t="shared" si="322"/>
        <v>4299</v>
      </c>
      <c r="G347" s="56">
        <f t="shared" si="323"/>
        <v>416</v>
      </c>
      <c r="H347" s="92">
        <f t="shared" si="324"/>
        <v>3883</v>
      </c>
      <c r="I347" s="92">
        <f t="shared" si="325"/>
        <v>3328</v>
      </c>
      <c r="J347" s="56">
        <f t="shared" si="326"/>
        <v>555</v>
      </c>
      <c r="K347" s="56"/>
      <c r="M347" s="106">
        <v>2021</v>
      </c>
      <c r="N347" s="106" t="s">
        <v>43</v>
      </c>
      <c r="O347" s="101">
        <f>U347/R347</f>
        <v>0.77829848594087958</v>
      </c>
      <c r="P347" s="101">
        <f>U347/T347</f>
        <v>0.85437277404036405</v>
      </c>
      <c r="Q347" s="101">
        <f>T347/R347</f>
        <v>0.91095890410958902</v>
      </c>
      <c r="R347" s="56">
        <v>2774</v>
      </c>
      <c r="S347" s="56">
        <f t="shared" si="313"/>
        <v>247</v>
      </c>
      <c r="T347" s="56">
        <v>2527</v>
      </c>
      <c r="U347" s="56">
        <v>2159</v>
      </c>
      <c r="V347" s="56">
        <f>T347-U347</f>
        <v>368</v>
      </c>
      <c r="W347" s="56"/>
      <c r="Y347" s="106">
        <v>2021</v>
      </c>
      <c r="Z347" s="106" t="s">
        <v>43</v>
      </c>
      <c r="AA347" s="101">
        <f>AG347/AD347</f>
        <v>0.76655737704918037</v>
      </c>
      <c r="AB347" s="101">
        <f>AG347/AF347</f>
        <v>0.86209439528023601</v>
      </c>
      <c r="AC347" s="101">
        <f>AF347/AD347</f>
        <v>0.88918032786885248</v>
      </c>
      <c r="AD347" s="56">
        <v>1525</v>
      </c>
      <c r="AE347" s="56">
        <f>AD347-AF347</f>
        <v>169</v>
      </c>
      <c r="AF347" s="56">
        <v>1356</v>
      </c>
      <c r="AG347" s="56">
        <v>1169</v>
      </c>
      <c r="AH347" s="56">
        <f>AF347-AG347</f>
        <v>187</v>
      </c>
      <c r="AI347" s="56"/>
      <c r="AM347" s="101"/>
      <c r="AN347" s="101"/>
      <c r="AO347" s="101"/>
      <c r="AP347" s="56"/>
      <c r="AQ347" s="56"/>
      <c r="AR347" s="56"/>
      <c r="AS347" s="56"/>
      <c r="AT347" s="56"/>
      <c r="AU347" s="56"/>
      <c r="AW347" s="106">
        <v>2021</v>
      </c>
      <c r="AX347" s="106" t="s">
        <v>43</v>
      </c>
      <c r="AY347" s="101"/>
      <c r="AZ347" s="101"/>
      <c r="BA347" s="101"/>
      <c r="BB347" s="56"/>
      <c r="BC347" s="56"/>
      <c r="BD347" s="56"/>
      <c r="BE347" s="56"/>
      <c r="BF347" s="56"/>
      <c r="BG347" s="29" t="s">
        <v>86</v>
      </c>
    </row>
    <row r="348" spans="1:59" ht="15" customHeight="1">
      <c r="A348" s="106">
        <v>2021</v>
      </c>
      <c r="B348" s="106" t="s">
        <v>44</v>
      </c>
      <c r="C348" s="101">
        <f>I348/F348</f>
        <v>0.84035127223598294</v>
      </c>
      <c r="D348" s="101">
        <f>I348/H348</f>
        <v>0.89754689754689754</v>
      </c>
      <c r="E348" s="101">
        <f>H348/F348</f>
        <v>0.93627561360054046</v>
      </c>
      <c r="F348" s="92">
        <f t="shared" ref="F348" si="327">+R348+AD348+AP348+BB348</f>
        <v>4441</v>
      </c>
      <c r="G348" s="56">
        <f t="shared" ref="G348" si="328">F348-H348</f>
        <v>283</v>
      </c>
      <c r="H348" s="92">
        <f t="shared" ref="H348" si="329">+T348+AF348+AR348+BD348</f>
        <v>4158</v>
      </c>
      <c r="I348" s="92">
        <f t="shared" ref="I348" si="330">+U348+AG348+AS348+BE348</f>
        <v>3732</v>
      </c>
      <c r="J348" s="56">
        <f t="shared" ref="J348" si="331">H348-I348</f>
        <v>426</v>
      </c>
      <c r="K348" s="56"/>
      <c r="M348" s="106">
        <v>2021</v>
      </c>
      <c r="N348" s="106" t="s">
        <v>44</v>
      </c>
      <c r="O348" s="101">
        <f>U348/R348</f>
        <v>0.83106457242582898</v>
      </c>
      <c r="P348" s="101">
        <f>U348/T348</f>
        <v>0.89042632759910245</v>
      </c>
      <c r="Q348" s="101">
        <f>T348/R348</f>
        <v>0.93333333333333335</v>
      </c>
      <c r="R348" s="56">
        <v>2865</v>
      </c>
      <c r="S348" s="56">
        <f t="shared" si="313"/>
        <v>191</v>
      </c>
      <c r="T348" s="56">
        <v>2674</v>
      </c>
      <c r="U348" s="56">
        <v>2381</v>
      </c>
      <c r="V348" s="56">
        <f>T348-U348</f>
        <v>293</v>
      </c>
      <c r="W348" s="56"/>
      <c r="Y348" s="106">
        <v>2021</v>
      </c>
      <c r="Z348" s="106" t="s">
        <v>44</v>
      </c>
      <c r="AA348" s="101">
        <f>AG348/AD348</f>
        <v>0.85723350253807107</v>
      </c>
      <c r="AB348" s="101">
        <f>AG348/AF348</f>
        <v>0.910377358490566</v>
      </c>
      <c r="AC348" s="101">
        <f>AF348/AD348</f>
        <v>0.94162436548223349</v>
      </c>
      <c r="AD348" s="56">
        <v>1576</v>
      </c>
      <c r="AE348" s="56">
        <f t="shared" ref="AE348:AE349" si="332">AD348-AF348</f>
        <v>92</v>
      </c>
      <c r="AF348" s="56">
        <v>1484</v>
      </c>
      <c r="AG348" s="56">
        <v>1351</v>
      </c>
      <c r="AH348" s="56">
        <f>AF348-AG348</f>
        <v>133</v>
      </c>
      <c r="AI348" s="56"/>
      <c r="AM348" s="101"/>
      <c r="AN348" s="101"/>
      <c r="AO348" s="101"/>
      <c r="AP348" s="56"/>
      <c r="AQ348" s="56"/>
      <c r="AR348" s="56"/>
      <c r="AS348" s="56"/>
      <c r="AT348" s="56"/>
      <c r="AU348" s="56"/>
      <c r="AW348" s="114">
        <v>2021</v>
      </c>
      <c r="AX348" s="115" t="s">
        <v>44</v>
      </c>
      <c r="AY348" s="101"/>
      <c r="AZ348" s="101"/>
      <c r="BA348" s="101"/>
      <c r="BB348" s="56"/>
      <c r="BC348" s="56"/>
      <c r="BD348" s="56"/>
      <c r="BE348" s="56"/>
      <c r="BF348" s="56"/>
      <c r="BG348" s="29" t="s">
        <v>86</v>
      </c>
    </row>
    <row r="349" spans="1:59" ht="15" customHeight="1">
      <c r="A349" s="106">
        <v>2021</v>
      </c>
      <c r="B349" s="106" t="s">
        <v>45</v>
      </c>
      <c r="C349" s="101">
        <f>I349/F349</f>
        <v>0.8267148014440433</v>
      </c>
      <c r="D349" s="101">
        <f>I349/H349</f>
        <v>0.86578449905482047</v>
      </c>
      <c r="E349" s="101">
        <f>H349/F349</f>
        <v>0.95487364620938631</v>
      </c>
      <c r="F349" s="92">
        <f t="shared" ref="F349" si="333">+R349+AD349+AP349+BB349</f>
        <v>4432</v>
      </c>
      <c r="G349" s="56">
        <f t="shared" ref="G349" si="334">F349-H349</f>
        <v>200</v>
      </c>
      <c r="H349" s="92">
        <f t="shared" ref="H349" si="335">+T349+AF349+AR349+BD349</f>
        <v>4232</v>
      </c>
      <c r="I349" s="92">
        <f t="shared" ref="I349" si="336">+U349+AG349+AS349+BE349</f>
        <v>3664</v>
      </c>
      <c r="J349" s="56">
        <f t="shared" ref="J349" si="337">H349-I349</f>
        <v>568</v>
      </c>
      <c r="K349" s="56"/>
      <c r="M349" s="114">
        <v>2021</v>
      </c>
      <c r="N349" s="115" t="s">
        <v>45</v>
      </c>
      <c r="O349" s="101">
        <f>U349/R349</f>
        <v>0.82009100455022754</v>
      </c>
      <c r="P349" s="101">
        <f>U349/T349</f>
        <v>0.86044803525523317</v>
      </c>
      <c r="Q349" s="101">
        <f>T349/R349</f>
        <v>0.95309765488274412</v>
      </c>
      <c r="R349" s="56">
        <v>2857</v>
      </c>
      <c r="S349" s="56">
        <f t="shared" si="313"/>
        <v>134</v>
      </c>
      <c r="T349" s="56">
        <v>2723</v>
      </c>
      <c r="U349" s="56">
        <v>2343</v>
      </c>
      <c r="V349" s="56">
        <f>T349-U349</f>
        <v>380</v>
      </c>
      <c r="W349" s="56"/>
      <c r="Y349" s="106">
        <v>2021</v>
      </c>
      <c r="Z349" s="106" t="s">
        <v>45</v>
      </c>
      <c r="AA349" s="101">
        <f>AG349/AD349</f>
        <v>0.83873015873015877</v>
      </c>
      <c r="AB349" s="101">
        <f>AG349/AF349</f>
        <v>0.87541418157720341</v>
      </c>
      <c r="AC349" s="101">
        <f>AF349/AD349</f>
        <v>0.95809523809523811</v>
      </c>
      <c r="AD349" s="56">
        <v>1575</v>
      </c>
      <c r="AE349" s="56">
        <f t="shared" si="332"/>
        <v>66</v>
      </c>
      <c r="AF349" s="56">
        <v>1509</v>
      </c>
      <c r="AG349" s="56">
        <v>1321</v>
      </c>
      <c r="AH349" s="56">
        <f>AF349-AG349</f>
        <v>188</v>
      </c>
      <c r="AI349" s="56"/>
      <c r="AM349" s="101"/>
      <c r="AN349" s="101"/>
      <c r="AO349" s="101"/>
      <c r="AP349" s="56"/>
      <c r="AQ349" s="56"/>
      <c r="AR349" s="56"/>
      <c r="AS349" s="56"/>
      <c r="AT349" s="56"/>
      <c r="AU349" s="56"/>
      <c r="AW349" s="106">
        <v>2021</v>
      </c>
      <c r="AX349" s="106" t="s">
        <v>45</v>
      </c>
      <c r="AY349" s="101"/>
      <c r="AZ349" s="101"/>
      <c r="BA349" s="101"/>
      <c r="BB349" s="56"/>
      <c r="BC349" s="56"/>
      <c r="BD349" s="56"/>
      <c r="BE349" s="56"/>
      <c r="BF349" s="56"/>
      <c r="BG349" s="29" t="s">
        <v>86</v>
      </c>
    </row>
    <row r="350" spans="1:59">
      <c r="A350" s="149" t="s">
        <v>93</v>
      </c>
      <c r="B350" s="149"/>
      <c r="C350" s="122">
        <f t="shared" ref="C350" si="338">I350/F350</f>
        <v>0.83884390450096369</v>
      </c>
      <c r="D350" s="122">
        <f t="shared" ref="D350" si="339">I350/H350</f>
        <v>0.90675494480389107</v>
      </c>
      <c r="E350" s="122">
        <f t="shared" ref="E350" si="340">H350/F350</f>
        <v>0.92510540946913189</v>
      </c>
      <c r="F350" s="125">
        <f>SUBTOTAL(109,BS[Trenes Programados])</f>
        <v>1698614</v>
      </c>
      <c r="G350" s="120"/>
      <c r="H350" s="125">
        <f>SUBTOTAL(109,BS[Trenes Corridos])</f>
        <v>1571397</v>
      </c>
      <c r="I350" s="125">
        <f>SUBTOTAL(109,BS[Trenes Puntuales])</f>
        <v>1424872</v>
      </c>
      <c r="J350" s="120"/>
      <c r="K350" s="120">
        <f>SUBTOTAL(103,BS[Observaciones])</f>
        <v>1</v>
      </c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Sur</oddHeader>
  </headerFooter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483"/>
  <sheetViews>
    <sheetView showGridLines="0" zoomScale="80" zoomScaleNormal="80" workbookViewId="0">
      <pane ySplit="5" topLeftCell="A325" activePane="bottomLeft" state="frozen"/>
      <selection pane="bottomLeft" activeCell="J356" sqref="J356"/>
    </sheetView>
  </sheetViews>
  <sheetFormatPr baseColWidth="10" defaultColWidth="10.88671875" defaultRowHeight="12.75"/>
  <cols>
    <col min="1" max="1" width="5.77734375" style="29" customWidth="1"/>
    <col min="2" max="2" width="8.77734375" style="29" customWidth="1"/>
    <col min="3" max="5" width="8.77734375" style="73" customWidth="1"/>
    <col min="6" max="10" width="8.77734375" style="24" customWidth="1"/>
    <col min="11" max="11" width="14" style="29" customWidth="1"/>
    <col min="12" max="16384" width="10.88671875" style="29"/>
  </cols>
  <sheetData>
    <row r="1" spans="1:11" s="70" customFormat="1" ht="20.25">
      <c r="A1" s="70" t="s">
        <v>7</v>
      </c>
    </row>
    <row r="2" spans="1:11" s="70" customFormat="1" ht="20.25">
      <c r="A2" s="70" t="s">
        <v>25</v>
      </c>
    </row>
    <row r="3" spans="1:11" s="77" customFormat="1" ht="15.75">
      <c r="A3" s="79" t="s">
        <v>26</v>
      </c>
      <c r="B3" s="76"/>
      <c r="C3" s="76"/>
      <c r="D3" s="76"/>
      <c r="E3" s="76"/>
      <c r="F3" s="76"/>
      <c r="G3" s="76"/>
      <c r="H3" s="76"/>
      <c r="I3" s="76"/>
    </row>
    <row r="4" spans="1:11">
      <c r="B4" s="80"/>
    </row>
    <row r="5" spans="1:11" ht="39" thickBot="1">
      <c r="A5" s="44" t="s">
        <v>34</v>
      </c>
      <c r="B5" s="42" t="s">
        <v>33</v>
      </c>
      <c r="C5" s="42" t="s">
        <v>8</v>
      </c>
      <c r="D5" s="42" t="s">
        <v>10</v>
      </c>
      <c r="E5" s="42" t="s">
        <v>9</v>
      </c>
      <c r="F5" s="42" t="s">
        <v>54</v>
      </c>
      <c r="G5" s="42" t="s">
        <v>55</v>
      </c>
      <c r="H5" s="42" t="s">
        <v>27</v>
      </c>
      <c r="I5" s="42" t="s">
        <v>56</v>
      </c>
      <c r="J5" s="42" t="s">
        <v>57</v>
      </c>
      <c r="K5" s="43" t="s">
        <v>36</v>
      </c>
    </row>
    <row r="6" spans="1:11" ht="13.5" thickTop="1">
      <c r="A6" s="81"/>
      <c r="B6" s="82"/>
      <c r="F6" s="20"/>
      <c r="G6" s="20"/>
      <c r="H6" s="20"/>
      <c r="I6" s="20"/>
      <c r="J6" s="20"/>
    </row>
    <row r="7" spans="1:11">
      <c r="A7" s="81"/>
      <c r="B7" s="82"/>
      <c r="F7" s="20"/>
      <c r="G7" s="20"/>
      <c r="H7" s="20"/>
      <c r="I7" s="20"/>
      <c r="J7" s="20"/>
    </row>
    <row r="8" spans="1:11">
      <c r="A8" s="81"/>
      <c r="B8" s="82"/>
      <c r="F8" s="20"/>
      <c r="G8" s="20"/>
      <c r="H8" s="20"/>
      <c r="I8" s="20"/>
      <c r="J8" s="20"/>
    </row>
    <row r="9" spans="1:11">
      <c r="A9" s="81"/>
      <c r="B9" s="82"/>
      <c r="F9" s="20"/>
      <c r="G9" s="20"/>
      <c r="H9" s="20"/>
      <c r="I9" s="20"/>
      <c r="J9" s="20"/>
    </row>
    <row r="10" spans="1:11">
      <c r="A10" s="81"/>
      <c r="B10" s="82"/>
      <c r="F10" s="20"/>
      <c r="G10" s="20"/>
      <c r="H10" s="20"/>
      <c r="I10" s="20"/>
      <c r="J10" s="20"/>
    </row>
    <row r="11" spans="1:11">
      <c r="A11" s="81"/>
      <c r="B11" s="82"/>
      <c r="F11" s="20"/>
      <c r="G11" s="20"/>
      <c r="H11" s="20"/>
      <c r="I11" s="20"/>
      <c r="J11" s="20"/>
    </row>
    <row r="12" spans="1:11">
      <c r="A12" s="81"/>
      <c r="B12" s="82"/>
      <c r="F12" s="20"/>
      <c r="G12" s="20"/>
      <c r="H12" s="20"/>
      <c r="I12" s="20"/>
      <c r="J12" s="20"/>
    </row>
    <row r="13" spans="1:11">
      <c r="A13" s="81"/>
      <c r="B13" s="82"/>
      <c r="F13" s="20"/>
      <c r="G13" s="20"/>
      <c r="H13" s="20"/>
      <c r="I13" s="20"/>
      <c r="J13" s="20"/>
    </row>
    <row r="14" spans="1:11">
      <c r="A14" s="81"/>
      <c r="B14" s="82"/>
      <c r="F14" s="20"/>
      <c r="G14" s="20"/>
      <c r="H14" s="20"/>
      <c r="I14" s="20"/>
      <c r="J14" s="20"/>
    </row>
    <row r="15" spans="1:11">
      <c r="A15" s="81"/>
      <c r="B15" s="82"/>
      <c r="F15" s="20"/>
      <c r="G15" s="20"/>
      <c r="H15" s="20"/>
      <c r="I15" s="20"/>
      <c r="J15" s="20"/>
    </row>
    <row r="16" spans="1:11">
      <c r="A16" s="81"/>
      <c r="B16" s="82"/>
      <c r="F16" s="20"/>
      <c r="G16" s="20"/>
      <c r="H16" s="20"/>
      <c r="I16" s="20"/>
      <c r="J16" s="20"/>
    </row>
    <row r="17" spans="1:11">
      <c r="A17" s="81"/>
      <c r="B17" s="82"/>
      <c r="F17" s="20"/>
      <c r="G17" s="20"/>
      <c r="H17" s="20"/>
      <c r="I17" s="20"/>
      <c r="J17" s="20"/>
    </row>
    <row r="18" spans="1:11">
      <c r="A18" s="81"/>
      <c r="B18" s="82"/>
      <c r="F18" s="20"/>
      <c r="G18" s="20"/>
      <c r="H18" s="20"/>
      <c r="I18" s="20"/>
      <c r="J18" s="20"/>
    </row>
    <row r="19" spans="1:11">
      <c r="A19" s="81"/>
      <c r="B19" s="82"/>
      <c r="F19" s="20"/>
      <c r="G19" s="20"/>
      <c r="H19" s="20"/>
      <c r="I19" s="20"/>
      <c r="J19" s="20"/>
    </row>
    <row r="20" spans="1:11">
      <c r="A20" s="81"/>
      <c r="B20" s="82"/>
      <c r="F20" s="20"/>
      <c r="G20" s="20"/>
      <c r="H20" s="20"/>
      <c r="I20" s="20"/>
      <c r="J20" s="20"/>
    </row>
    <row r="21" spans="1:11">
      <c r="A21" s="81"/>
      <c r="B21" s="82"/>
    </row>
    <row r="22" spans="1:11">
      <c r="A22" s="81"/>
      <c r="B22" s="82"/>
    </row>
    <row r="23" spans="1:11">
      <c r="A23" s="81"/>
      <c r="B23" s="82"/>
      <c r="K23" s="24"/>
    </row>
    <row r="24" spans="1:11">
      <c r="A24" s="81"/>
      <c r="B24" s="82"/>
      <c r="K24" s="24"/>
    </row>
    <row r="25" spans="1:11">
      <c r="A25" s="81"/>
      <c r="B25" s="82"/>
    </row>
    <row r="26" spans="1:11">
      <c r="A26" s="81"/>
      <c r="B26" s="82"/>
      <c r="F26" s="20"/>
      <c r="G26" s="20"/>
      <c r="H26" s="20"/>
      <c r="I26" s="20"/>
      <c r="J26" s="20"/>
    </row>
    <row r="27" spans="1:11">
      <c r="A27" s="81"/>
      <c r="B27" s="82"/>
      <c r="F27" s="20"/>
      <c r="G27" s="20"/>
      <c r="H27" s="20"/>
      <c r="I27" s="20"/>
      <c r="J27" s="20"/>
    </row>
    <row r="28" spans="1:11">
      <c r="A28" s="81"/>
      <c r="B28" s="82"/>
      <c r="F28" s="20"/>
      <c r="G28" s="20"/>
      <c r="H28" s="20"/>
      <c r="I28" s="20"/>
      <c r="J28" s="20"/>
    </row>
    <row r="29" spans="1:11">
      <c r="A29" s="81"/>
      <c r="B29" s="82"/>
      <c r="F29" s="20"/>
      <c r="G29" s="20"/>
      <c r="H29" s="20"/>
      <c r="I29" s="20"/>
      <c r="J29" s="20"/>
    </row>
    <row r="30" spans="1:11">
      <c r="A30" s="81"/>
      <c r="B30" s="82"/>
      <c r="F30" s="20"/>
      <c r="G30" s="20"/>
      <c r="H30" s="20"/>
      <c r="I30" s="20"/>
      <c r="J30" s="20"/>
    </row>
    <row r="31" spans="1:11">
      <c r="A31" s="81"/>
      <c r="B31" s="82"/>
      <c r="F31" s="20"/>
      <c r="G31" s="20"/>
      <c r="H31" s="20"/>
      <c r="I31" s="20"/>
      <c r="J31" s="20"/>
    </row>
    <row r="32" spans="1:11">
      <c r="A32" s="81"/>
      <c r="B32" s="82"/>
      <c r="F32" s="20"/>
      <c r="G32" s="20"/>
      <c r="H32" s="20"/>
      <c r="I32" s="20"/>
      <c r="J32" s="20"/>
    </row>
    <row r="33" spans="1:10">
      <c r="A33" s="81"/>
      <c r="B33" s="82"/>
      <c r="F33" s="20"/>
      <c r="G33" s="20"/>
      <c r="H33" s="20"/>
      <c r="I33" s="20"/>
      <c r="J33" s="20"/>
    </row>
    <row r="34" spans="1:10">
      <c r="A34" s="81"/>
      <c r="B34" s="82"/>
      <c r="F34" s="20"/>
      <c r="G34" s="20"/>
      <c r="H34" s="20"/>
      <c r="I34" s="20"/>
      <c r="J34" s="20"/>
    </row>
    <row r="35" spans="1:10">
      <c r="A35" s="81"/>
      <c r="B35" s="82"/>
      <c r="F35" s="20"/>
      <c r="G35" s="20"/>
      <c r="H35" s="20"/>
      <c r="I35" s="20"/>
      <c r="J35" s="20"/>
    </row>
    <row r="36" spans="1:10">
      <c r="A36" s="81"/>
      <c r="B36" s="82"/>
      <c r="F36" s="20"/>
      <c r="G36" s="20"/>
      <c r="H36" s="20"/>
      <c r="I36" s="20"/>
      <c r="J36" s="20"/>
    </row>
    <row r="37" spans="1:10">
      <c r="A37" s="81"/>
      <c r="B37" s="82"/>
      <c r="F37" s="20"/>
      <c r="G37" s="20"/>
      <c r="H37" s="20"/>
      <c r="I37" s="20"/>
      <c r="J37" s="20"/>
    </row>
    <row r="38" spans="1:10">
      <c r="A38" s="81"/>
      <c r="B38" s="82"/>
      <c r="F38" s="20"/>
      <c r="G38" s="20"/>
      <c r="H38" s="20"/>
      <c r="I38" s="20"/>
      <c r="J38" s="20"/>
    </row>
    <row r="39" spans="1:10">
      <c r="A39" s="81"/>
      <c r="B39" s="82"/>
      <c r="F39" s="20"/>
      <c r="G39" s="20"/>
      <c r="H39" s="20"/>
      <c r="I39" s="20"/>
      <c r="J39" s="20"/>
    </row>
    <row r="40" spans="1:10">
      <c r="A40" s="81"/>
      <c r="B40" s="82"/>
      <c r="F40" s="20"/>
      <c r="G40" s="20"/>
      <c r="H40" s="20"/>
      <c r="I40" s="20"/>
      <c r="J40" s="20"/>
    </row>
    <row r="41" spans="1:10">
      <c r="A41" s="81"/>
      <c r="B41" s="82"/>
      <c r="F41" s="20"/>
      <c r="G41" s="20"/>
      <c r="H41" s="20"/>
      <c r="I41" s="20"/>
      <c r="J41" s="20"/>
    </row>
    <row r="42" spans="1:10">
      <c r="A42" s="81"/>
      <c r="B42" s="82"/>
      <c r="F42" s="20"/>
      <c r="G42" s="20"/>
      <c r="H42" s="20"/>
      <c r="I42" s="20"/>
      <c r="J42" s="20"/>
    </row>
    <row r="43" spans="1:10">
      <c r="A43" s="81"/>
      <c r="B43" s="82"/>
    </row>
    <row r="44" spans="1:10">
      <c r="A44" s="81"/>
      <c r="B44" s="82"/>
    </row>
    <row r="45" spans="1:10">
      <c r="A45" s="81"/>
      <c r="B45" s="82"/>
    </row>
    <row r="46" spans="1:10">
      <c r="A46" s="81"/>
      <c r="B46" s="82"/>
      <c r="F46" s="20"/>
      <c r="G46" s="20"/>
      <c r="H46" s="20"/>
      <c r="I46" s="20"/>
      <c r="J46" s="20"/>
    </row>
    <row r="47" spans="1:10">
      <c r="A47" s="81"/>
      <c r="B47" s="82"/>
      <c r="F47" s="20"/>
      <c r="G47" s="20"/>
      <c r="H47" s="20"/>
      <c r="I47" s="20"/>
      <c r="J47" s="20"/>
    </row>
    <row r="48" spans="1:10">
      <c r="A48" s="81"/>
      <c r="B48" s="82"/>
      <c r="F48" s="20"/>
      <c r="G48" s="20"/>
      <c r="H48" s="20"/>
      <c r="I48" s="20"/>
      <c r="J48" s="20"/>
    </row>
    <row r="49" spans="1:10">
      <c r="A49" s="81"/>
      <c r="B49" s="82"/>
      <c r="F49" s="20"/>
      <c r="G49" s="20"/>
      <c r="H49" s="20"/>
      <c r="I49" s="20"/>
      <c r="J49" s="20"/>
    </row>
    <row r="50" spans="1:10">
      <c r="A50" s="81"/>
      <c r="B50" s="82"/>
      <c r="F50" s="20"/>
      <c r="G50" s="20"/>
      <c r="H50" s="20"/>
      <c r="I50" s="20"/>
      <c r="J50" s="20"/>
    </row>
    <row r="51" spans="1:10">
      <c r="A51" s="81"/>
      <c r="B51" s="82"/>
      <c r="F51" s="20"/>
      <c r="G51" s="20"/>
      <c r="H51" s="20"/>
      <c r="I51" s="20"/>
      <c r="J51" s="20"/>
    </row>
    <row r="52" spans="1:10">
      <c r="A52" s="81"/>
      <c r="B52" s="82"/>
      <c r="F52" s="20"/>
      <c r="G52" s="20"/>
      <c r="H52" s="20"/>
      <c r="I52" s="20"/>
      <c r="J52" s="20"/>
    </row>
    <row r="53" spans="1:10">
      <c r="A53" s="81"/>
      <c r="B53" s="82"/>
      <c r="F53" s="20"/>
      <c r="G53" s="20"/>
      <c r="H53" s="20"/>
      <c r="I53" s="20"/>
      <c r="J53" s="20"/>
    </row>
    <row r="54" spans="1:10">
      <c r="A54" s="81"/>
      <c r="B54" s="82"/>
      <c r="F54" s="20"/>
      <c r="G54" s="20"/>
      <c r="H54" s="20"/>
      <c r="I54" s="20"/>
      <c r="J54" s="20"/>
    </row>
    <row r="55" spans="1:10">
      <c r="A55" s="81"/>
      <c r="B55" s="82"/>
      <c r="F55" s="20"/>
      <c r="G55" s="20"/>
      <c r="H55" s="20"/>
      <c r="I55" s="20"/>
      <c r="J55" s="20"/>
    </row>
    <row r="56" spans="1:10">
      <c r="A56" s="81"/>
      <c r="B56" s="82"/>
      <c r="F56" s="20"/>
      <c r="G56" s="20"/>
      <c r="H56" s="20"/>
      <c r="I56" s="20"/>
      <c r="J56" s="20"/>
    </row>
    <row r="57" spans="1:10">
      <c r="A57" s="81"/>
      <c r="B57" s="82"/>
      <c r="F57" s="20"/>
      <c r="G57" s="20"/>
      <c r="H57" s="20"/>
      <c r="I57" s="20"/>
      <c r="J57" s="20"/>
    </row>
    <row r="58" spans="1:10">
      <c r="A58" s="81"/>
      <c r="B58" s="82"/>
      <c r="C58" s="93"/>
      <c r="D58" s="93"/>
      <c r="E58" s="93"/>
      <c r="F58" s="26"/>
      <c r="G58" s="26"/>
      <c r="H58" s="26"/>
      <c r="I58" s="26"/>
      <c r="J58" s="26"/>
    </row>
    <row r="59" spans="1:10">
      <c r="A59" s="81"/>
      <c r="B59" s="82"/>
      <c r="F59" s="20"/>
      <c r="G59" s="20"/>
      <c r="H59" s="20"/>
      <c r="I59" s="20"/>
      <c r="J59" s="20"/>
    </row>
    <row r="60" spans="1:10">
      <c r="A60" s="81"/>
      <c r="B60" s="82"/>
      <c r="F60" s="20"/>
      <c r="G60" s="20"/>
      <c r="H60" s="20"/>
      <c r="I60" s="20"/>
      <c r="J60" s="20"/>
    </row>
    <row r="61" spans="1:10">
      <c r="A61" s="81"/>
      <c r="B61" s="82"/>
      <c r="F61" s="20"/>
      <c r="G61" s="20"/>
      <c r="H61" s="20"/>
      <c r="I61" s="20"/>
      <c r="J61" s="20"/>
    </row>
    <row r="62" spans="1:10">
      <c r="A62" s="81"/>
      <c r="B62" s="82"/>
      <c r="F62" s="20"/>
      <c r="G62" s="20"/>
      <c r="H62" s="20"/>
      <c r="I62" s="20"/>
      <c r="J62" s="20"/>
    </row>
    <row r="63" spans="1:10">
      <c r="A63" s="81"/>
      <c r="B63" s="82"/>
    </row>
    <row r="64" spans="1:10">
      <c r="A64" s="81"/>
      <c r="B64" s="82"/>
    </row>
    <row r="65" spans="1:10">
      <c r="A65" s="81"/>
      <c r="B65" s="82"/>
    </row>
    <row r="66" spans="1:10">
      <c r="A66" s="81"/>
      <c r="B66" s="82"/>
      <c r="F66" s="20"/>
      <c r="G66" s="20"/>
      <c r="H66" s="20"/>
      <c r="I66" s="20"/>
      <c r="J66" s="20"/>
    </row>
    <row r="67" spans="1:10">
      <c r="A67" s="81"/>
      <c r="B67" s="82"/>
      <c r="F67" s="20"/>
      <c r="G67" s="20"/>
      <c r="H67" s="20"/>
      <c r="I67" s="20"/>
      <c r="J67" s="20"/>
    </row>
    <row r="68" spans="1:10">
      <c r="A68" s="81"/>
      <c r="B68" s="82"/>
      <c r="F68" s="20"/>
      <c r="G68" s="20"/>
      <c r="H68" s="20"/>
      <c r="I68" s="20"/>
      <c r="J68" s="20"/>
    </row>
    <row r="69" spans="1:10">
      <c r="A69" s="81"/>
      <c r="B69" s="82"/>
      <c r="F69" s="20"/>
      <c r="G69" s="20"/>
      <c r="H69" s="20"/>
      <c r="I69" s="20"/>
      <c r="J69" s="20"/>
    </row>
    <row r="70" spans="1:10">
      <c r="A70" s="81"/>
      <c r="B70" s="82"/>
      <c r="F70" s="20"/>
      <c r="G70" s="20"/>
      <c r="H70" s="20"/>
      <c r="I70" s="20"/>
      <c r="J70" s="20"/>
    </row>
    <row r="71" spans="1:10">
      <c r="A71" s="81"/>
      <c r="B71" s="82"/>
      <c r="F71" s="20"/>
      <c r="G71" s="20"/>
      <c r="H71" s="20"/>
      <c r="I71" s="20"/>
      <c r="J71" s="20"/>
    </row>
    <row r="72" spans="1:10">
      <c r="A72" s="81"/>
      <c r="B72" s="82"/>
      <c r="F72" s="20"/>
      <c r="G72" s="20"/>
      <c r="H72" s="20"/>
      <c r="I72" s="20"/>
      <c r="J72" s="20"/>
    </row>
    <row r="73" spans="1:10">
      <c r="A73" s="81"/>
      <c r="B73" s="82"/>
      <c r="F73" s="20"/>
      <c r="G73" s="20"/>
      <c r="H73" s="20"/>
      <c r="I73" s="20"/>
      <c r="J73" s="20"/>
    </row>
    <row r="74" spans="1:10">
      <c r="A74" s="81"/>
      <c r="B74" s="82"/>
      <c r="F74" s="20"/>
      <c r="G74" s="20"/>
      <c r="H74" s="20"/>
      <c r="I74" s="20"/>
      <c r="J74" s="20"/>
    </row>
    <row r="75" spans="1:10">
      <c r="A75" s="81"/>
      <c r="B75" s="82"/>
      <c r="F75" s="20"/>
      <c r="G75" s="20"/>
      <c r="H75" s="20"/>
      <c r="I75" s="20"/>
      <c r="J75" s="20"/>
    </row>
    <row r="76" spans="1:10">
      <c r="A76" s="81"/>
      <c r="B76" s="82"/>
      <c r="F76" s="20"/>
      <c r="G76" s="20"/>
      <c r="H76" s="20"/>
      <c r="I76" s="20"/>
      <c r="J76" s="20"/>
    </row>
    <row r="77" spans="1:10">
      <c r="A77" s="81"/>
      <c r="B77" s="82"/>
      <c r="F77" s="20"/>
      <c r="G77" s="20"/>
      <c r="H77" s="20"/>
      <c r="I77" s="20"/>
      <c r="J77" s="20"/>
    </row>
    <row r="78" spans="1:10">
      <c r="A78" s="81"/>
      <c r="B78" s="82"/>
      <c r="C78" s="93"/>
      <c r="D78" s="93"/>
      <c r="E78" s="93"/>
      <c r="F78" s="26"/>
      <c r="G78" s="26"/>
      <c r="H78" s="26"/>
      <c r="I78" s="26"/>
      <c r="J78" s="26"/>
    </row>
    <row r="79" spans="1:10">
      <c r="A79" s="81"/>
      <c r="B79" s="82"/>
      <c r="F79" s="20"/>
      <c r="G79" s="20"/>
      <c r="H79" s="20"/>
      <c r="I79" s="20"/>
      <c r="J79" s="20"/>
    </row>
    <row r="80" spans="1:10">
      <c r="A80" s="81"/>
      <c r="B80" s="82"/>
      <c r="F80" s="20"/>
      <c r="G80" s="20"/>
      <c r="H80" s="20"/>
      <c r="I80" s="20"/>
      <c r="J80" s="20"/>
    </row>
    <row r="81" spans="1:10">
      <c r="A81" s="81"/>
      <c r="B81" s="82"/>
      <c r="F81" s="20"/>
      <c r="G81" s="20"/>
      <c r="H81" s="20"/>
      <c r="I81" s="20"/>
      <c r="J81" s="20"/>
    </row>
    <row r="82" spans="1:10">
      <c r="A82" s="81"/>
      <c r="B82" s="82"/>
      <c r="F82" s="20"/>
      <c r="G82" s="20"/>
      <c r="H82" s="20"/>
      <c r="I82" s="20"/>
      <c r="J82" s="20"/>
    </row>
    <row r="83" spans="1:10">
      <c r="A83" s="81"/>
      <c r="B83" s="82"/>
    </row>
    <row r="84" spans="1:10">
      <c r="A84" s="81"/>
      <c r="B84" s="82"/>
    </row>
    <row r="85" spans="1:10">
      <c r="A85" s="81"/>
      <c r="B85" s="82"/>
    </row>
    <row r="86" spans="1:10">
      <c r="A86" s="81"/>
      <c r="B86" s="82"/>
      <c r="F86" s="20"/>
      <c r="G86" s="20"/>
      <c r="H86" s="20"/>
      <c r="I86" s="20"/>
      <c r="J86" s="20"/>
    </row>
    <row r="87" spans="1:10">
      <c r="A87" s="81"/>
      <c r="B87" s="82"/>
      <c r="F87" s="20"/>
      <c r="G87" s="20"/>
      <c r="H87" s="20"/>
      <c r="I87" s="20"/>
      <c r="J87" s="20"/>
    </row>
    <row r="88" spans="1:10">
      <c r="A88" s="81"/>
      <c r="B88" s="82"/>
      <c r="F88" s="20"/>
      <c r="G88" s="20"/>
      <c r="H88" s="20"/>
      <c r="I88" s="20"/>
      <c r="J88" s="20"/>
    </row>
    <row r="89" spans="1:10">
      <c r="A89" s="81"/>
      <c r="B89" s="82"/>
      <c r="F89" s="20"/>
      <c r="G89" s="20"/>
      <c r="H89" s="20"/>
      <c r="I89" s="20"/>
      <c r="J89" s="20"/>
    </row>
    <row r="90" spans="1:10">
      <c r="A90" s="81"/>
      <c r="B90" s="82"/>
      <c r="F90" s="20"/>
      <c r="G90" s="20"/>
      <c r="H90" s="20"/>
      <c r="I90" s="20"/>
      <c r="J90" s="20"/>
    </row>
    <row r="91" spans="1:10">
      <c r="A91" s="81"/>
      <c r="B91" s="82"/>
      <c r="F91" s="20"/>
      <c r="G91" s="20"/>
      <c r="H91" s="20"/>
      <c r="I91" s="20"/>
      <c r="J91" s="20"/>
    </row>
    <row r="92" spans="1:10">
      <c r="A92" s="81"/>
      <c r="B92" s="82"/>
      <c r="F92" s="20"/>
      <c r="G92" s="20"/>
      <c r="H92" s="20"/>
      <c r="I92" s="20"/>
      <c r="J92" s="20"/>
    </row>
    <row r="93" spans="1:10">
      <c r="A93" s="81"/>
      <c r="B93" s="82"/>
      <c r="F93" s="20"/>
      <c r="G93" s="20"/>
      <c r="H93" s="20"/>
      <c r="I93" s="20"/>
      <c r="J93" s="20"/>
    </row>
    <row r="94" spans="1:10">
      <c r="A94" s="81"/>
      <c r="B94" s="82"/>
      <c r="F94" s="20"/>
      <c r="G94" s="20"/>
      <c r="H94" s="20"/>
      <c r="I94" s="20"/>
      <c r="J94" s="20"/>
    </row>
    <row r="95" spans="1:10">
      <c r="A95" s="81"/>
      <c r="B95" s="82"/>
      <c r="F95" s="20"/>
      <c r="G95" s="20"/>
      <c r="H95" s="20"/>
      <c r="I95" s="20"/>
      <c r="J95" s="20"/>
    </row>
    <row r="96" spans="1:10">
      <c r="A96" s="81"/>
      <c r="B96" s="82"/>
      <c r="F96" s="20"/>
      <c r="G96" s="20"/>
      <c r="H96" s="20"/>
      <c r="I96" s="20"/>
      <c r="J96" s="20"/>
    </row>
    <row r="97" spans="1:10">
      <c r="A97" s="81"/>
      <c r="B97" s="82"/>
      <c r="F97" s="20"/>
      <c r="G97" s="20"/>
      <c r="H97" s="20"/>
      <c r="I97" s="20"/>
      <c r="J97" s="20"/>
    </row>
    <row r="98" spans="1:10">
      <c r="A98" s="81"/>
      <c r="B98" s="82"/>
      <c r="C98" s="93"/>
      <c r="D98" s="93"/>
      <c r="E98" s="93"/>
      <c r="F98" s="26"/>
      <c r="G98" s="26"/>
      <c r="H98" s="26"/>
      <c r="I98" s="26"/>
      <c r="J98" s="26"/>
    </row>
    <row r="99" spans="1:10">
      <c r="A99" s="81"/>
      <c r="B99" s="82"/>
      <c r="F99" s="20"/>
      <c r="G99" s="20"/>
      <c r="H99" s="20"/>
      <c r="I99" s="20"/>
      <c r="J99" s="20"/>
    </row>
    <row r="100" spans="1:10">
      <c r="A100" s="81"/>
      <c r="B100" s="82"/>
      <c r="F100" s="20"/>
      <c r="G100" s="20"/>
      <c r="H100" s="20"/>
      <c r="I100" s="20"/>
      <c r="J100" s="20"/>
    </row>
    <row r="101" spans="1:10">
      <c r="A101" s="81"/>
      <c r="B101" s="82"/>
      <c r="F101" s="20"/>
      <c r="G101" s="20"/>
      <c r="H101" s="20"/>
      <c r="I101" s="20"/>
      <c r="J101" s="20"/>
    </row>
    <row r="102" spans="1:10">
      <c r="A102" s="81"/>
      <c r="B102" s="82"/>
      <c r="F102" s="20"/>
      <c r="G102" s="20"/>
      <c r="H102" s="20"/>
      <c r="I102" s="20"/>
      <c r="J102" s="20"/>
    </row>
    <row r="103" spans="1:10">
      <c r="A103" s="81"/>
      <c r="B103" s="82"/>
    </row>
    <row r="104" spans="1:10">
      <c r="A104" s="81"/>
      <c r="B104" s="82"/>
    </row>
    <row r="105" spans="1:10">
      <c r="A105" s="81"/>
      <c r="B105" s="82"/>
    </row>
    <row r="106" spans="1:10">
      <c r="A106" s="81"/>
      <c r="B106" s="82"/>
      <c r="F106" s="20"/>
      <c r="G106" s="20"/>
      <c r="H106" s="20"/>
      <c r="I106" s="20"/>
      <c r="J106" s="20"/>
    </row>
    <row r="107" spans="1:10">
      <c r="A107" s="81"/>
      <c r="B107" s="82"/>
      <c r="F107" s="20"/>
      <c r="G107" s="20"/>
      <c r="H107" s="20"/>
      <c r="I107" s="20"/>
      <c r="J107" s="20"/>
    </row>
    <row r="108" spans="1:10">
      <c r="A108" s="81"/>
      <c r="B108" s="82"/>
      <c r="F108" s="20"/>
      <c r="G108" s="20"/>
      <c r="H108" s="20"/>
      <c r="I108" s="20"/>
      <c r="J108" s="20"/>
    </row>
    <row r="109" spans="1:10">
      <c r="A109" s="81"/>
      <c r="B109" s="82"/>
      <c r="F109" s="20"/>
      <c r="G109" s="20"/>
      <c r="H109" s="20"/>
      <c r="I109" s="20"/>
      <c r="J109" s="20"/>
    </row>
    <row r="110" spans="1:10">
      <c r="A110" s="81"/>
      <c r="B110" s="82"/>
      <c r="F110" s="20"/>
      <c r="G110" s="20"/>
      <c r="H110" s="20"/>
      <c r="I110" s="20"/>
      <c r="J110" s="20"/>
    </row>
    <row r="111" spans="1:10">
      <c r="A111" s="81"/>
      <c r="B111" s="82"/>
      <c r="F111" s="20"/>
      <c r="G111" s="20"/>
      <c r="H111" s="20"/>
      <c r="I111" s="20"/>
      <c r="J111" s="20"/>
    </row>
    <row r="112" spans="1:10">
      <c r="A112" s="81"/>
      <c r="B112" s="82"/>
      <c r="F112" s="20"/>
      <c r="G112" s="20"/>
      <c r="H112" s="20"/>
      <c r="I112" s="20"/>
      <c r="J112" s="20"/>
    </row>
    <row r="113" spans="1:10">
      <c r="A113" s="81"/>
      <c r="B113" s="82"/>
      <c r="F113" s="20"/>
      <c r="G113" s="20"/>
      <c r="H113" s="20"/>
      <c r="I113" s="20"/>
      <c r="J113" s="20"/>
    </row>
    <row r="114" spans="1:10">
      <c r="A114" s="81"/>
      <c r="B114" s="82"/>
      <c r="F114" s="20"/>
      <c r="G114" s="20"/>
      <c r="H114" s="20"/>
      <c r="I114" s="20"/>
      <c r="J114" s="20"/>
    </row>
    <row r="115" spans="1:10">
      <c r="A115" s="81"/>
      <c r="B115" s="82"/>
      <c r="F115" s="20"/>
      <c r="G115" s="20"/>
      <c r="H115" s="20"/>
      <c r="I115" s="20"/>
      <c r="J115" s="20"/>
    </row>
    <row r="116" spans="1:10">
      <c r="A116" s="81"/>
      <c r="B116" s="82"/>
      <c r="F116" s="20"/>
      <c r="G116" s="20"/>
      <c r="H116" s="20"/>
      <c r="I116" s="20"/>
      <c r="J116" s="20"/>
    </row>
    <row r="117" spans="1:10">
      <c r="A117" s="81"/>
      <c r="B117" s="82"/>
      <c r="F117" s="20"/>
      <c r="G117" s="20"/>
      <c r="H117" s="20"/>
      <c r="I117" s="20"/>
      <c r="J117" s="20"/>
    </row>
    <row r="118" spans="1:10">
      <c r="A118" s="81"/>
      <c r="B118" s="82"/>
      <c r="C118" s="93"/>
      <c r="D118" s="93"/>
      <c r="E118" s="93"/>
      <c r="F118" s="26"/>
      <c r="G118" s="26"/>
      <c r="H118" s="26"/>
      <c r="I118" s="26"/>
      <c r="J118" s="26"/>
    </row>
    <row r="119" spans="1:10">
      <c r="A119" s="81"/>
      <c r="B119" s="82"/>
      <c r="F119" s="20"/>
      <c r="G119" s="20"/>
      <c r="H119" s="20"/>
      <c r="I119" s="20"/>
      <c r="J119" s="20"/>
    </row>
    <row r="120" spans="1:10">
      <c r="A120" s="81"/>
      <c r="B120" s="82"/>
      <c r="F120" s="20"/>
      <c r="G120" s="20"/>
      <c r="H120" s="20"/>
      <c r="I120" s="20"/>
      <c r="J120" s="20"/>
    </row>
    <row r="121" spans="1:10">
      <c r="A121" s="81"/>
      <c r="B121" s="82"/>
      <c r="F121" s="20"/>
      <c r="G121" s="20"/>
      <c r="H121" s="20"/>
      <c r="I121" s="20"/>
      <c r="J121" s="20"/>
    </row>
    <row r="122" spans="1:10">
      <c r="A122" s="81"/>
      <c r="B122" s="82"/>
      <c r="F122" s="20"/>
      <c r="G122" s="20"/>
      <c r="H122" s="20"/>
      <c r="I122" s="20"/>
      <c r="J122" s="20"/>
    </row>
    <row r="123" spans="1:10">
      <c r="A123" s="81"/>
      <c r="B123" s="82"/>
    </row>
    <row r="124" spans="1:10">
      <c r="A124" s="81"/>
      <c r="B124" s="82"/>
    </row>
    <row r="125" spans="1:10">
      <c r="A125" s="81"/>
      <c r="B125" s="82"/>
    </row>
    <row r="126" spans="1:10">
      <c r="A126" s="81"/>
      <c r="B126" s="82"/>
      <c r="F126" s="20"/>
      <c r="G126" s="20"/>
      <c r="H126" s="20"/>
      <c r="I126" s="20"/>
      <c r="J126" s="20"/>
    </row>
    <row r="127" spans="1:10">
      <c r="A127" s="81"/>
      <c r="B127" s="82"/>
      <c r="F127" s="20"/>
      <c r="G127" s="20"/>
      <c r="H127" s="20"/>
      <c r="I127" s="20"/>
      <c r="J127" s="20"/>
    </row>
    <row r="128" spans="1:10">
      <c r="A128" s="81"/>
      <c r="B128" s="82"/>
      <c r="F128" s="20"/>
      <c r="G128" s="20"/>
      <c r="H128" s="20"/>
      <c r="I128" s="20"/>
      <c r="J128" s="20"/>
    </row>
    <row r="129" spans="1:10">
      <c r="A129" s="81"/>
      <c r="B129" s="82"/>
      <c r="F129" s="20"/>
      <c r="G129" s="20"/>
      <c r="H129" s="20"/>
      <c r="I129" s="20"/>
      <c r="J129" s="20"/>
    </row>
    <row r="130" spans="1:10">
      <c r="A130" s="81"/>
      <c r="B130" s="82"/>
      <c r="F130" s="20"/>
      <c r="G130" s="20"/>
      <c r="H130" s="20"/>
      <c r="I130" s="20"/>
      <c r="J130" s="20"/>
    </row>
    <row r="131" spans="1:10">
      <c r="A131" s="81"/>
      <c r="B131" s="82"/>
      <c r="F131" s="20"/>
      <c r="G131" s="20"/>
      <c r="H131" s="20"/>
      <c r="I131" s="20"/>
      <c r="J131" s="20"/>
    </row>
    <row r="132" spans="1:10">
      <c r="A132" s="81"/>
      <c r="B132" s="82"/>
      <c r="F132" s="20"/>
      <c r="G132" s="20"/>
      <c r="H132" s="20"/>
      <c r="I132" s="20"/>
      <c r="J132" s="20"/>
    </row>
    <row r="133" spans="1:10">
      <c r="A133" s="81"/>
      <c r="B133" s="82"/>
      <c r="F133" s="20"/>
      <c r="G133" s="20"/>
      <c r="H133" s="20"/>
      <c r="I133" s="20"/>
      <c r="J133" s="20"/>
    </row>
    <row r="134" spans="1:10">
      <c r="A134" s="81"/>
      <c r="B134" s="82"/>
      <c r="F134" s="20"/>
      <c r="G134" s="20"/>
      <c r="H134" s="20"/>
      <c r="I134" s="20"/>
      <c r="J134" s="20"/>
    </row>
    <row r="135" spans="1:10">
      <c r="A135" s="81"/>
      <c r="B135" s="82"/>
      <c r="F135" s="20"/>
      <c r="G135" s="20"/>
      <c r="H135" s="20"/>
      <c r="I135" s="20"/>
      <c r="J135" s="20"/>
    </row>
    <row r="136" spans="1:10">
      <c r="A136" s="81"/>
      <c r="B136" s="82"/>
      <c r="F136" s="20"/>
      <c r="G136" s="20"/>
      <c r="H136" s="20"/>
      <c r="I136" s="20"/>
      <c r="J136" s="20"/>
    </row>
    <row r="137" spans="1:10">
      <c r="A137" s="81"/>
      <c r="B137" s="82"/>
      <c r="F137" s="20"/>
      <c r="G137" s="20"/>
      <c r="H137" s="20"/>
      <c r="I137" s="20"/>
      <c r="J137" s="20"/>
    </row>
    <row r="138" spans="1:10">
      <c r="A138" s="81"/>
      <c r="B138" s="82"/>
      <c r="C138" s="93"/>
      <c r="D138" s="93"/>
      <c r="E138" s="93"/>
      <c r="F138" s="26"/>
      <c r="G138" s="26"/>
      <c r="H138" s="26"/>
      <c r="I138" s="26"/>
      <c r="J138" s="26"/>
    </row>
    <row r="139" spans="1:10">
      <c r="A139" s="81"/>
      <c r="B139" s="82"/>
      <c r="F139" s="20"/>
      <c r="G139" s="20"/>
      <c r="H139" s="20"/>
      <c r="I139" s="20"/>
      <c r="J139" s="20"/>
    </row>
    <row r="140" spans="1:10">
      <c r="A140" s="81"/>
      <c r="B140" s="82"/>
      <c r="F140" s="20"/>
      <c r="G140" s="20"/>
      <c r="H140" s="20"/>
      <c r="I140" s="20"/>
      <c r="J140" s="20"/>
    </row>
    <row r="141" spans="1:10">
      <c r="A141" s="81"/>
      <c r="B141" s="82"/>
      <c r="F141" s="20"/>
      <c r="G141" s="20"/>
      <c r="H141" s="20"/>
      <c r="I141" s="20"/>
      <c r="J141" s="20"/>
    </row>
    <row r="142" spans="1:10">
      <c r="A142" s="81"/>
      <c r="B142" s="82"/>
      <c r="F142" s="20"/>
      <c r="G142" s="20"/>
      <c r="H142" s="20"/>
      <c r="I142" s="20"/>
      <c r="J142" s="20"/>
    </row>
    <row r="143" spans="1:10">
      <c r="A143" s="81"/>
      <c r="B143" s="82"/>
    </row>
    <row r="144" spans="1:10">
      <c r="A144" s="81"/>
      <c r="B144" s="82"/>
    </row>
    <row r="145" spans="1:10">
      <c r="A145" s="81"/>
      <c r="B145" s="82"/>
    </row>
    <row r="146" spans="1:10">
      <c r="A146" s="81"/>
      <c r="B146" s="82"/>
      <c r="F146" s="20"/>
      <c r="G146" s="20"/>
      <c r="H146" s="20"/>
      <c r="I146" s="20"/>
      <c r="J146" s="20"/>
    </row>
    <row r="147" spans="1:10">
      <c r="A147" s="81"/>
      <c r="B147" s="82"/>
      <c r="F147" s="20"/>
      <c r="G147" s="20"/>
      <c r="H147" s="20"/>
      <c r="I147" s="20"/>
      <c r="J147" s="20"/>
    </row>
    <row r="148" spans="1:10">
      <c r="A148" s="81"/>
      <c r="B148" s="82"/>
      <c r="F148" s="20"/>
      <c r="G148" s="20"/>
      <c r="H148" s="20"/>
      <c r="I148" s="20"/>
      <c r="J148" s="20"/>
    </row>
    <row r="149" spans="1:10">
      <c r="A149" s="81"/>
      <c r="B149" s="82"/>
      <c r="F149" s="20"/>
      <c r="G149" s="20"/>
      <c r="H149" s="20"/>
      <c r="I149" s="20"/>
      <c r="J149" s="20"/>
    </row>
    <row r="150" spans="1:10">
      <c r="A150" s="81"/>
      <c r="B150" s="82"/>
      <c r="F150" s="20"/>
      <c r="G150" s="20"/>
      <c r="H150" s="20"/>
      <c r="I150" s="20"/>
      <c r="J150" s="20"/>
    </row>
    <row r="151" spans="1:10">
      <c r="A151" s="81"/>
      <c r="B151" s="82"/>
      <c r="F151" s="20"/>
      <c r="G151" s="20"/>
      <c r="H151" s="20"/>
      <c r="I151" s="20"/>
      <c r="J151" s="20"/>
    </row>
    <row r="152" spans="1:10">
      <c r="A152" s="81"/>
      <c r="B152" s="82"/>
      <c r="F152" s="20"/>
      <c r="G152" s="20"/>
      <c r="H152" s="20"/>
      <c r="I152" s="20"/>
      <c r="J152" s="20"/>
    </row>
    <row r="153" spans="1:10">
      <c r="A153" s="81"/>
      <c r="B153" s="82"/>
      <c r="F153" s="20"/>
      <c r="G153" s="20"/>
      <c r="H153" s="20"/>
      <c r="I153" s="20"/>
      <c r="J153" s="20"/>
    </row>
    <row r="154" spans="1:10">
      <c r="A154" s="81"/>
      <c r="B154" s="82"/>
      <c r="F154" s="20"/>
      <c r="G154" s="20"/>
      <c r="H154" s="20"/>
      <c r="I154" s="20"/>
      <c r="J154" s="20"/>
    </row>
    <row r="155" spans="1:10">
      <c r="A155" s="81"/>
      <c r="B155" s="82"/>
      <c r="F155" s="20"/>
      <c r="G155" s="20"/>
      <c r="H155" s="20"/>
      <c r="I155" s="20"/>
      <c r="J155" s="20"/>
    </row>
    <row r="156" spans="1:10">
      <c r="A156" s="81"/>
      <c r="B156" s="82"/>
      <c r="F156" s="20"/>
      <c r="G156" s="20"/>
      <c r="H156" s="20"/>
      <c r="I156" s="20"/>
      <c r="J156" s="20"/>
    </row>
    <row r="157" spans="1:10">
      <c r="A157" s="81"/>
      <c r="B157" s="82"/>
      <c r="F157" s="20"/>
      <c r="G157" s="20"/>
      <c r="H157" s="20"/>
      <c r="I157" s="20"/>
      <c r="J157" s="20"/>
    </row>
    <row r="158" spans="1:10">
      <c r="A158" s="81"/>
      <c r="B158" s="82"/>
      <c r="C158" s="93"/>
      <c r="D158" s="93"/>
      <c r="E158" s="93"/>
      <c r="F158" s="26"/>
      <c r="G158" s="26"/>
      <c r="H158" s="26"/>
      <c r="I158" s="26"/>
      <c r="J158" s="26"/>
    </row>
    <row r="159" spans="1:10">
      <c r="A159" s="81"/>
      <c r="B159" s="82"/>
      <c r="F159" s="20"/>
      <c r="G159" s="20"/>
      <c r="H159" s="20"/>
      <c r="I159" s="20"/>
      <c r="J159" s="20"/>
    </row>
    <row r="160" spans="1:10">
      <c r="A160" s="81"/>
      <c r="B160" s="82"/>
      <c r="F160" s="20"/>
      <c r="G160" s="20"/>
      <c r="H160" s="20"/>
      <c r="I160" s="20"/>
      <c r="J160" s="20"/>
    </row>
    <row r="161" spans="1:10">
      <c r="A161" s="81"/>
      <c r="B161" s="82"/>
      <c r="F161" s="20"/>
      <c r="G161" s="20"/>
      <c r="H161" s="20"/>
      <c r="I161" s="20"/>
      <c r="J161" s="20"/>
    </row>
    <row r="162" spans="1:10">
      <c r="A162" s="81"/>
      <c r="B162" s="82"/>
      <c r="F162" s="20"/>
      <c r="G162" s="20"/>
      <c r="H162" s="20"/>
      <c r="I162" s="20"/>
      <c r="J162" s="20"/>
    </row>
    <row r="163" spans="1:10">
      <c r="A163" s="81"/>
      <c r="B163" s="82"/>
    </row>
    <row r="164" spans="1:10">
      <c r="A164" s="81"/>
      <c r="B164" s="82"/>
    </row>
    <row r="165" spans="1:10">
      <c r="A165" s="81"/>
      <c r="B165" s="82"/>
    </row>
    <row r="166" spans="1:10">
      <c r="A166" s="81"/>
      <c r="B166" s="82"/>
      <c r="F166" s="20"/>
      <c r="G166" s="20"/>
      <c r="H166" s="20"/>
      <c r="I166" s="20"/>
      <c r="J166" s="20"/>
    </row>
    <row r="167" spans="1:10">
      <c r="A167" s="81"/>
      <c r="B167" s="82"/>
      <c r="C167" s="30"/>
      <c r="D167" s="30"/>
      <c r="E167" s="30"/>
      <c r="F167" s="20"/>
      <c r="G167" s="20"/>
      <c r="H167" s="20"/>
      <c r="I167" s="20"/>
      <c r="J167" s="20"/>
    </row>
    <row r="168" spans="1:10">
      <c r="A168" s="81"/>
      <c r="B168" s="82"/>
      <c r="C168" s="30"/>
      <c r="D168" s="30"/>
      <c r="E168" s="30"/>
      <c r="F168" s="20"/>
      <c r="G168" s="20"/>
      <c r="H168" s="20"/>
      <c r="I168" s="20"/>
      <c r="J168" s="20"/>
    </row>
    <row r="169" spans="1:10">
      <c r="A169" s="81"/>
      <c r="B169" s="82"/>
      <c r="C169" s="30"/>
      <c r="D169" s="30"/>
      <c r="E169" s="30"/>
      <c r="F169" s="20"/>
      <c r="G169" s="20"/>
      <c r="H169" s="20"/>
      <c r="I169" s="20"/>
      <c r="J169" s="20"/>
    </row>
    <row r="170" spans="1:10">
      <c r="A170" s="81"/>
      <c r="B170" s="82"/>
      <c r="F170" s="20"/>
      <c r="G170" s="20"/>
      <c r="H170" s="20"/>
      <c r="I170" s="20"/>
      <c r="J170" s="20"/>
    </row>
    <row r="171" spans="1:10">
      <c r="A171" s="81"/>
      <c r="B171" s="82"/>
      <c r="F171" s="20"/>
      <c r="G171" s="20"/>
      <c r="H171" s="20"/>
      <c r="I171" s="20"/>
      <c r="J171" s="20"/>
    </row>
    <row r="172" spans="1:10">
      <c r="A172" s="81"/>
      <c r="B172" s="82"/>
      <c r="F172" s="20"/>
      <c r="G172" s="20"/>
      <c r="H172" s="20"/>
      <c r="I172" s="20"/>
      <c r="J172" s="20"/>
    </row>
    <row r="173" spans="1:10">
      <c r="A173" s="81"/>
      <c r="B173" s="82"/>
      <c r="F173" s="20"/>
      <c r="G173" s="20"/>
      <c r="H173" s="20"/>
      <c r="I173" s="20"/>
      <c r="J173" s="20"/>
    </row>
    <row r="174" spans="1:10">
      <c r="A174" s="81"/>
      <c r="B174" s="82"/>
      <c r="F174" s="20"/>
      <c r="G174" s="20"/>
      <c r="H174" s="20"/>
      <c r="I174" s="20"/>
      <c r="J174" s="20"/>
    </row>
    <row r="175" spans="1:10">
      <c r="A175" s="81"/>
      <c r="B175" s="82"/>
      <c r="F175" s="20"/>
      <c r="G175" s="20"/>
      <c r="H175" s="20"/>
      <c r="I175" s="20"/>
      <c r="J175" s="20"/>
    </row>
    <row r="176" spans="1:10">
      <c r="A176" s="81"/>
      <c r="B176" s="82"/>
      <c r="F176" s="20"/>
      <c r="G176" s="20"/>
      <c r="H176" s="20"/>
      <c r="I176" s="20"/>
      <c r="J176" s="20"/>
    </row>
    <row r="177" spans="1:10">
      <c r="A177" s="81"/>
      <c r="B177" s="82"/>
      <c r="F177" s="20"/>
      <c r="G177" s="20"/>
      <c r="H177" s="20"/>
      <c r="I177" s="20"/>
      <c r="J177" s="20"/>
    </row>
    <row r="178" spans="1:10">
      <c r="A178" s="81"/>
      <c r="B178" s="82"/>
      <c r="C178" s="93"/>
      <c r="D178" s="93"/>
      <c r="E178" s="93"/>
      <c r="F178" s="26"/>
      <c r="G178" s="26"/>
      <c r="H178" s="26"/>
      <c r="I178" s="26"/>
      <c r="J178" s="26"/>
    </row>
    <row r="179" spans="1:10">
      <c r="A179" s="81"/>
      <c r="B179" s="82"/>
      <c r="F179" s="20"/>
      <c r="G179" s="20"/>
      <c r="H179" s="20"/>
      <c r="I179" s="20"/>
      <c r="J179" s="20"/>
    </row>
    <row r="180" spans="1:10">
      <c r="A180" s="81"/>
      <c r="B180" s="82"/>
      <c r="F180" s="20"/>
      <c r="G180" s="20"/>
      <c r="H180" s="20"/>
      <c r="I180" s="20"/>
      <c r="J180" s="20"/>
    </row>
    <row r="181" spans="1:10">
      <c r="A181" s="81"/>
      <c r="B181" s="82"/>
      <c r="F181" s="20"/>
      <c r="G181" s="20"/>
      <c r="H181" s="20"/>
      <c r="I181" s="20"/>
      <c r="J181" s="20"/>
    </row>
    <row r="182" spans="1:10">
      <c r="A182" s="81"/>
      <c r="B182" s="82"/>
    </row>
    <row r="183" spans="1:10">
      <c r="A183" s="81"/>
      <c r="B183" s="82"/>
    </row>
    <row r="184" spans="1:10">
      <c r="A184" s="81"/>
      <c r="B184" s="82"/>
    </row>
    <row r="185" spans="1:10">
      <c r="A185" s="81"/>
      <c r="B185" s="82"/>
    </row>
    <row r="186" spans="1:10">
      <c r="A186" s="81"/>
      <c r="B186" s="82"/>
      <c r="F186" s="20"/>
      <c r="G186" s="20"/>
      <c r="H186" s="20"/>
      <c r="I186" s="20"/>
      <c r="J186" s="20"/>
    </row>
    <row r="187" spans="1:10">
      <c r="A187" s="81"/>
      <c r="B187" s="82"/>
      <c r="C187" s="30"/>
      <c r="D187" s="30"/>
      <c r="E187" s="30"/>
      <c r="F187" s="20"/>
      <c r="G187" s="20"/>
      <c r="H187" s="20"/>
      <c r="I187" s="20"/>
      <c r="J187" s="20"/>
    </row>
    <row r="188" spans="1:10">
      <c r="A188" s="81"/>
      <c r="B188" s="82"/>
      <c r="C188" s="30"/>
      <c r="D188" s="30"/>
      <c r="E188" s="30"/>
      <c r="F188" s="20"/>
      <c r="G188" s="20"/>
      <c r="H188" s="20"/>
      <c r="I188" s="20"/>
      <c r="J188" s="20"/>
    </row>
    <row r="189" spans="1:10">
      <c r="A189" s="81"/>
      <c r="B189" s="82"/>
      <c r="C189" s="30"/>
      <c r="D189" s="30"/>
      <c r="E189" s="30"/>
      <c r="F189" s="20"/>
      <c r="G189" s="20"/>
      <c r="H189" s="20"/>
      <c r="I189" s="20"/>
      <c r="J189" s="20"/>
    </row>
    <row r="190" spans="1:10">
      <c r="A190" s="81"/>
      <c r="B190" s="82"/>
      <c r="F190" s="20"/>
      <c r="G190" s="20"/>
      <c r="H190" s="20"/>
      <c r="I190" s="20"/>
      <c r="J190" s="20"/>
    </row>
    <row r="191" spans="1:10">
      <c r="A191" s="81"/>
      <c r="B191" s="82"/>
      <c r="F191" s="20"/>
      <c r="G191" s="20"/>
      <c r="H191" s="20"/>
      <c r="I191" s="20"/>
      <c r="J191" s="20"/>
    </row>
    <row r="192" spans="1:10">
      <c r="A192" s="81"/>
      <c r="B192" s="82"/>
      <c r="F192" s="20"/>
      <c r="G192" s="20"/>
      <c r="H192" s="20"/>
      <c r="I192" s="20"/>
      <c r="J192" s="20"/>
    </row>
    <row r="193" spans="1:12">
      <c r="A193" s="81"/>
      <c r="B193" s="82"/>
      <c r="F193" s="20"/>
      <c r="G193" s="20"/>
      <c r="H193" s="20"/>
      <c r="I193" s="20"/>
      <c r="J193" s="20"/>
    </row>
    <row r="194" spans="1:12">
      <c r="A194" s="81"/>
      <c r="B194" s="82"/>
      <c r="F194" s="20"/>
      <c r="G194" s="20"/>
      <c r="H194" s="20"/>
      <c r="I194" s="20"/>
      <c r="J194" s="20"/>
    </row>
    <row r="195" spans="1:12">
      <c r="A195" s="81"/>
      <c r="B195" s="82"/>
      <c r="F195" s="20"/>
      <c r="G195" s="20"/>
      <c r="H195" s="20"/>
      <c r="I195" s="20"/>
      <c r="J195" s="20"/>
    </row>
    <row r="196" spans="1:12">
      <c r="A196" s="81"/>
      <c r="B196" s="82"/>
      <c r="F196" s="20"/>
      <c r="G196" s="20"/>
      <c r="H196" s="20"/>
      <c r="I196" s="20"/>
      <c r="J196" s="20"/>
    </row>
    <row r="197" spans="1:12">
      <c r="A197" s="81"/>
      <c r="B197" s="82"/>
      <c r="F197" s="20"/>
      <c r="G197" s="20"/>
      <c r="H197" s="20"/>
      <c r="I197" s="20"/>
      <c r="J197" s="20"/>
    </row>
    <row r="198" spans="1:12">
      <c r="A198" s="81"/>
      <c r="B198" s="82"/>
      <c r="C198" s="93"/>
      <c r="D198" s="93"/>
      <c r="E198" s="93"/>
      <c r="F198" s="26"/>
      <c r="G198" s="26"/>
      <c r="H198" s="26"/>
      <c r="I198" s="26"/>
      <c r="J198" s="26"/>
    </row>
    <row r="199" spans="1:12">
      <c r="A199" s="81"/>
      <c r="B199" s="82"/>
      <c r="F199" s="20"/>
      <c r="G199" s="20"/>
      <c r="H199" s="20"/>
      <c r="I199" s="20"/>
      <c r="J199" s="20"/>
    </row>
    <row r="200" spans="1:12">
      <c r="A200" s="81"/>
      <c r="B200" s="82"/>
      <c r="F200" s="20"/>
      <c r="G200" s="20"/>
      <c r="H200" s="20"/>
      <c r="I200" s="20"/>
      <c r="J200" s="20"/>
    </row>
    <row r="201" spans="1:12">
      <c r="A201" s="81"/>
      <c r="B201" s="82"/>
    </row>
    <row r="202" spans="1:12">
      <c r="A202" s="81"/>
      <c r="B202" s="82"/>
    </row>
    <row r="203" spans="1:12">
      <c r="A203" s="81"/>
      <c r="B203" s="82"/>
    </row>
    <row r="204" spans="1:12">
      <c r="A204" s="81"/>
      <c r="B204" s="82"/>
    </row>
    <row r="205" spans="1:12">
      <c r="A205" s="81"/>
      <c r="B205" s="82"/>
    </row>
    <row r="206" spans="1:12">
      <c r="A206" s="81"/>
      <c r="B206" s="82"/>
      <c r="F206" s="20"/>
      <c r="G206" s="20"/>
      <c r="H206" s="20"/>
      <c r="I206" s="20"/>
      <c r="J206" s="20"/>
    </row>
    <row r="207" spans="1:12">
      <c r="A207" s="81"/>
      <c r="B207" s="82"/>
      <c r="C207" s="30"/>
      <c r="D207" s="30"/>
      <c r="E207" s="30"/>
      <c r="F207" s="20"/>
      <c r="G207" s="20"/>
      <c r="H207" s="20"/>
      <c r="I207" s="20"/>
      <c r="J207" s="20"/>
    </row>
    <row r="208" spans="1:12">
      <c r="A208" s="81"/>
      <c r="B208" s="82"/>
      <c r="C208" s="30"/>
      <c r="D208" s="30"/>
      <c r="E208" s="30"/>
      <c r="F208" s="20"/>
      <c r="G208" s="20"/>
      <c r="H208" s="20"/>
      <c r="I208" s="20"/>
      <c r="J208" s="20"/>
      <c r="L208" s="26"/>
    </row>
    <row r="209" spans="1:10">
      <c r="A209" s="81"/>
      <c r="B209" s="82"/>
      <c r="C209" s="30"/>
      <c r="D209" s="30"/>
      <c r="E209" s="30"/>
      <c r="F209" s="20"/>
      <c r="G209" s="20"/>
      <c r="H209" s="20"/>
      <c r="I209" s="20"/>
      <c r="J209" s="20"/>
    </row>
    <row r="210" spans="1:10">
      <c r="A210" s="81"/>
      <c r="B210" s="82"/>
      <c r="F210" s="20"/>
      <c r="G210" s="20"/>
      <c r="H210" s="20"/>
      <c r="I210" s="20"/>
      <c r="J210" s="20"/>
    </row>
    <row r="211" spans="1:10">
      <c r="A211" s="81"/>
      <c r="B211" s="82"/>
      <c r="F211" s="20"/>
      <c r="G211" s="20"/>
      <c r="H211" s="20"/>
      <c r="I211" s="20"/>
      <c r="J211" s="20"/>
    </row>
    <row r="212" spans="1:10">
      <c r="A212" s="81"/>
      <c r="B212" s="82"/>
      <c r="F212" s="20"/>
      <c r="G212" s="20"/>
      <c r="H212" s="20"/>
      <c r="I212" s="20"/>
      <c r="J212" s="20"/>
    </row>
    <row r="213" spans="1:10">
      <c r="A213" s="81"/>
      <c r="B213" s="82"/>
      <c r="F213" s="20"/>
      <c r="G213" s="20"/>
      <c r="H213" s="20"/>
      <c r="I213" s="20"/>
      <c r="J213" s="20"/>
    </row>
    <row r="214" spans="1:10">
      <c r="A214" s="81"/>
      <c r="B214" s="82"/>
      <c r="F214" s="20"/>
      <c r="G214" s="20"/>
      <c r="H214" s="20"/>
      <c r="I214" s="20"/>
      <c r="J214" s="20"/>
    </row>
    <row r="215" spans="1:10">
      <c r="A215" s="81"/>
      <c r="B215" s="82"/>
      <c r="F215" s="20"/>
      <c r="G215" s="20"/>
      <c r="H215" s="20"/>
      <c r="I215" s="20"/>
      <c r="J215" s="20"/>
    </row>
    <row r="216" spans="1:10">
      <c r="A216" s="81"/>
      <c r="B216" s="82"/>
      <c r="F216" s="20"/>
      <c r="G216" s="20"/>
      <c r="H216" s="20"/>
      <c r="I216" s="20"/>
      <c r="J216" s="20"/>
    </row>
    <row r="217" spans="1:10">
      <c r="A217" s="81"/>
      <c r="B217" s="82"/>
      <c r="F217" s="20"/>
      <c r="G217" s="20"/>
      <c r="H217" s="20"/>
      <c r="I217" s="20"/>
      <c r="J217" s="20"/>
    </row>
    <row r="218" spans="1:10">
      <c r="A218" s="81"/>
      <c r="B218" s="82"/>
      <c r="C218" s="93"/>
      <c r="D218" s="93"/>
      <c r="E218" s="93"/>
      <c r="F218" s="26"/>
      <c r="G218" s="26"/>
      <c r="H218" s="26"/>
      <c r="I218" s="26"/>
      <c r="J218" s="26"/>
    </row>
    <row r="219" spans="1:10">
      <c r="A219" s="81"/>
      <c r="B219" s="82"/>
      <c r="F219" s="20"/>
      <c r="G219" s="20"/>
      <c r="H219" s="20"/>
      <c r="I219" s="20"/>
      <c r="J219" s="20"/>
    </row>
    <row r="220" spans="1:10">
      <c r="A220" s="81"/>
      <c r="B220" s="82"/>
      <c r="F220" s="20"/>
      <c r="G220" s="20"/>
      <c r="H220" s="20"/>
      <c r="I220" s="20"/>
      <c r="J220" s="20"/>
    </row>
    <row r="221" spans="1:10">
      <c r="A221" s="81"/>
      <c r="B221" s="82"/>
    </row>
    <row r="222" spans="1:10">
      <c r="A222" s="81"/>
      <c r="B222" s="82"/>
    </row>
    <row r="223" spans="1:10">
      <c r="A223" s="81"/>
      <c r="B223" s="82"/>
    </row>
    <row r="224" spans="1:10">
      <c r="A224" s="81"/>
      <c r="B224" s="82"/>
    </row>
    <row r="225" spans="1:10">
      <c r="A225" s="81"/>
      <c r="B225" s="82"/>
    </row>
    <row r="226" spans="1:10">
      <c r="A226" s="81"/>
      <c r="B226" s="82"/>
      <c r="F226" s="20"/>
      <c r="G226" s="20"/>
      <c r="H226" s="20"/>
      <c r="I226" s="20"/>
      <c r="J226" s="20"/>
    </row>
    <row r="227" spans="1:10">
      <c r="A227" s="81"/>
      <c r="B227" s="82"/>
      <c r="C227" s="30"/>
      <c r="D227" s="30"/>
      <c r="E227" s="30"/>
      <c r="F227" s="20"/>
      <c r="G227" s="20"/>
      <c r="H227" s="20"/>
      <c r="I227" s="20"/>
      <c r="J227" s="20"/>
    </row>
    <row r="228" spans="1:10">
      <c r="A228" s="81"/>
      <c r="B228" s="82"/>
      <c r="C228" s="30"/>
      <c r="D228" s="30"/>
      <c r="E228" s="30"/>
      <c r="F228" s="20"/>
      <c r="G228" s="20"/>
      <c r="H228" s="20"/>
      <c r="I228" s="20"/>
      <c r="J228" s="20"/>
    </row>
    <row r="229" spans="1:10">
      <c r="A229" s="81"/>
      <c r="B229" s="82"/>
      <c r="C229" s="30"/>
      <c r="D229" s="30"/>
      <c r="E229" s="30"/>
      <c r="F229" s="20"/>
      <c r="G229" s="20"/>
      <c r="H229" s="20"/>
      <c r="I229" s="20"/>
      <c r="J229" s="20"/>
    </row>
    <row r="230" spans="1:10">
      <c r="A230" s="81"/>
      <c r="B230" s="82"/>
      <c r="C230" s="30"/>
      <c r="D230" s="30"/>
      <c r="E230" s="30"/>
      <c r="F230" s="20"/>
      <c r="G230" s="20"/>
      <c r="H230" s="20"/>
      <c r="I230" s="20"/>
      <c r="J230" s="20"/>
    </row>
    <row r="231" spans="1:10">
      <c r="A231" s="81"/>
      <c r="B231" s="82"/>
      <c r="C231" s="30"/>
      <c r="D231" s="30"/>
      <c r="E231" s="30"/>
      <c r="F231" s="20"/>
      <c r="G231" s="20"/>
      <c r="H231" s="20"/>
      <c r="I231" s="20"/>
      <c r="J231" s="20"/>
    </row>
    <row r="232" spans="1:10">
      <c r="A232" s="81"/>
      <c r="B232" s="82"/>
      <c r="C232" s="30"/>
      <c r="D232" s="30"/>
      <c r="E232" s="30"/>
      <c r="F232" s="20"/>
      <c r="G232" s="20"/>
      <c r="H232" s="20"/>
      <c r="I232" s="20"/>
      <c r="J232" s="20"/>
    </row>
    <row r="233" spans="1:10">
      <c r="A233" s="81"/>
      <c r="B233" s="82"/>
      <c r="C233" s="30"/>
      <c r="D233" s="30"/>
      <c r="E233" s="30"/>
      <c r="F233" s="20"/>
      <c r="G233" s="20"/>
      <c r="H233" s="20"/>
      <c r="I233" s="20"/>
      <c r="J233" s="20"/>
    </row>
    <row r="234" spans="1:10">
      <c r="A234" s="81"/>
      <c r="B234" s="82"/>
      <c r="C234" s="30"/>
      <c r="D234" s="30"/>
      <c r="E234" s="30"/>
      <c r="F234" s="20"/>
      <c r="G234" s="20"/>
      <c r="H234" s="20"/>
      <c r="I234" s="20"/>
      <c r="J234" s="20"/>
    </row>
    <row r="235" spans="1:10">
      <c r="A235" s="81"/>
      <c r="B235" s="82"/>
      <c r="C235" s="30"/>
      <c r="D235" s="30"/>
      <c r="E235" s="30"/>
      <c r="F235" s="20"/>
      <c r="G235" s="20"/>
      <c r="H235" s="20"/>
      <c r="I235" s="20"/>
      <c r="J235" s="20"/>
    </row>
    <row r="236" spans="1:10">
      <c r="A236" s="81"/>
      <c r="B236" s="82"/>
      <c r="C236" s="30"/>
      <c r="D236" s="30"/>
      <c r="E236" s="30"/>
      <c r="F236" s="20"/>
      <c r="G236" s="20"/>
      <c r="H236" s="20"/>
      <c r="I236" s="20"/>
      <c r="J236" s="20"/>
    </row>
    <row r="237" spans="1:10">
      <c r="A237" s="81"/>
      <c r="B237" s="82"/>
      <c r="C237" s="30"/>
      <c r="D237" s="30"/>
      <c r="E237" s="30"/>
      <c r="F237" s="20"/>
      <c r="G237" s="20"/>
      <c r="H237" s="20"/>
      <c r="I237" s="20"/>
      <c r="J237" s="20"/>
    </row>
    <row r="238" spans="1:10">
      <c r="A238" s="81"/>
      <c r="B238" s="82"/>
      <c r="C238" s="93"/>
      <c r="D238" s="93"/>
      <c r="E238" s="93"/>
      <c r="F238" s="26"/>
      <c r="G238" s="26"/>
      <c r="H238" s="26"/>
      <c r="I238" s="26"/>
      <c r="J238" s="26"/>
    </row>
    <row r="239" spans="1:10">
      <c r="A239" s="81"/>
      <c r="B239" s="82"/>
      <c r="F239" s="20"/>
      <c r="G239" s="20"/>
      <c r="H239" s="20"/>
      <c r="I239" s="20"/>
      <c r="J239" s="20"/>
    </row>
    <row r="240" spans="1:10">
      <c r="A240" s="81"/>
      <c r="B240" s="82"/>
      <c r="F240" s="20"/>
      <c r="G240" s="20"/>
      <c r="H240" s="20"/>
      <c r="I240" s="20"/>
      <c r="J240" s="20"/>
    </row>
    <row r="241" spans="1:10">
      <c r="A241" s="81"/>
      <c r="B241" s="82"/>
    </row>
    <row r="242" spans="1:10">
      <c r="A242" s="81"/>
      <c r="B242" s="82"/>
    </row>
    <row r="243" spans="1:10">
      <c r="A243" s="81"/>
      <c r="B243" s="82"/>
    </row>
    <row r="244" spans="1:10">
      <c r="A244" s="81"/>
      <c r="B244" s="82"/>
    </row>
    <row r="245" spans="1:10">
      <c r="A245" s="81"/>
      <c r="B245" s="82"/>
    </row>
    <row r="246" spans="1:10">
      <c r="A246" s="81"/>
      <c r="B246" s="82"/>
      <c r="F246" s="20"/>
      <c r="G246" s="20"/>
      <c r="H246" s="20"/>
      <c r="I246" s="20"/>
      <c r="J246" s="20"/>
    </row>
    <row r="247" spans="1:10">
      <c r="A247" s="81"/>
      <c r="B247" s="82"/>
      <c r="C247" s="30"/>
      <c r="D247" s="30"/>
      <c r="E247" s="30"/>
      <c r="F247" s="20"/>
      <c r="G247" s="20"/>
      <c r="H247" s="20"/>
      <c r="I247" s="20"/>
      <c r="J247" s="20"/>
    </row>
    <row r="248" spans="1:10">
      <c r="A248" s="81"/>
      <c r="B248" s="82"/>
      <c r="C248" s="30"/>
      <c r="D248" s="30"/>
      <c r="E248" s="30"/>
      <c r="F248" s="20"/>
      <c r="G248" s="20"/>
      <c r="H248" s="20"/>
      <c r="I248" s="20"/>
      <c r="J248" s="20"/>
    </row>
    <row r="249" spans="1:10">
      <c r="A249" s="81"/>
      <c r="B249" s="82"/>
      <c r="C249" s="30"/>
      <c r="D249" s="30"/>
      <c r="E249" s="30"/>
      <c r="F249" s="20"/>
      <c r="G249" s="20"/>
      <c r="H249" s="20"/>
      <c r="I249" s="20"/>
      <c r="J249" s="20"/>
    </row>
    <row r="250" spans="1:10">
      <c r="A250" s="81"/>
      <c r="B250" s="82"/>
      <c r="C250" s="30"/>
      <c r="D250" s="30"/>
      <c r="E250" s="30"/>
      <c r="F250" s="20"/>
      <c r="G250" s="20"/>
      <c r="H250" s="20"/>
      <c r="I250" s="20"/>
      <c r="J250" s="20"/>
    </row>
    <row r="251" spans="1:10">
      <c r="A251" s="81"/>
      <c r="B251" s="82"/>
      <c r="C251" s="30"/>
      <c r="D251" s="30"/>
      <c r="E251" s="30"/>
      <c r="F251" s="20"/>
      <c r="G251" s="20"/>
      <c r="H251" s="20"/>
      <c r="I251" s="20"/>
      <c r="J251" s="20"/>
    </row>
    <row r="252" spans="1:10">
      <c r="A252" s="81"/>
      <c r="B252" s="82"/>
      <c r="C252" s="30"/>
      <c r="D252" s="30"/>
      <c r="E252" s="30"/>
      <c r="F252" s="20"/>
      <c r="G252" s="20"/>
      <c r="H252" s="20"/>
      <c r="I252" s="20"/>
      <c r="J252" s="20"/>
    </row>
    <row r="253" spans="1:10">
      <c r="A253" s="81"/>
      <c r="B253" s="82"/>
      <c r="C253" s="30"/>
      <c r="D253" s="30"/>
      <c r="E253" s="30"/>
      <c r="F253" s="20"/>
      <c r="G253" s="20"/>
      <c r="H253" s="20"/>
      <c r="I253" s="20"/>
      <c r="J253" s="20"/>
    </row>
    <row r="254" spans="1:10">
      <c r="A254" s="81"/>
      <c r="B254" s="82"/>
      <c r="C254" s="30"/>
      <c r="D254" s="30"/>
      <c r="E254" s="30"/>
      <c r="F254" s="20"/>
      <c r="G254" s="20"/>
      <c r="H254" s="20"/>
      <c r="I254" s="20"/>
      <c r="J254" s="20"/>
    </row>
    <row r="255" spans="1:10">
      <c r="A255" s="81"/>
      <c r="B255" s="82"/>
      <c r="C255" s="30"/>
      <c r="D255" s="30"/>
      <c r="E255" s="30"/>
      <c r="F255" s="20"/>
      <c r="G255" s="20"/>
      <c r="H255" s="20"/>
      <c r="I255" s="20"/>
      <c r="J255" s="20"/>
    </row>
    <row r="256" spans="1:10">
      <c r="A256" s="81"/>
      <c r="B256" s="82"/>
      <c r="C256" s="30"/>
      <c r="D256" s="30"/>
      <c r="E256" s="30"/>
      <c r="F256" s="20"/>
      <c r="G256" s="20"/>
      <c r="H256" s="20"/>
      <c r="I256" s="20"/>
      <c r="J256" s="20"/>
    </row>
    <row r="257" spans="1:10">
      <c r="A257" s="81"/>
      <c r="B257" s="82"/>
      <c r="C257" s="30"/>
      <c r="D257" s="30"/>
      <c r="E257" s="30"/>
      <c r="F257" s="20"/>
      <c r="G257" s="20"/>
      <c r="H257" s="20"/>
      <c r="I257" s="20"/>
      <c r="J257" s="20"/>
    </row>
    <row r="258" spans="1:10">
      <c r="A258" s="81"/>
      <c r="B258" s="82"/>
      <c r="C258" s="93"/>
      <c r="D258" s="93"/>
      <c r="E258" s="93"/>
      <c r="F258" s="26"/>
      <c r="G258" s="26"/>
      <c r="H258" s="26"/>
      <c r="I258" s="26"/>
      <c r="J258" s="26"/>
    </row>
    <row r="259" spans="1:10">
      <c r="A259" s="81"/>
      <c r="B259" s="82"/>
      <c r="F259" s="20"/>
      <c r="G259" s="20"/>
      <c r="H259" s="20"/>
      <c r="I259" s="20"/>
      <c r="J259" s="20"/>
    </row>
    <row r="260" spans="1:10">
      <c r="A260" s="81"/>
      <c r="B260" s="82"/>
      <c r="F260" s="20"/>
      <c r="G260" s="20"/>
      <c r="H260" s="20"/>
      <c r="I260" s="20"/>
      <c r="J260" s="20"/>
    </row>
    <row r="261" spans="1:10">
      <c r="A261" s="81"/>
      <c r="B261" s="82"/>
    </row>
    <row r="262" spans="1:10">
      <c r="A262" s="81"/>
      <c r="B262" s="82"/>
    </row>
    <row r="263" spans="1:10">
      <c r="A263" s="81"/>
      <c r="B263" s="82"/>
    </row>
    <row r="264" spans="1:10">
      <c r="A264" s="81"/>
      <c r="B264" s="82"/>
    </row>
    <row r="265" spans="1:10">
      <c r="A265" s="81"/>
      <c r="B265" s="82"/>
    </row>
    <row r="266" spans="1:10">
      <c r="A266" s="81"/>
      <c r="B266" s="82"/>
      <c r="F266" s="20"/>
      <c r="G266" s="20"/>
      <c r="H266" s="20"/>
      <c r="I266" s="20"/>
      <c r="J266" s="20"/>
    </row>
    <row r="267" spans="1:10">
      <c r="A267" s="81"/>
      <c r="B267" s="82"/>
      <c r="C267" s="30"/>
      <c r="D267" s="30"/>
      <c r="E267" s="30"/>
      <c r="F267" s="20"/>
      <c r="G267" s="20"/>
      <c r="H267" s="20"/>
      <c r="I267" s="20"/>
      <c r="J267" s="20"/>
    </row>
    <row r="268" spans="1:10">
      <c r="A268" s="81"/>
      <c r="B268" s="82"/>
      <c r="C268" s="30"/>
      <c r="D268" s="30"/>
      <c r="E268" s="30"/>
      <c r="F268" s="20"/>
      <c r="G268" s="20"/>
      <c r="H268" s="20"/>
      <c r="I268" s="20"/>
      <c r="J268" s="20"/>
    </row>
    <row r="269" spans="1:10">
      <c r="A269" s="81"/>
      <c r="B269" s="82"/>
      <c r="C269" s="30"/>
      <c r="D269" s="30"/>
      <c r="E269" s="30"/>
      <c r="F269" s="20"/>
      <c r="G269" s="20"/>
      <c r="H269" s="20"/>
      <c r="I269" s="20"/>
      <c r="J269" s="20"/>
    </row>
    <row r="270" spans="1:10">
      <c r="A270" s="81"/>
      <c r="B270" s="82"/>
      <c r="C270" s="30"/>
      <c r="D270" s="30"/>
      <c r="E270" s="30"/>
      <c r="F270" s="20"/>
      <c r="G270" s="20"/>
      <c r="H270" s="20"/>
      <c r="I270" s="20"/>
      <c r="J270" s="20"/>
    </row>
    <row r="271" spans="1:10">
      <c r="A271" s="81"/>
      <c r="B271" s="82"/>
      <c r="C271" s="30"/>
      <c r="D271" s="30"/>
      <c r="E271" s="30"/>
      <c r="F271" s="20"/>
      <c r="G271" s="20"/>
      <c r="H271" s="20"/>
      <c r="I271" s="20"/>
      <c r="J271" s="20"/>
    </row>
    <row r="272" spans="1:10">
      <c r="A272" s="81"/>
      <c r="B272" s="82"/>
      <c r="C272" s="30"/>
      <c r="D272" s="30"/>
      <c r="E272" s="30"/>
      <c r="F272" s="20"/>
      <c r="G272" s="20"/>
      <c r="H272" s="20"/>
      <c r="I272" s="20"/>
      <c r="J272" s="20"/>
    </row>
    <row r="273" spans="1:10">
      <c r="A273" s="81"/>
      <c r="B273" s="82"/>
      <c r="C273" s="30"/>
      <c r="D273" s="30"/>
      <c r="E273" s="30"/>
      <c r="F273" s="20"/>
      <c r="G273" s="20"/>
      <c r="H273" s="20"/>
      <c r="I273" s="20"/>
      <c r="J273" s="20"/>
    </row>
    <row r="274" spans="1:10">
      <c r="A274" s="81">
        <v>2015</v>
      </c>
      <c r="B274" s="82" t="s">
        <v>42</v>
      </c>
      <c r="C274" s="25">
        <f>I274/F274</f>
        <v>0.93894009216589858</v>
      </c>
      <c r="D274" s="25">
        <f>I274/H274</f>
        <v>0.95433255269320838</v>
      </c>
      <c r="E274" s="25">
        <f>H274/F274</f>
        <v>0.9838709677419355</v>
      </c>
      <c r="F274" s="27">
        <v>1736</v>
      </c>
      <c r="G274" s="27">
        <f t="shared" ref="G274:G278" si="0">F274-H274</f>
        <v>28</v>
      </c>
      <c r="H274" s="27">
        <v>1708</v>
      </c>
      <c r="I274" s="27">
        <v>1630</v>
      </c>
      <c r="J274" s="27">
        <f t="shared" ref="J274:J281" si="1">H274-I274</f>
        <v>78</v>
      </c>
    </row>
    <row r="275" spans="1:10">
      <c r="A275" s="81">
        <v>2015</v>
      </c>
      <c r="B275" s="82" t="s">
        <v>43</v>
      </c>
      <c r="C275" s="25">
        <f t="shared" ref="C275:C334" si="2">I275/F275</f>
        <v>0.89047619047619042</v>
      </c>
      <c r="D275" s="25">
        <f t="shared" ref="D275:D334" si="3">I275/H275</f>
        <v>0.95774647887323938</v>
      </c>
      <c r="E275" s="25">
        <f t="shared" ref="E275:E334" si="4">H275/F275</f>
        <v>0.92976190476190479</v>
      </c>
      <c r="F275" s="27">
        <v>1680</v>
      </c>
      <c r="G275" s="27">
        <f t="shared" si="0"/>
        <v>118</v>
      </c>
      <c r="H275" s="27">
        <v>1562</v>
      </c>
      <c r="I275" s="27">
        <v>1496</v>
      </c>
      <c r="J275" s="27">
        <f t="shared" si="1"/>
        <v>66</v>
      </c>
    </row>
    <row r="276" spans="1:10">
      <c r="A276" s="81">
        <v>2015</v>
      </c>
      <c r="B276" s="82" t="s">
        <v>44</v>
      </c>
      <c r="C276" s="25">
        <f t="shared" si="2"/>
        <v>0.9285714285714286</v>
      </c>
      <c r="D276" s="25">
        <f t="shared" si="3"/>
        <v>0.95610913404507714</v>
      </c>
      <c r="E276" s="25">
        <f t="shared" si="4"/>
        <v>0.97119815668202769</v>
      </c>
      <c r="F276" s="27">
        <v>1736</v>
      </c>
      <c r="G276" s="27">
        <f t="shared" si="0"/>
        <v>50</v>
      </c>
      <c r="H276" s="27">
        <v>1686</v>
      </c>
      <c r="I276" s="27">
        <v>1612</v>
      </c>
      <c r="J276" s="27">
        <f t="shared" si="1"/>
        <v>74</v>
      </c>
    </row>
    <row r="277" spans="1:10">
      <c r="A277" s="81">
        <v>2015</v>
      </c>
      <c r="B277" s="82" t="s">
        <v>45</v>
      </c>
      <c r="C277" s="25">
        <f t="shared" si="2"/>
        <v>0.95103686635944695</v>
      </c>
      <c r="D277" s="25">
        <f t="shared" si="3"/>
        <v>0.96044211751018038</v>
      </c>
      <c r="E277" s="25">
        <f t="shared" si="4"/>
        <v>0.99020737327188935</v>
      </c>
      <c r="F277" s="27">
        <v>1736</v>
      </c>
      <c r="G277" s="27">
        <f t="shared" si="0"/>
        <v>17</v>
      </c>
      <c r="H277" s="27">
        <v>1719</v>
      </c>
      <c r="I277" s="27">
        <v>1651</v>
      </c>
      <c r="J277" s="27">
        <f t="shared" si="1"/>
        <v>68</v>
      </c>
    </row>
    <row r="278" spans="1:10">
      <c r="A278" s="81">
        <v>2015</v>
      </c>
      <c r="B278" s="82" t="s">
        <v>46</v>
      </c>
      <c r="C278" s="25">
        <f t="shared" si="2"/>
        <v>0.9107142857142857</v>
      </c>
      <c r="D278" s="25">
        <f t="shared" si="3"/>
        <v>0.93865030674846628</v>
      </c>
      <c r="E278" s="25">
        <f t="shared" si="4"/>
        <v>0.97023809523809523</v>
      </c>
      <c r="F278" s="27">
        <v>1680</v>
      </c>
      <c r="G278" s="27">
        <f t="shared" si="0"/>
        <v>50</v>
      </c>
      <c r="H278" s="27">
        <v>1630</v>
      </c>
      <c r="I278" s="27">
        <v>1530</v>
      </c>
      <c r="J278" s="27">
        <f t="shared" si="1"/>
        <v>100</v>
      </c>
    </row>
    <row r="279" spans="1:10">
      <c r="A279" s="81">
        <v>2015</v>
      </c>
      <c r="B279" s="82" t="s">
        <v>47</v>
      </c>
      <c r="C279" s="25">
        <f t="shared" si="2"/>
        <v>0.94354838709677424</v>
      </c>
      <c r="D279" s="25">
        <f t="shared" si="3"/>
        <v>0.95565927654609106</v>
      </c>
      <c r="E279" s="25">
        <f t="shared" si="4"/>
        <v>0.98732718894009219</v>
      </c>
      <c r="F279" s="27">
        <v>1736</v>
      </c>
      <c r="G279" s="27">
        <f>F279-H279</f>
        <v>22</v>
      </c>
      <c r="H279" s="27">
        <v>1714</v>
      </c>
      <c r="I279" s="27">
        <v>1638</v>
      </c>
      <c r="J279" s="27">
        <f t="shared" si="1"/>
        <v>76</v>
      </c>
    </row>
    <row r="280" spans="1:10">
      <c r="A280" s="81">
        <v>2015</v>
      </c>
      <c r="B280" s="82" t="s">
        <v>48</v>
      </c>
      <c r="C280" s="25">
        <f t="shared" si="2"/>
        <v>0.90297619047619049</v>
      </c>
      <c r="D280" s="25">
        <f t="shared" si="3"/>
        <v>0.9323909035033805</v>
      </c>
      <c r="E280" s="25">
        <f t="shared" si="4"/>
        <v>0.96845238095238095</v>
      </c>
      <c r="F280" s="27">
        <v>1680</v>
      </c>
      <c r="G280" s="27">
        <f>F280-H280</f>
        <v>53</v>
      </c>
      <c r="H280" s="27">
        <v>1627</v>
      </c>
      <c r="I280" s="27">
        <v>1517</v>
      </c>
      <c r="J280" s="27">
        <f t="shared" si="1"/>
        <v>110</v>
      </c>
    </row>
    <row r="281" spans="1:10">
      <c r="A281" s="81">
        <v>2015</v>
      </c>
      <c r="B281" s="82" t="s">
        <v>49</v>
      </c>
      <c r="C281" s="25">
        <f t="shared" si="2"/>
        <v>0.87845622119815669</v>
      </c>
      <c r="D281" s="25">
        <f t="shared" si="3"/>
        <v>0.93386405388854865</v>
      </c>
      <c r="E281" s="25">
        <f t="shared" si="4"/>
        <v>0.94066820276497698</v>
      </c>
      <c r="F281" s="27">
        <v>1736</v>
      </c>
      <c r="G281" s="27">
        <f>F281-H281</f>
        <v>103</v>
      </c>
      <c r="H281" s="27">
        <v>1633</v>
      </c>
      <c r="I281" s="27">
        <v>1525</v>
      </c>
      <c r="J281" s="27">
        <f t="shared" si="1"/>
        <v>108</v>
      </c>
    </row>
    <row r="282" spans="1:10">
      <c r="A282" s="81">
        <v>2016</v>
      </c>
      <c r="B282" s="82" t="s">
        <v>38</v>
      </c>
      <c r="C282" s="25">
        <f t="shared" si="2"/>
        <v>0.90956221198156684</v>
      </c>
      <c r="D282" s="25">
        <f t="shared" si="3"/>
        <v>0.95871281117182761</v>
      </c>
      <c r="E282" s="25">
        <f t="shared" si="4"/>
        <v>0.94873271889400923</v>
      </c>
      <c r="F282" s="27">
        <v>1736</v>
      </c>
      <c r="G282" s="27">
        <f t="shared" ref="G282:G290" si="5">F282-H282</f>
        <v>89</v>
      </c>
      <c r="H282" s="27">
        <v>1647</v>
      </c>
      <c r="I282" s="27">
        <v>1579</v>
      </c>
      <c r="J282" s="27">
        <f t="shared" ref="J282:J293" si="6">H282-I282</f>
        <v>68</v>
      </c>
    </row>
    <row r="283" spans="1:10">
      <c r="A283" s="81">
        <v>2016</v>
      </c>
      <c r="B283" s="82" t="s">
        <v>39</v>
      </c>
      <c r="C283" s="25">
        <f t="shared" si="2"/>
        <v>0.80788177339901479</v>
      </c>
      <c r="D283" s="25">
        <f t="shared" si="3"/>
        <v>0.89556313993174064</v>
      </c>
      <c r="E283" s="25">
        <f t="shared" si="4"/>
        <v>0.90209359605911332</v>
      </c>
      <c r="F283" s="27">
        <v>1624</v>
      </c>
      <c r="G283" s="27">
        <f t="shared" si="5"/>
        <v>159</v>
      </c>
      <c r="H283" s="27">
        <v>1465</v>
      </c>
      <c r="I283" s="27">
        <v>1312</v>
      </c>
      <c r="J283" s="27">
        <f t="shared" si="6"/>
        <v>153</v>
      </c>
    </row>
    <row r="284" spans="1:10">
      <c r="A284" s="81">
        <v>2016</v>
      </c>
      <c r="B284" s="82" t="s">
        <v>40</v>
      </c>
      <c r="C284" s="25">
        <f t="shared" si="2"/>
        <v>0.91647465437788023</v>
      </c>
      <c r="D284" s="25">
        <f t="shared" si="3"/>
        <v>0.95785671282360019</v>
      </c>
      <c r="E284" s="25">
        <f t="shared" si="4"/>
        <v>0.95679723502304148</v>
      </c>
      <c r="F284" s="27">
        <v>1736</v>
      </c>
      <c r="G284" s="27">
        <f t="shared" si="5"/>
        <v>75</v>
      </c>
      <c r="H284" s="27">
        <v>1661</v>
      </c>
      <c r="I284" s="27">
        <v>1591</v>
      </c>
      <c r="J284" s="27">
        <f t="shared" si="6"/>
        <v>70</v>
      </c>
    </row>
    <row r="285" spans="1:10">
      <c r="A285" s="81">
        <v>2016</v>
      </c>
      <c r="B285" s="82" t="s">
        <v>41</v>
      </c>
      <c r="C285" s="25">
        <f t="shared" si="2"/>
        <v>0.84761904761904761</v>
      </c>
      <c r="D285" s="25">
        <f t="shared" si="3"/>
        <v>0.92889758643183296</v>
      </c>
      <c r="E285" s="25">
        <f t="shared" si="4"/>
        <v>0.91249999999999998</v>
      </c>
      <c r="F285" s="27">
        <v>1680</v>
      </c>
      <c r="G285" s="27">
        <f t="shared" si="5"/>
        <v>147</v>
      </c>
      <c r="H285" s="27">
        <v>1533</v>
      </c>
      <c r="I285" s="27">
        <v>1424</v>
      </c>
      <c r="J285" s="27">
        <f t="shared" si="6"/>
        <v>109</v>
      </c>
    </row>
    <row r="286" spans="1:10">
      <c r="A286" s="81">
        <v>2016</v>
      </c>
      <c r="B286" s="82" t="s">
        <v>42</v>
      </c>
      <c r="C286" s="25">
        <f t="shared" si="2"/>
        <v>0.82718894009216593</v>
      </c>
      <c r="D286" s="25">
        <f t="shared" si="3"/>
        <v>0.86558167570825795</v>
      </c>
      <c r="E286" s="25">
        <f t="shared" si="4"/>
        <v>0.95564516129032262</v>
      </c>
      <c r="F286" s="27">
        <v>1736</v>
      </c>
      <c r="G286" s="27">
        <f t="shared" si="5"/>
        <v>77</v>
      </c>
      <c r="H286" s="27">
        <v>1659</v>
      </c>
      <c r="I286" s="27">
        <v>1436</v>
      </c>
      <c r="J286" s="27">
        <f t="shared" si="6"/>
        <v>223</v>
      </c>
    </row>
    <row r="287" spans="1:10">
      <c r="A287" s="81">
        <v>2016</v>
      </c>
      <c r="B287" s="82" t="s">
        <v>43</v>
      </c>
      <c r="C287" s="25">
        <f t="shared" si="2"/>
        <v>0.86071428571428577</v>
      </c>
      <c r="D287" s="25">
        <f t="shared" si="3"/>
        <v>0.96015936254980083</v>
      </c>
      <c r="E287" s="25">
        <f t="shared" si="4"/>
        <v>0.89642857142857146</v>
      </c>
      <c r="F287" s="27">
        <v>1680</v>
      </c>
      <c r="G287" s="27">
        <f t="shared" si="5"/>
        <v>174</v>
      </c>
      <c r="H287" s="27">
        <v>1506</v>
      </c>
      <c r="I287" s="27">
        <v>1446</v>
      </c>
      <c r="J287" s="27">
        <f t="shared" si="6"/>
        <v>60</v>
      </c>
    </row>
    <row r="288" spans="1:10">
      <c r="A288" s="81">
        <v>2016</v>
      </c>
      <c r="B288" s="82" t="s">
        <v>44</v>
      </c>
      <c r="C288" s="25">
        <f t="shared" si="2"/>
        <v>0.93172268907563027</v>
      </c>
      <c r="D288" s="25">
        <f t="shared" si="3"/>
        <v>0.95120643431635388</v>
      </c>
      <c r="E288" s="25">
        <f t="shared" si="4"/>
        <v>0.97951680672268904</v>
      </c>
      <c r="F288" s="27">
        <v>1904</v>
      </c>
      <c r="G288" s="27">
        <f t="shared" si="5"/>
        <v>39</v>
      </c>
      <c r="H288" s="27">
        <v>1865</v>
      </c>
      <c r="I288" s="27">
        <v>1774</v>
      </c>
      <c r="J288" s="27">
        <f t="shared" si="6"/>
        <v>91</v>
      </c>
    </row>
    <row r="289" spans="1:10">
      <c r="A289" s="81">
        <v>2016</v>
      </c>
      <c r="B289" s="82" t="s">
        <v>45</v>
      </c>
      <c r="C289" s="25">
        <f t="shared" si="2"/>
        <v>0.95233050847457623</v>
      </c>
      <c r="D289" s="25">
        <f t="shared" si="3"/>
        <v>0.97241752298539752</v>
      </c>
      <c r="E289" s="25">
        <f t="shared" si="4"/>
        <v>0.97934322033898302</v>
      </c>
      <c r="F289" s="27">
        <v>1888</v>
      </c>
      <c r="G289" s="27">
        <f t="shared" si="5"/>
        <v>39</v>
      </c>
      <c r="H289" s="27">
        <v>1849</v>
      </c>
      <c r="I289" s="27">
        <v>1798</v>
      </c>
      <c r="J289" s="27">
        <f t="shared" si="6"/>
        <v>51</v>
      </c>
    </row>
    <row r="290" spans="1:10">
      <c r="A290" s="81">
        <v>2016</v>
      </c>
      <c r="B290" s="82" t="s">
        <v>46</v>
      </c>
      <c r="C290" s="25">
        <f t="shared" si="2"/>
        <v>0.96813186813186813</v>
      </c>
      <c r="D290" s="25">
        <f t="shared" si="3"/>
        <v>0.98052309404563165</v>
      </c>
      <c r="E290" s="25">
        <f t="shared" si="4"/>
        <v>0.98736263736263741</v>
      </c>
      <c r="F290" s="27">
        <v>1820</v>
      </c>
      <c r="G290" s="27">
        <f t="shared" si="5"/>
        <v>23</v>
      </c>
      <c r="H290" s="27">
        <v>1797</v>
      </c>
      <c r="I290" s="27">
        <v>1762</v>
      </c>
      <c r="J290" s="27">
        <f t="shared" si="6"/>
        <v>35</v>
      </c>
    </row>
    <row r="291" spans="1:10">
      <c r="A291" s="81">
        <v>2016</v>
      </c>
      <c r="B291" s="82" t="s">
        <v>47</v>
      </c>
      <c r="C291" s="25">
        <f t="shared" si="2"/>
        <v>0.91928721174004191</v>
      </c>
      <c r="D291" s="25">
        <f t="shared" si="3"/>
        <v>0.9798882681564246</v>
      </c>
      <c r="E291" s="25">
        <f t="shared" si="4"/>
        <v>0.93815513626834379</v>
      </c>
      <c r="F291" s="27">
        <v>1908</v>
      </c>
      <c r="G291" s="27">
        <f>F291-H291</f>
        <v>118</v>
      </c>
      <c r="H291" s="27">
        <v>1790</v>
      </c>
      <c r="I291" s="27">
        <v>1754</v>
      </c>
      <c r="J291" s="27">
        <f t="shared" si="6"/>
        <v>36</v>
      </c>
    </row>
    <row r="292" spans="1:10">
      <c r="A292" s="81">
        <v>2016</v>
      </c>
      <c r="B292" s="82" t="s">
        <v>48</v>
      </c>
      <c r="C292" s="25">
        <f t="shared" si="2"/>
        <v>0.94207650273224042</v>
      </c>
      <c r="D292" s="25">
        <f t="shared" si="3"/>
        <v>0.98289623717217789</v>
      </c>
      <c r="E292" s="25">
        <f t="shared" si="4"/>
        <v>0.95846994535519126</v>
      </c>
      <c r="F292" s="27">
        <v>1830</v>
      </c>
      <c r="G292" s="27">
        <f>F292-H292</f>
        <v>76</v>
      </c>
      <c r="H292" s="27">
        <v>1754</v>
      </c>
      <c r="I292" s="27">
        <v>1724</v>
      </c>
      <c r="J292" s="27">
        <f t="shared" si="6"/>
        <v>30</v>
      </c>
    </row>
    <row r="293" spans="1:10">
      <c r="A293" s="81">
        <v>2016</v>
      </c>
      <c r="B293" s="82" t="s">
        <v>49</v>
      </c>
      <c r="C293" s="25">
        <f t="shared" si="2"/>
        <v>0.9617400419287212</v>
      </c>
      <c r="D293" s="25">
        <f t="shared" si="3"/>
        <v>0.98655913978494625</v>
      </c>
      <c r="E293" s="25">
        <f t="shared" si="4"/>
        <v>0.97484276729559749</v>
      </c>
      <c r="F293" s="27">
        <v>1908</v>
      </c>
      <c r="G293" s="27">
        <f>F293-H293</f>
        <v>48</v>
      </c>
      <c r="H293" s="27">
        <v>1860</v>
      </c>
      <c r="I293" s="27">
        <v>1835</v>
      </c>
      <c r="J293" s="27">
        <f t="shared" si="6"/>
        <v>25</v>
      </c>
    </row>
    <row r="294" spans="1:10">
      <c r="A294" s="81">
        <v>2017</v>
      </c>
      <c r="B294" s="82" t="s">
        <v>38</v>
      </c>
      <c r="C294" s="25">
        <f t="shared" si="2"/>
        <v>0.95127118644067798</v>
      </c>
      <c r="D294" s="25">
        <f t="shared" si="3"/>
        <v>0.97396963123644253</v>
      </c>
      <c r="E294" s="25">
        <f t="shared" si="4"/>
        <v>0.97669491525423724</v>
      </c>
      <c r="F294" s="27">
        <v>1888</v>
      </c>
      <c r="G294" s="27">
        <f t="shared" ref="G294:G304" si="7">F294-H294</f>
        <v>44</v>
      </c>
      <c r="H294" s="27">
        <v>1844</v>
      </c>
      <c r="I294" s="27">
        <v>1796</v>
      </c>
      <c r="J294" s="27">
        <f t="shared" ref="J294:J305" si="8">H294-I294</f>
        <v>48</v>
      </c>
    </row>
    <row r="295" spans="1:10">
      <c r="A295" s="81">
        <v>2017</v>
      </c>
      <c r="B295" s="82" t="s">
        <v>39</v>
      </c>
      <c r="C295" s="25">
        <f t="shared" si="2"/>
        <v>0.89211136890951281</v>
      </c>
      <c r="D295" s="25">
        <f t="shared" si="3"/>
        <v>0.95706285003111391</v>
      </c>
      <c r="E295" s="25">
        <f t="shared" si="4"/>
        <v>0.93213457076566131</v>
      </c>
      <c r="F295" s="27">
        <v>1724</v>
      </c>
      <c r="G295" s="27">
        <f t="shared" si="7"/>
        <v>117</v>
      </c>
      <c r="H295" s="27">
        <v>1607</v>
      </c>
      <c r="I295" s="27">
        <v>1538</v>
      </c>
      <c r="J295" s="27">
        <f t="shared" si="8"/>
        <v>69</v>
      </c>
    </row>
    <row r="296" spans="1:10">
      <c r="A296" s="81">
        <v>2017</v>
      </c>
      <c r="B296" s="82" t="s">
        <v>40</v>
      </c>
      <c r="C296" s="25">
        <f t="shared" si="2"/>
        <v>0.8103813559322034</v>
      </c>
      <c r="D296" s="25">
        <f t="shared" si="3"/>
        <v>0.94561186650185414</v>
      </c>
      <c r="E296" s="25">
        <f t="shared" si="4"/>
        <v>0.85699152542372881</v>
      </c>
      <c r="F296" s="27">
        <v>1888</v>
      </c>
      <c r="G296" s="27">
        <f t="shared" si="7"/>
        <v>270</v>
      </c>
      <c r="H296" s="27">
        <v>1618</v>
      </c>
      <c r="I296" s="27">
        <v>1530</v>
      </c>
      <c r="J296" s="27">
        <f t="shared" si="8"/>
        <v>88</v>
      </c>
    </row>
    <row r="297" spans="1:10">
      <c r="A297" s="81">
        <v>2017</v>
      </c>
      <c r="B297" s="82" t="s">
        <v>41</v>
      </c>
      <c r="C297" s="25">
        <f t="shared" si="2"/>
        <v>0.85322580645161294</v>
      </c>
      <c r="D297" s="25">
        <f t="shared" si="3"/>
        <v>0.95086878370281602</v>
      </c>
      <c r="E297" s="25">
        <f t="shared" si="4"/>
        <v>0.89731182795698927</v>
      </c>
      <c r="F297" s="27">
        <v>1860</v>
      </c>
      <c r="G297" s="27">
        <f t="shared" si="7"/>
        <v>191</v>
      </c>
      <c r="H297" s="27">
        <v>1669</v>
      </c>
      <c r="I297" s="27">
        <v>1587</v>
      </c>
      <c r="J297" s="27">
        <f t="shared" si="8"/>
        <v>82</v>
      </c>
    </row>
    <row r="298" spans="1:10">
      <c r="A298" s="81">
        <v>2017</v>
      </c>
      <c r="B298" s="82" t="s">
        <v>42</v>
      </c>
      <c r="C298" s="25">
        <f t="shared" si="2"/>
        <v>0.94046364594309795</v>
      </c>
      <c r="D298" s="25">
        <f t="shared" si="3"/>
        <v>0.96330275229357798</v>
      </c>
      <c r="E298" s="25">
        <f t="shared" si="4"/>
        <v>0.97629083245521597</v>
      </c>
      <c r="F298" s="27">
        <v>1898</v>
      </c>
      <c r="G298" s="27">
        <f t="shared" si="7"/>
        <v>45</v>
      </c>
      <c r="H298" s="27">
        <v>1853</v>
      </c>
      <c r="I298" s="27">
        <v>1785</v>
      </c>
      <c r="J298" s="27">
        <f t="shared" si="8"/>
        <v>68</v>
      </c>
    </row>
    <row r="299" spans="1:10">
      <c r="A299" s="81">
        <v>2017</v>
      </c>
      <c r="B299" s="82" t="s">
        <v>43</v>
      </c>
      <c r="C299" s="25">
        <f t="shared" si="2"/>
        <v>0.96284153005464479</v>
      </c>
      <c r="D299" s="25">
        <f t="shared" si="3"/>
        <v>0.98106904231625836</v>
      </c>
      <c r="E299" s="25">
        <f t="shared" si="4"/>
        <v>0.98142076502732245</v>
      </c>
      <c r="F299" s="27">
        <v>1830</v>
      </c>
      <c r="G299" s="27">
        <f t="shared" si="7"/>
        <v>34</v>
      </c>
      <c r="H299" s="27">
        <v>1796</v>
      </c>
      <c r="I299" s="27">
        <v>1762</v>
      </c>
      <c r="J299" s="27">
        <f t="shared" si="8"/>
        <v>34</v>
      </c>
    </row>
    <row r="300" spans="1:10">
      <c r="A300" s="81">
        <v>2017</v>
      </c>
      <c r="B300" s="82" t="s">
        <v>44</v>
      </c>
      <c r="C300" s="25">
        <f t="shared" si="2"/>
        <v>0.91991570073761852</v>
      </c>
      <c r="D300" s="25">
        <f t="shared" si="3"/>
        <v>0.94225580140313003</v>
      </c>
      <c r="E300" s="25">
        <f t="shared" si="4"/>
        <v>0.97629083245521597</v>
      </c>
      <c r="F300" s="27">
        <v>1898</v>
      </c>
      <c r="G300" s="27">
        <f t="shared" si="7"/>
        <v>45</v>
      </c>
      <c r="H300" s="27">
        <v>1853</v>
      </c>
      <c r="I300" s="27">
        <v>1746</v>
      </c>
      <c r="J300" s="27">
        <f t="shared" si="8"/>
        <v>107</v>
      </c>
    </row>
    <row r="301" spans="1:10">
      <c r="A301" s="81">
        <v>2017</v>
      </c>
      <c r="B301" s="82" t="s">
        <v>45</v>
      </c>
      <c r="C301" s="25">
        <f t="shared" si="2"/>
        <v>0.95656779661016944</v>
      </c>
      <c r="D301" s="25">
        <f t="shared" si="3"/>
        <v>0.9688841201716738</v>
      </c>
      <c r="E301" s="25">
        <f t="shared" si="4"/>
        <v>0.98728813559322037</v>
      </c>
      <c r="F301" s="27">
        <v>1888</v>
      </c>
      <c r="G301" s="27">
        <f t="shared" si="7"/>
        <v>24</v>
      </c>
      <c r="H301" s="27">
        <v>1864</v>
      </c>
      <c r="I301" s="27">
        <v>1806</v>
      </c>
      <c r="J301" s="27">
        <f t="shared" si="8"/>
        <v>58</v>
      </c>
    </row>
    <row r="302" spans="1:10">
      <c r="A302" s="81">
        <v>2017</v>
      </c>
      <c r="B302" s="82" t="s">
        <v>46</v>
      </c>
      <c r="C302" s="25">
        <f t="shared" si="2"/>
        <v>0.94699453551912571</v>
      </c>
      <c r="D302" s="25">
        <f t="shared" si="3"/>
        <v>0.96761585706309328</v>
      </c>
      <c r="E302" s="25">
        <f t="shared" si="4"/>
        <v>0.97868852459016398</v>
      </c>
      <c r="F302" s="27">
        <v>1830</v>
      </c>
      <c r="G302" s="27">
        <f t="shared" si="7"/>
        <v>39</v>
      </c>
      <c r="H302" s="27">
        <v>1791</v>
      </c>
      <c r="I302" s="27">
        <v>1733</v>
      </c>
      <c r="J302" s="27">
        <f t="shared" si="8"/>
        <v>58</v>
      </c>
    </row>
    <row r="303" spans="1:10">
      <c r="A303" s="81">
        <v>2017</v>
      </c>
      <c r="B303" s="82" t="s">
        <v>47</v>
      </c>
      <c r="C303" s="25">
        <f t="shared" si="2"/>
        <v>0.94309799789251847</v>
      </c>
      <c r="D303" s="25">
        <f t="shared" si="3"/>
        <v>0.95314164004259849</v>
      </c>
      <c r="E303" s="25">
        <f t="shared" si="4"/>
        <v>0.98946259220231825</v>
      </c>
      <c r="F303" s="27">
        <v>1898</v>
      </c>
      <c r="G303" s="27">
        <f t="shared" si="7"/>
        <v>20</v>
      </c>
      <c r="H303" s="27">
        <v>1878</v>
      </c>
      <c r="I303" s="27">
        <v>1790</v>
      </c>
      <c r="J303" s="27">
        <f t="shared" si="8"/>
        <v>88</v>
      </c>
    </row>
    <row r="304" spans="1:10">
      <c r="A304" s="81">
        <v>2017</v>
      </c>
      <c r="B304" s="82" t="s">
        <v>48</v>
      </c>
      <c r="C304" s="25">
        <f t="shared" si="2"/>
        <v>0.92841530054644805</v>
      </c>
      <c r="D304" s="25">
        <f t="shared" si="3"/>
        <v>0.96424517593643588</v>
      </c>
      <c r="E304" s="25">
        <f t="shared" si="4"/>
        <v>0.96284153005464479</v>
      </c>
      <c r="F304" s="27">
        <v>1830</v>
      </c>
      <c r="G304" s="27">
        <f t="shared" si="7"/>
        <v>68</v>
      </c>
      <c r="H304" s="27">
        <v>1762</v>
      </c>
      <c r="I304" s="27">
        <v>1699</v>
      </c>
      <c r="J304" s="27">
        <f t="shared" si="8"/>
        <v>63</v>
      </c>
    </row>
    <row r="305" spans="1:10">
      <c r="A305" s="81">
        <v>2017</v>
      </c>
      <c r="B305" s="82" t="s">
        <v>49</v>
      </c>
      <c r="C305" s="25">
        <f t="shared" si="2"/>
        <v>0.92961418143899899</v>
      </c>
      <c r="D305" s="25">
        <f t="shared" si="3"/>
        <v>0.95296632816675575</v>
      </c>
      <c r="E305" s="25">
        <f t="shared" si="4"/>
        <v>0.97549530761209591</v>
      </c>
      <c r="F305" s="27">
        <v>1918</v>
      </c>
      <c r="G305" s="27">
        <f>F305-H305</f>
        <v>47</v>
      </c>
      <c r="H305" s="27">
        <v>1871</v>
      </c>
      <c r="I305" s="27">
        <v>1783</v>
      </c>
      <c r="J305" s="27">
        <f t="shared" si="8"/>
        <v>88</v>
      </c>
    </row>
    <row r="306" spans="1:10">
      <c r="A306" s="81">
        <v>2018</v>
      </c>
      <c r="B306" s="82" t="s">
        <v>38</v>
      </c>
      <c r="C306" s="25">
        <f t="shared" si="2"/>
        <v>0.93644067796610164</v>
      </c>
      <c r="D306" s="25">
        <f t="shared" si="3"/>
        <v>0.94494922501336187</v>
      </c>
      <c r="E306" s="25">
        <f t="shared" si="4"/>
        <v>0.9909957627118644</v>
      </c>
      <c r="F306" s="27">
        <v>1888</v>
      </c>
      <c r="G306" s="27">
        <f t="shared" ref="G306:G317" si="9">F306-H306</f>
        <v>17</v>
      </c>
      <c r="H306" s="27">
        <v>1871</v>
      </c>
      <c r="I306" s="27">
        <v>1768</v>
      </c>
      <c r="J306" s="27">
        <f t="shared" ref="J306:J317" si="10">H306-I306</f>
        <v>103</v>
      </c>
    </row>
    <row r="307" spans="1:10">
      <c r="A307" s="81">
        <v>2018</v>
      </c>
      <c r="B307" s="82" t="s">
        <v>39</v>
      </c>
      <c r="C307" s="25">
        <f t="shared" si="2"/>
        <v>0.95069605568445481</v>
      </c>
      <c r="D307" s="25">
        <f t="shared" si="3"/>
        <v>0.96355085243974137</v>
      </c>
      <c r="E307" s="25">
        <f t="shared" si="4"/>
        <v>0.98665893271461713</v>
      </c>
      <c r="F307" s="27">
        <v>1724</v>
      </c>
      <c r="G307" s="27">
        <f t="shared" si="9"/>
        <v>23</v>
      </c>
      <c r="H307" s="27">
        <v>1701</v>
      </c>
      <c r="I307" s="27">
        <v>1639</v>
      </c>
      <c r="J307" s="27">
        <f t="shared" si="10"/>
        <v>62</v>
      </c>
    </row>
    <row r="308" spans="1:10">
      <c r="A308" s="81">
        <v>2018</v>
      </c>
      <c r="B308" s="82" t="s">
        <v>40</v>
      </c>
      <c r="C308" s="25">
        <f t="shared" si="2"/>
        <v>0.92662473794549272</v>
      </c>
      <c r="D308" s="25">
        <f t="shared" si="3"/>
        <v>0.94142705005324812</v>
      </c>
      <c r="E308" s="25">
        <f t="shared" si="4"/>
        <v>0.98427672955974843</v>
      </c>
      <c r="F308" s="27">
        <v>1908</v>
      </c>
      <c r="G308" s="27">
        <f t="shared" si="9"/>
        <v>30</v>
      </c>
      <c r="H308" s="27">
        <v>1878</v>
      </c>
      <c r="I308" s="27">
        <v>1768</v>
      </c>
      <c r="J308" s="27">
        <f t="shared" si="10"/>
        <v>110</v>
      </c>
    </row>
    <row r="309" spans="1:10">
      <c r="A309" s="81">
        <v>2018</v>
      </c>
      <c r="B309" s="82" t="s">
        <v>41</v>
      </c>
      <c r="C309" s="25">
        <f t="shared" si="2"/>
        <v>0.89783783783783788</v>
      </c>
      <c r="D309" s="25">
        <f t="shared" si="3"/>
        <v>0.91515151515151516</v>
      </c>
      <c r="E309" s="25">
        <f t="shared" si="4"/>
        <v>0.98108108108108105</v>
      </c>
      <c r="F309" s="27">
        <v>1850</v>
      </c>
      <c r="G309" s="27">
        <f t="shared" si="9"/>
        <v>35</v>
      </c>
      <c r="H309" s="27">
        <v>1815</v>
      </c>
      <c r="I309" s="27">
        <v>1661</v>
      </c>
      <c r="J309" s="27">
        <f t="shared" si="10"/>
        <v>154</v>
      </c>
    </row>
    <row r="310" spans="1:10">
      <c r="A310" s="81">
        <v>2018</v>
      </c>
      <c r="B310" s="82" t="s">
        <v>42</v>
      </c>
      <c r="C310" s="25">
        <f t="shared" si="2"/>
        <v>0.90779768177028453</v>
      </c>
      <c r="D310" s="25">
        <f t="shared" si="3"/>
        <v>0.91844349680170578</v>
      </c>
      <c r="E310" s="25">
        <f t="shared" si="4"/>
        <v>0.98840885142255008</v>
      </c>
      <c r="F310" s="27">
        <v>1898</v>
      </c>
      <c r="G310" s="27">
        <f t="shared" si="9"/>
        <v>22</v>
      </c>
      <c r="H310" s="27">
        <v>1876</v>
      </c>
      <c r="I310" s="27">
        <v>1723</v>
      </c>
      <c r="J310" s="27">
        <f t="shared" si="10"/>
        <v>153</v>
      </c>
    </row>
    <row r="311" spans="1:10">
      <c r="A311" s="81">
        <v>2018</v>
      </c>
      <c r="B311" s="82" t="s">
        <v>43</v>
      </c>
      <c r="C311" s="25">
        <f t="shared" si="2"/>
        <v>0.90815217391304348</v>
      </c>
      <c r="D311" s="25">
        <f t="shared" si="3"/>
        <v>0.93876404494382026</v>
      </c>
      <c r="E311" s="25">
        <f t="shared" si="4"/>
        <v>0.96739130434782605</v>
      </c>
      <c r="F311" s="27">
        <v>1840</v>
      </c>
      <c r="G311" s="27">
        <f t="shared" si="9"/>
        <v>60</v>
      </c>
      <c r="H311" s="27">
        <v>1780</v>
      </c>
      <c r="I311" s="27">
        <v>1671</v>
      </c>
      <c r="J311" s="27">
        <f t="shared" si="10"/>
        <v>109</v>
      </c>
    </row>
    <row r="312" spans="1:10">
      <c r="A312" s="81">
        <v>2018</v>
      </c>
      <c r="B312" s="82" t="s">
        <v>44</v>
      </c>
      <c r="C312" s="25">
        <f t="shared" si="2"/>
        <v>0.94625922023182296</v>
      </c>
      <c r="D312" s="25">
        <f t="shared" si="3"/>
        <v>0.95227995758218453</v>
      </c>
      <c r="E312" s="25">
        <f t="shared" si="4"/>
        <v>0.9936775553213909</v>
      </c>
      <c r="F312" s="27">
        <v>1898</v>
      </c>
      <c r="G312" s="27">
        <f t="shared" si="9"/>
        <v>12</v>
      </c>
      <c r="H312" s="27">
        <v>1886</v>
      </c>
      <c r="I312" s="27">
        <v>1796</v>
      </c>
      <c r="J312" s="27">
        <f t="shared" si="10"/>
        <v>90</v>
      </c>
    </row>
    <row r="313" spans="1:10">
      <c r="A313" s="81">
        <v>2018</v>
      </c>
      <c r="B313" s="82" t="s">
        <v>45</v>
      </c>
      <c r="C313" s="25">
        <f t="shared" si="2"/>
        <v>0.89141949152542377</v>
      </c>
      <c r="D313" s="25">
        <f t="shared" si="3"/>
        <v>0.91120736329182461</v>
      </c>
      <c r="E313" s="25">
        <f t="shared" si="4"/>
        <v>0.97828389830508478</v>
      </c>
      <c r="F313" s="27">
        <v>1888</v>
      </c>
      <c r="G313" s="27">
        <f t="shared" si="9"/>
        <v>41</v>
      </c>
      <c r="H313" s="27">
        <v>1847</v>
      </c>
      <c r="I313" s="27">
        <v>1683</v>
      </c>
      <c r="J313" s="27">
        <f t="shared" si="10"/>
        <v>164</v>
      </c>
    </row>
    <row r="314" spans="1:10">
      <c r="A314" s="81">
        <v>2018</v>
      </c>
      <c r="B314" s="82" t="s">
        <v>46</v>
      </c>
      <c r="C314" s="25">
        <f t="shared" si="2"/>
        <v>0.88749999999999996</v>
      </c>
      <c r="D314" s="25">
        <f t="shared" si="3"/>
        <v>0.92731402612152192</v>
      </c>
      <c r="E314" s="25">
        <f t="shared" si="4"/>
        <v>0.95706521739130435</v>
      </c>
      <c r="F314" s="27">
        <v>1840</v>
      </c>
      <c r="G314" s="27">
        <f t="shared" si="9"/>
        <v>79</v>
      </c>
      <c r="H314" s="27">
        <v>1761</v>
      </c>
      <c r="I314" s="27">
        <v>1633</v>
      </c>
      <c r="J314" s="27">
        <f t="shared" si="10"/>
        <v>128</v>
      </c>
    </row>
    <row r="315" spans="1:10">
      <c r="A315" s="81">
        <v>2018</v>
      </c>
      <c r="B315" s="82" t="s">
        <v>47</v>
      </c>
      <c r="C315" s="25">
        <f t="shared" si="2"/>
        <v>0.90360169491525422</v>
      </c>
      <c r="D315" s="25">
        <f t="shared" si="3"/>
        <v>0.91083822744260545</v>
      </c>
      <c r="E315" s="25">
        <f t="shared" si="4"/>
        <v>0.99205508474576276</v>
      </c>
      <c r="F315" s="27">
        <v>1888</v>
      </c>
      <c r="G315" s="27">
        <f t="shared" si="9"/>
        <v>15</v>
      </c>
      <c r="H315" s="27">
        <v>1873</v>
      </c>
      <c r="I315" s="27">
        <v>1706</v>
      </c>
      <c r="J315" s="27">
        <f t="shared" si="10"/>
        <v>167</v>
      </c>
    </row>
    <row r="316" spans="1:10">
      <c r="A316" s="81">
        <v>2018</v>
      </c>
      <c r="B316" s="82" t="s">
        <v>48</v>
      </c>
      <c r="C316" s="25">
        <f t="shared" si="2"/>
        <v>0.88524590163934425</v>
      </c>
      <c r="D316" s="25">
        <f t="shared" si="3"/>
        <v>0.93156986774008055</v>
      </c>
      <c r="E316" s="25">
        <f t="shared" si="4"/>
        <v>0.95027322404371584</v>
      </c>
      <c r="F316" s="27">
        <v>1830</v>
      </c>
      <c r="G316" s="27">
        <f t="shared" si="9"/>
        <v>91</v>
      </c>
      <c r="H316" s="27">
        <v>1739</v>
      </c>
      <c r="I316" s="27">
        <v>1620</v>
      </c>
      <c r="J316" s="27">
        <f t="shared" si="10"/>
        <v>119</v>
      </c>
    </row>
    <row r="317" spans="1:10">
      <c r="A317" s="81">
        <v>2018</v>
      </c>
      <c r="B317" s="82" t="s">
        <v>49</v>
      </c>
      <c r="C317" s="25">
        <f t="shared" si="2"/>
        <v>0.78786307053941906</v>
      </c>
      <c r="D317" s="25">
        <f t="shared" si="3"/>
        <v>0.89881656804733723</v>
      </c>
      <c r="E317" s="25">
        <f t="shared" si="4"/>
        <v>0.87655601659751037</v>
      </c>
      <c r="F317" s="27">
        <v>1928</v>
      </c>
      <c r="G317" s="27">
        <f t="shared" si="9"/>
        <v>238</v>
      </c>
      <c r="H317" s="27">
        <v>1690</v>
      </c>
      <c r="I317" s="27">
        <v>1519</v>
      </c>
      <c r="J317" s="27">
        <f t="shared" si="10"/>
        <v>171</v>
      </c>
    </row>
    <row r="318" spans="1:10">
      <c r="A318" s="81">
        <v>2019</v>
      </c>
      <c r="B318" s="82" t="s">
        <v>38</v>
      </c>
      <c r="C318" s="25">
        <f t="shared" si="2"/>
        <v>0.81885593220338981</v>
      </c>
      <c r="D318" s="25">
        <f t="shared" si="3"/>
        <v>0.84388646288209612</v>
      </c>
      <c r="E318" s="25">
        <f t="shared" si="4"/>
        <v>0.97033898305084743</v>
      </c>
      <c r="F318" s="27">
        <v>1888</v>
      </c>
      <c r="G318" s="27">
        <f t="shared" ref="G318:G329" si="11">F318-H318</f>
        <v>56</v>
      </c>
      <c r="H318" s="27">
        <v>1832</v>
      </c>
      <c r="I318" s="27">
        <v>1546</v>
      </c>
      <c r="J318" s="27">
        <f t="shared" ref="J318:J329" si="12">H318-I318</f>
        <v>286</v>
      </c>
    </row>
    <row r="319" spans="1:10">
      <c r="A319" s="81">
        <v>2019</v>
      </c>
      <c r="B319" s="82" t="s">
        <v>39</v>
      </c>
      <c r="C319" s="25">
        <f t="shared" si="2"/>
        <v>0.84330985915492962</v>
      </c>
      <c r="D319" s="25">
        <f t="shared" si="3"/>
        <v>0.86254501800720285</v>
      </c>
      <c r="E319" s="25">
        <f t="shared" si="4"/>
        <v>0.97769953051643188</v>
      </c>
      <c r="F319" s="27">
        <v>1704</v>
      </c>
      <c r="G319" s="27">
        <f t="shared" si="11"/>
        <v>38</v>
      </c>
      <c r="H319" s="27">
        <v>1666</v>
      </c>
      <c r="I319" s="27">
        <v>1437</v>
      </c>
      <c r="J319" s="27">
        <f t="shared" si="12"/>
        <v>229</v>
      </c>
    </row>
    <row r="320" spans="1:10">
      <c r="A320" s="81">
        <v>2019</v>
      </c>
      <c r="B320" s="82" t="s">
        <v>40</v>
      </c>
      <c r="C320" s="25">
        <f t="shared" si="2"/>
        <v>0.84567257559958287</v>
      </c>
      <c r="D320" s="25">
        <f t="shared" si="3"/>
        <v>0.8720430107526882</v>
      </c>
      <c r="E320" s="25">
        <f t="shared" si="4"/>
        <v>0.96976016684045885</v>
      </c>
      <c r="F320" s="27">
        <v>1918</v>
      </c>
      <c r="G320" s="27">
        <f t="shared" si="11"/>
        <v>58</v>
      </c>
      <c r="H320" s="27">
        <v>1860</v>
      </c>
      <c r="I320" s="27">
        <v>1622</v>
      </c>
      <c r="J320" s="27">
        <f t="shared" si="12"/>
        <v>238</v>
      </c>
    </row>
    <row r="321" spans="1:11">
      <c r="A321" s="81">
        <v>2019</v>
      </c>
      <c r="B321" s="82" t="s">
        <v>41</v>
      </c>
      <c r="C321" s="25">
        <f t="shared" si="2"/>
        <v>0.77945945945945949</v>
      </c>
      <c r="D321" s="25">
        <f t="shared" si="3"/>
        <v>0.79317931793179319</v>
      </c>
      <c r="E321" s="25">
        <f t="shared" si="4"/>
        <v>0.98270270270270266</v>
      </c>
      <c r="F321" s="27">
        <v>1850</v>
      </c>
      <c r="G321" s="27">
        <f t="shared" si="11"/>
        <v>32</v>
      </c>
      <c r="H321" s="27">
        <v>1818</v>
      </c>
      <c r="I321" s="27">
        <v>1442</v>
      </c>
      <c r="J321" s="27">
        <f t="shared" si="12"/>
        <v>376</v>
      </c>
    </row>
    <row r="322" spans="1:11">
      <c r="A322" s="81">
        <v>2019</v>
      </c>
      <c r="B322" s="82" t="s">
        <v>42</v>
      </c>
      <c r="C322" s="25">
        <f t="shared" si="2"/>
        <v>0.72563559322033899</v>
      </c>
      <c r="D322" s="25">
        <f t="shared" si="3"/>
        <v>0.78826237054085158</v>
      </c>
      <c r="E322" s="25">
        <f t="shared" si="4"/>
        <v>0.92055084745762716</v>
      </c>
      <c r="F322" s="27">
        <v>1888</v>
      </c>
      <c r="G322" s="27">
        <f t="shared" si="11"/>
        <v>150</v>
      </c>
      <c r="H322" s="27">
        <v>1738</v>
      </c>
      <c r="I322" s="27">
        <v>1370</v>
      </c>
      <c r="J322" s="27">
        <f t="shared" si="12"/>
        <v>368</v>
      </c>
    </row>
    <row r="323" spans="1:11">
      <c r="A323" s="81">
        <v>2019</v>
      </c>
      <c r="B323" s="82" t="s">
        <v>43</v>
      </c>
      <c r="C323" s="25">
        <f t="shared" si="2"/>
        <v>0.76989247311827957</v>
      </c>
      <c r="D323" s="25">
        <f t="shared" si="3"/>
        <v>0.82726747544771806</v>
      </c>
      <c r="E323" s="25">
        <f t="shared" si="4"/>
        <v>0.9306451612903226</v>
      </c>
      <c r="F323" s="27">
        <v>1860</v>
      </c>
      <c r="G323" s="27">
        <f t="shared" si="11"/>
        <v>129</v>
      </c>
      <c r="H323" s="27">
        <v>1731</v>
      </c>
      <c r="I323" s="27">
        <v>1432</v>
      </c>
      <c r="J323" s="27">
        <f t="shared" si="12"/>
        <v>299</v>
      </c>
    </row>
    <row r="324" spans="1:11">
      <c r="A324" s="81">
        <v>2019</v>
      </c>
      <c r="B324" s="82" t="s">
        <v>44</v>
      </c>
      <c r="C324" s="25">
        <f t="shared" si="2"/>
        <v>0.89778714436248686</v>
      </c>
      <c r="D324" s="25">
        <f t="shared" si="3"/>
        <v>0.91909385113268605</v>
      </c>
      <c r="E324" s="25">
        <f t="shared" si="4"/>
        <v>0.97681770284510006</v>
      </c>
      <c r="F324" s="27">
        <v>1898</v>
      </c>
      <c r="G324" s="27">
        <f t="shared" si="11"/>
        <v>44</v>
      </c>
      <c r="H324" s="27">
        <v>1854</v>
      </c>
      <c r="I324" s="27">
        <v>1704</v>
      </c>
      <c r="J324" s="27">
        <f t="shared" si="12"/>
        <v>150</v>
      </c>
    </row>
    <row r="325" spans="1:11">
      <c r="A325" s="81">
        <v>2019</v>
      </c>
      <c r="B325" s="82" t="s">
        <v>45</v>
      </c>
      <c r="C325" s="25">
        <f t="shared" si="2"/>
        <v>0.84193888303477349</v>
      </c>
      <c r="D325" s="25">
        <f t="shared" si="3"/>
        <v>0.85637727759914251</v>
      </c>
      <c r="E325" s="25">
        <f t="shared" si="4"/>
        <v>0.98314014752370915</v>
      </c>
      <c r="F325" s="27">
        <v>1898</v>
      </c>
      <c r="G325" s="27">
        <f t="shared" si="11"/>
        <v>32</v>
      </c>
      <c r="H325" s="27">
        <v>1866</v>
      </c>
      <c r="I325" s="27">
        <v>1598</v>
      </c>
      <c r="J325" s="27">
        <f t="shared" si="12"/>
        <v>268</v>
      </c>
    </row>
    <row r="326" spans="1:11">
      <c r="A326" s="81">
        <v>2019</v>
      </c>
      <c r="B326" s="82" t="s">
        <v>46</v>
      </c>
      <c r="C326" s="25">
        <f t="shared" si="2"/>
        <v>0.78032786885245897</v>
      </c>
      <c r="D326" s="25">
        <f t="shared" si="3"/>
        <v>0.94195250659630603</v>
      </c>
      <c r="E326" s="25">
        <f t="shared" si="4"/>
        <v>0.82841530054644807</v>
      </c>
      <c r="F326" s="27">
        <v>1830</v>
      </c>
      <c r="G326" s="27">
        <f t="shared" si="11"/>
        <v>314</v>
      </c>
      <c r="H326" s="27">
        <v>1516</v>
      </c>
      <c r="I326" s="27">
        <v>1428</v>
      </c>
      <c r="J326" s="27">
        <f t="shared" si="12"/>
        <v>88</v>
      </c>
    </row>
    <row r="327" spans="1:11">
      <c r="A327" s="81">
        <v>2019</v>
      </c>
      <c r="B327" s="82" t="s">
        <v>47</v>
      </c>
      <c r="C327" s="25">
        <f t="shared" si="2"/>
        <v>0.83845338983050843</v>
      </c>
      <c r="D327" s="25">
        <f t="shared" si="3"/>
        <v>0.89586870401810981</v>
      </c>
      <c r="E327" s="25">
        <f t="shared" si="4"/>
        <v>0.93591101694915257</v>
      </c>
      <c r="F327" s="27">
        <v>1888</v>
      </c>
      <c r="G327" s="27">
        <f t="shared" si="11"/>
        <v>121</v>
      </c>
      <c r="H327" s="27">
        <v>1767</v>
      </c>
      <c r="I327" s="27">
        <v>1583</v>
      </c>
      <c r="J327" s="27">
        <f t="shared" si="12"/>
        <v>184</v>
      </c>
    </row>
    <row r="328" spans="1:11">
      <c r="A328" s="81">
        <v>2019</v>
      </c>
      <c r="B328" s="82" t="s">
        <v>48</v>
      </c>
      <c r="C328" s="25">
        <f t="shared" si="2"/>
        <v>0.82934782608695656</v>
      </c>
      <c r="D328" s="25">
        <f t="shared" si="3"/>
        <v>0.88927738927738931</v>
      </c>
      <c r="E328" s="25">
        <f t="shared" si="4"/>
        <v>0.93260869565217386</v>
      </c>
      <c r="F328" s="27">
        <v>1840</v>
      </c>
      <c r="G328" s="27">
        <f t="shared" si="11"/>
        <v>124</v>
      </c>
      <c r="H328" s="27">
        <v>1716</v>
      </c>
      <c r="I328" s="27">
        <v>1526</v>
      </c>
      <c r="J328" s="27">
        <f t="shared" si="12"/>
        <v>190</v>
      </c>
    </row>
    <row r="329" spans="1:11">
      <c r="A329" s="81">
        <v>2019</v>
      </c>
      <c r="B329" s="82" t="s">
        <v>49</v>
      </c>
      <c r="C329" s="25">
        <f t="shared" si="2"/>
        <v>0.86740041928721179</v>
      </c>
      <c r="D329" s="25">
        <f t="shared" si="3"/>
        <v>0.92821088053841838</v>
      </c>
      <c r="E329" s="25">
        <f t="shared" si="4"/>
        <v>0.93448637316561844</v>
      </c>
      <c r="F329" s="27">
        <v>1908</v>
      </c>
      <c r="G329" s="27">
        <f t="shared" si="11"/>
        <v>125</v>
      </c>
      <c r="H329" s="27">
        <v>1783</v>
      </c>
      <c r="I329" s="27">
        <v>1655</v>
      </c>
      <c r="J329" s="27">
        <f t="shared" si="12"/>
        <v>128</v>
      </c>
    </row>
    <row r="330" spans="1:11">
      <c r="A330" s="83">
        <v>2020</v>
      </c>
      <c r="B330" s="84" t="s">
        <v>38</v>
      </c>
      <c r="C330" s="25">
        <f t="shared" si="2"/>
        <v>0.89194915254237284</v>
      </c>
      <c r="D330" s="25">
        <f t="shared" si="3"/>
        <v>0.93711741791875347</v>
      </c>
      <c r="E330" s="25">
        <f t="shared" si="4"/>
        <v>0.95180084745762716</v>
      </c>
      <c r="F330" s="27">
        <v>1888</v>
      </c>
      <c r="G330" s="27">
        <f t="shared" ref="G330:G334" si="13">F330-H330</f>
        <v>91</v>
      </c>
      <c r="H330" s="27">
        <v>1797</v>
      </c>
      <c r="I330" s="27">
        <v>1684</v>
      </c>
      <c r="J330" s="27">
        <f t="shared" ref="J330:J334" si="14">H330-I330</f>
        <v>113</v>
      </c>
    </row>
    <row r="331" spans="1:11">
      <c r="A331" s="83">
        <v>2020</v>
      </c>
      <c r="B331" s="84" t="s">
        <v>39</v>
      </c>
      <c r="C331" s="25">
        <f t="shared" si="2"/>
        <v>0.8577008928571429</v>
      </c>
      <c r="D331" s="25">
        <f t="shared" si="3"/>
        <v>0.91433670434265313</v>
      </c>
      <c r="E331" s="25">
        <f t="shared" si="4"/>
        <v>0.9380580357142857</v>
      </c>
      <c r="F331" s="27">
        <v>1792</v>
      </c>
      <c r="G331" s="27">
        <f t="shared" si="13"/>
        <v>111</v>
      </c>
      <c r="H331" s="27">
        <v>1681</v>
      </c>
      <c r="I331" s="27">
        <v>1537</v>
      </c>
      <c r="J331" s="27">
        <f t="shared" si="14"/>
        <v>144</v>
      </c>
    </row>
    <row r="332" spans="1:11">
      <c r="A332" s="83">
        <v>2020</v>
      </c>
      <c r="B332" s="84" t="s">
        <v>40</v>
      </c>
      <c r="C332" s="25">
        <f t="shared" si="2"/>
        <v>0.69195046439628483</v>
      </c>
      <c r="D332" s="25">
        <f t="shared" si="3"/>
        <v>0.95717344753747324</v>
      </c>
      <c r="E332" s="25">
        <f t="shared" si="4"/>
        <v>0.72291021671826627</v>
      </c>
      <c r="F332" s="27">
        <v>1938</v>
      </c>
      <c r="G332" s="27">
        <f t="shared" si="13"/>
        <v>537</v>
      </c>
      <c r="H332" s="27">
        <v>1401</v>
      </c>
      <c r="I332" s="27">
        <v>1341</v>
      </c>
      <c r="J332" s="27">
        <f t="shared" si="14"/>
        <v>60</v>
      </c>
    </row>
    <row r="333" spans="1:11">
      <c r="A333" s="83">
        <v>2020</v>
      </c>
      <c r="B333" s="84" t="s">
        <v>41</v>
      </c>
      <c r="C333" s="25">
        <f t="shared" si="2"/>
        <v>0.42826086956521742</v>
      </c>
      <c r="D333" s="25">
        <f t="shared" si="3"/>
        <v>0.96332518337408313</v>
      </c>
      <c r="E333" s="25">
        <f t="shared" si="4"/>
        <v>0.44456521739130433</v>
      </c>
      <c r="F333" s="27">
        <v>1840</v>
      </c>
      <c r="G333" s="27">
        <f t="shared" si="13"/>
        <v>1022</v>
      </c>
      <c r="H333" s="27">
        <v>818</v>
      </c>
      <c r="I333" s="27">
        <v>788</v>
      </c>
      <c r="J333" s="27">
        <f t="shared" si="14"/>
        <v>30</v>
      </c>
    </row>
    <row r="334" spans="1:11">
      <c r="A334" s="83">
        <v>2020</v>
      </c>
      <c r="B334" s="84" t="s">
        <v>42</v>
      </c>
      <c r="C334" s="25">
        <f t="shared" si="2"/>
        <v>0.41240875912408759</v>
      </c>
      <c r="D334" s="25">
        <f t="shared" si="3"/>
        <v>0.93942992874109266</v>
      </c>
      <c r="E334" s="25">
        <f t="shared" si="4"/>
        <v>0.43899895724713245</v>
      </c>
      <c r="F334" s="27">
        <v>1918</v>
      </c>
      <c r="G334" s="27">
        <f t="shared" si="13"/>
        <v>1076</v>
      </c>
      <c r="H334" s="27">
        <v>842</v>
      </c>
      <c r="I334" s="27">
        <v>791</v>
      </c>
      <c r="J334" s="27">
        <f t="shared" si="14"/>
        <v>51</v>
      </c>
    </row>
    <row r="335" spans="1:11">
      <c r="A335" s="83">
        <v>2020</v>
      </c>
      <c r="B335" s="84" t="s">
        <v>43</v>
      </c>
      <c r="C335" s="55">
        <f t="shared" ref="C335:C341" si="15">I335/F335</f>
        <v>0.49655647382920109</v>
      </c>
      <c r="D335" s="55">
        <f t="shared" ref="D335:D341" si="16">I335/H335</f>
        <v>0.87926829268292683</v>
      </c>
      <c r="E335" s="55">
        <f t="shared" ref="E335:E341" si="17">H335/F335</f>
        <v>0.56473829201101933</v>
      </c>
      <c r="F335" s="56">
        <v>1452</v>
      </c>
      <c r="G335" s="56">
        <f t="shared" ref="G335:G342" si="18">F335-H335</f>
        <v>632</v>
      </c>
      <c r="H335" s="56">
        <v>820</v>
      </c>
      <c r="I335" s="56">
        <v>721</v>
      </c>
      <c r="J335" s="56">
        <f t="shared" ref="J335:J341" si="19">H335-I335</f>
        <v>99</v>
      </c>
      <c r="K335" s="57"/>
    </row>
    <row r="336" spans="1:11" ht="13.5" customHeight="1">
      <c r="A336" s="83">
        <v>2020</v>
      </c>
      <c r="B336" s="84" t="s">
        <v>44</v>
      </c>
      <c r="C336" s="55">
        <f t="shared" si="15"/>
        <v>0.89268867924528306</v>
      </c>
      <c r="D336" s="55">
        <f t="shared" si="16"/>
        <v>0.89691943127962082</v>
      </c>
      <c r="E336" s="55">
        <f t="shared" si="17"/>
        <v>0.99528301886792447</v>
      </c>
      <c r="F336" s="56">
        <v>848</v>
      </c>
      <c r="G336" s="56">
        <f t="shared" si="18"/>
        <v>4</v>
      </c>
      <c r="H336" s="56">
        <v>844</v>
      </c>
      <c r="I336" s="56">
        <v>757</v>
      </c>
      <c r="J336" s="56">
        <f t="shared" si="19"/>
        <v>87</v>
      </c>
      <c r="K336" s="57"/>
    </row>
    <row r="337" spans="1:11" ht="13.5" customHeight="1">
      <c r="A337" s="83">
        <v>2020</v>
      </c>
      <c r="B337" s="84" t="s">
        <v>45</v>
      </c>
      <c r="C337" s="55">
        <f t="shared" si="15"/>
        <v>0.93971631205673756</v>
      </c>
      <c r="D337" s="55">
        <f t="shared" si="16"/>
        <v>0.94194312796208535</v>
      </c>
      <c r="E337" s="55">
        <f t="shared" si="17"/>
        <v>0.99763593380614657</v>
      </c>
      <c r="F337" s="56">
        <v>846</v>
      </c>
      <c r="G337" s="56">
        <f t="shared" si="18"/>
        <v>2</v>
      </c>
      <c r="H337" s="56">
        <v>844</v>
      </c>
      <c r="I337" s="56">
        <v>795</v>
      </c>
      <c r="J337" s="56">
        <f t="shared" si="19"/>
        <v>49</v>
      </c>
      <c r="K337" s="57"/>
    </row>
    <row r="338" spans="1:11" ht="13.5" customHeight="1">
      <c r="A338" s="83">
        <v>2020</v>
      </c>
      <c r="B338" s="84" t="s">
        <v>46</v>
      </c>
      <c r="C338" s="55">
        <f t="shared" si="15"/>
        <v>0.83980582524271841</v>
      </c>
      <c r="D338" s="55">
        <f t="shared" si="16"/>
        <v>0.84184914841849146</v>
      </c>
      <c r="E338" s="55">
        <f t="shared" si="17"/>
        <v>0.99757281553398058</v>
      </c>
      <c r="F338" s="56">
        <v>824</v>
      </c>
      <c r="G338" s="56">
        <f t="shared" si="18"/>
        <v>2</v>
      </c>
      <c r="H338" s="56">
        <v>822</v>
      </c>
      <c r="I338" s="56">
        <v>692</v>
      </c>
      <c r="J338" s="56">
        <f t="shared" si="19"/>
        <v>130</v>
      </c>
      <c r="K338" s="57"/>
    </row>
    <row r="339" spans="1:11" ht="13.5" customHeight="1">
      <c r="A339" s="83">
        <v>2020</v>
      </c>
      <c r="B339" s="84" t="s">
        <v>47</v>
      </c>
      <c r="C339" s="55">
        <f t="shared" si="15"/>
        <v>0.89268867924528306</v>
      </c>
      <c r="D339" s="55">
        <f t="shared" si="16"/>
        <v>0.89479905437352247</v>
      </c>
      <c r="E339" s="55">
        <f t="shared" si="17"/>
        <v>0.99764150943396224</v>
      </c>
      <c r="F339" s="56">
        <v>848</v>
      </c>
      <c r="G339" s="56">
        <f t="shared" si="18"/>
        <v>2</v>
      </c>
      <c r="H339" s="56">
        <v>846</v>
      </c>
      <c r="I339" s="56">
        <v>757</v>
      </c>
      <c r="J339" s="56">
        <f t="shared" si="19"/>
        <v>89</v>
      </c>
      <c r="K339" s="57"/>
    </row>
    <row r="340" spans="1:11" ht="13.5" customHeight="1">
      <c r="A340" s="83">
        <v>2020</v>
      </c>
      <c r="B340" s="84" t="s">
        <v>48</v>
      </c>
      <c r="C340" s="55">
        <f t="shared" si="15"/>
        <v>0.90975609756097564</v>
      </c>
      <c r="D340" s="55">
        <f t="shared" si="16"/>
        <v>0.91985203452527742</v>
      </c>
      <c r="E340" s="55">
        <f t="shared" si="17"/>
        <v>0.98902439024390243</v>
      </c>
      <c r="F340" s="56">
        <v>820</v>
      </c>
      <c r="G340" s="56">
        <f t="shared" si="18"/>
        <v>9</v>
      </c>
      <c r="H340" s="56">
        <v>811</v>
      </c>
      <c r="I340" s="56">
        <v>746</v>
      </c>
      <c r="J340" s="56">
        <f t="shared" si="19"/>
        <v>65</v>
      </c>
      <c r="K340" s="57"/>
    </row>
    <row r="341" spans="1:11" ht="13.5" customHeight="1">
      <c r="A341" s="83">
        <v>2020</v>
      </c>
      <c r="B341" s="84" t="s">
        <v>49</v>
      </c>
      <c r="C341" s="55">
        <f t="shared" si="15"/>
        <v>0.89904988123515439</v>
      </c>
      <c r="D341" s="55">
        <f t="shared" si="16"/>
        <v>0.94037267080745346</v>
      </c>
      <c r="E341" s="55">
        <f t="shared" si="17"/>
        <v>0.9560570071258907</v>
      </c>
      <c r="F341" s="56">
        <v>842</v>
      </c>
      <c r="G341" s="56">
        <f t="shared" si="18"/>
        <v>37</v>
      </c>
      <c r="H341" s="56">
        <v>805</v>
      </c>
      <c r="I341" s="56">
        <v>757</v>
      </c>
      <c r="J341" s="56">
        <f t="shared" si="19"/>
        <v>48</v>
      </c>
      <c r="K341" s="57"/>
    </row>
    <row r="342" spans="1:11" s="34" customFormat="1" ht="13.5" customHeight="1">
      <c r="A342" s="83" t="s">
        <v>106</v>
      </c>
      <c r="B342" s="84" t="s">
        <v>38</v>
      </c>
      <c r="C342" s="55">
        <f>I342/F342</f>
        <v>0.91252955082742315</v>
      </c>
      <c r="D342" s="55">
        <f>I342/H342</f>
        <v>0.919047619047619</v>
      </c>
      <c r="E342" s="55">
        <f>H342/F342</f>
        <v>0.99290780141843971</v>
      </c>
      <c r="F342" s="56">
        <v>846</v>
      </c>
      <c r="G342" s="56">
        <f t="shared" si="18"/>
        <v>6</v>
      </c>
      <c r="H342" s="56">
        <v>840</v>
      </c>
      <c r="I342" s="56">
        <v>772</v>
      </c>
      <c r="J342" s="56">
        <f>H342-I342</f>
        <v>68</v>
      </c>
      <c r="K342" s="57"/>
    </row>
    <row r="343" spans="1:11" ht="13.5" customHeight="1">
      <c r="A343" s="83">
        <v>2021</v>
      </c>
      <c r="B343" s="84" t="s">
        <v>39</v>
      </c>
      <c r="C343" s="55">
        <f>I343/F343</f>
        <v>0.86256544502617805</v>
      </c>
      <c r="D343" s="55">
        <f>I343/H343</f>
        <v>0.88101604278074863</v>
      </c>
      <c r="E343" s="55">
        <f>H343/F343</f>
        <v>0.97905759162303663</v>
      </c>
      <c r="F343" s="56">
        <v>764</v>
      </c>
      <c r="G343" s="56">
        <f>F343-H343</f>
        <v>16</v>
      </c>
      <c r="H343" s="56">
        <v>748</v>
      </c>
      <c r="I343" s="56">
        <v>659</v>
      </c>
      <c r="J343" s="56">
        <f>H343-I343</f>
        <v>89</v>
      </c>
      <c r="K343" s="57"/>
    </row>
    <row r="344" spans="1:11" s="34" customFormat="1" ht="13.5" customHeight="1">
      <c r="A344" s="83">
        <v>2021</v>
      </c>
      <c r="B344" s="84" t="s">
        <v>40</v>
      </c>
      <c r="C344" s="55">
        <f>I344/F344</f>
        <v>0.86823529411764711</v>
      </c>
      <c r="D344" s="55">
        <f>I344/H344</f>
        <v>0.87440758293838861</v>
      </c>
      <c r="E344" s="55">
        <f>H344/F344</f>
        <v>0.99294117647058822</v>
      </c>
      <c r="F344" s="56">
        <v>850</v>
      </c>
      <c r="G344" s="56">
        <f>F344-H344</f>
        <v>6</v>
      </c>
      <c r="H344" s="56">
        <v>844</v>
      </c>
      <c r="I344" s="56">
        <v>738</v>
      </c>
      <c r="J344" s="56">
        <f>H344-I344</f>
        <v>106</v>
      </c>
      <c r="K344" s="57"/>
    </row>
    <row r="345" spans="1:11" ht="13.5" customHeight="1">
      <c r="A345" s="83">
        <v>2021</v>
      </c>
      <c r="B345" s="84" t="s">
        <v>41</v>
      </c>
      <c r="C345" s="55">
        <f>I345/F345</f>
        <v>0.87073170731707317</v>
      </c>
      <c r="D345" s="55">
        <f>I345/H345</f>
        <v>0.87607361963190189</v>
      </c>
      <c r="E345" s="55">
        <f>H345/F345</f>
        <v>0.99390243902439024</v>
      </c>
      <c r="F345" s="56">
        <v>820</v>
      </c>
      <c r="G345" s="56">
        <f>F345-H345</f>
        <v>5</v>
      </c>
      <c r="H345" s="56">
        <v>815</v>
      </c>
      <c r="I345" s="56">
        <v>714</v>
      </c>
      <c r="J345" s="56">
        <f>H345-I345</f>
        <v>101</v>
      </c>
      <c r="K345" s="57"/>
    </row>
    <row r="346" spans="1:11" s="34" customFormat="1" ht="12.95" customHeight="1">
      <c r="A346" s="83">
        <v>2021</v>
      </c>
      <c r="B346" s="84" t="s">
        <v>42</v>
      </c>
      <c r="C346" s="55">
        <f t="shared" ref="C346:C347" si="20">I346/F346</f>
        <v>0.92298578199052128</v>
      </c>
      <c r="D346" s="55">
        <f t="shared" ref="D346:D347" si="21">I346/H346</f>
        <v>0.92298578199052128</v>
      </c>
      <c r="E346" s="55">
        <f t="shared" ref="E346:E347" si="22">H346/F346</f>
        <v>1</v>
      </c>
      <c r="F346" s="56">
        <v>844</v>
      </c>
      <c r="G346" s="56">
        <f t="shared" ref="G346:G347" si="23">F346-H346</f>
        <v>0</v>
      </c>
      <c r="H346" s="56">
        <v>844</v>
      </c>
      <c r="I346" s="56">
        <v>779</v>
      </c>
      <c r="J346" s="56">
        <f t="shared" ref="J346:J347" si="24">H346-I346</f>
        <v>65</v>
      </c>
      <c r="K346" s="57"/>
    </row>
    <row r="347" spans="1:11" s="34" customFormat="1" ht="12.95" customHeight="1">
      <c r="A347" s="83">
        <v>2021</v>
      </c>
      <c r="B347" s="84" t="s">
        <v>43</v>
      </c>
      <c r="C347" s="55">
        <f t="shared" si="20"/>
        <v>0.95246478873239437</v>
      </c>
      <c r="D347" s="55">
        <f t="shared" si="21"/>
        <v>0.9614928909952607</v>
      </c>
      <c r="E347" s="55">
        <f t="shared" si="22"/>
        <v>0.99061032863849763</v>
      </c>
      <c r="F347" s="56">
        <v>1704</v>
      </c>
      <c r="G347" s="56">
        <f t="shared" si="23"/>
        <v>16</v>
      </c>
      <c r="H347" s="56">
        <v>1688</v>
      </c>
      <c r="I347" s="56">
        <v>1623</v>
      </c>
      <c r="J347" s="56">
        <f t="shared" si="24"/>
        <v>65</v>
      </c>
      <c r="K347" s="57"/>
    </row>
    <row r="348" spans="1:11" s="34" customFormat="1" ht="12.95" customHeight="1">
      <c r="A348" s="83">
        <v>2021</v>
      </c>
      <c r="B348" s="84" t="s">
        <v>44</v>
      </c>
      <c r="C348" s="55">
        <f>I348/F348</f>
        <v>0.93629124004550623</v>
      </c>
      <c r="D348" s="55">
        <f>I348/H348</f>
        <v>0.94925028835063441</v>
      </c>
      <c r="E348" s="55">
        <f>H348/F348</f>
        <v>0.98634812286689422</v>
      </c>
      <c r="F348" s="56">
        <v>1758</v>
      </c>
      <c r="G348" s="56">
        <f>F348-H348</f>
        <v>24</v>
      </c>
      <c r="H348" s="56">
        <v>1734</v>
      </c>
      <c r="I348" s="56">
        <v>1646</v>
      </c>
      <c r="J348" s="56">
        <f>H348-I348</f>
        <v>88</v>
      </c>
      <c r="K348" s="57"/>
    </row>
    <row r="349" spans="1:11" s="34" customFormat="1" ht="12.95" customHeight="1">
      <c r="A349" s="83">
        <v>2021</v>
      </c>
      <c r="B349" s="84" t="s">
        <v>45</v>
      </c>
      <c r="C349" s="55">
        <f>I349/F349</f>
        <v>0.95961319681456203</v>
      </c>
      <c r="D349" s="55">
        <f>I349/H349</f>
        <v>0.96787148594377514</v>
      </c>
      <c r="E349" s="55">
        <f>H349/F349</f>
        <v>0.99146757679180886</v>
      </c>
      <c r="F349" s="56">
        <v>1758</v>
      </c>
      <c r="G349" s="56">
        <f>F349-H349</f>
        <v>15</v>
      </c>
      <c r="H349" s="56">
        <v>1743</v>
      </c>
      <c r="I349" s="56">
        <v>1687</v>
      </c>
      <c r="J349" s="56">
        <f>H349-I349</f>
        <v>56</v>
      </c>
      <c r="K349" s="57"/>
    </row>
    <row r="350" spans="1:11" s="34" customFormat="1" ht="12.95" customHeight="1">
      <c r="A350" s="147" t="s">
        <v>93</v>
      </c>
      <c r="B350" s="148"/>
      <c r="C350" s="122">
        <f>SUBTOTAL(101,TDC[Regularidad Absoluta])</f>
        <v>0.87276077452306133</v>
      </c>
      <c r="D350" s="122">
        <f>SUBTOTAL(101,TDC[Regularidad Relativa])</f>
        <v>0.92738498514141532</v>
      </c>
      <c r="E350" s="122">
        <f>SUBTOTAL(101,TDC[Cumplimiento de Programa])</f>
        <v>0.94123480251251013</v>
      </c>
      <c r="F350" s="121">
        <f>SUBTOTAL(109,TDC[Trenes Programados])</f>
        <v>127470</v>
      </c>
      <c r="G350" s="121">
        <f>SUBTOTAL(109,TDC[Trenes Cancelados])</f>
        <v>7948</v>
      </c>
      <c r="H350" s="121">
        <f>SUBTOTAL(109,TDC[Trenes Corridos])</f>
        <v>119522</v>
      </c>
      <c r="I350" s="121">
        <f>SUBTOTAL(109,TDC[Trenes Puntuales])</f>
        <v>111103</v>
      </c>
      <c r="J350" s="121">
        <f>SUBTOTAL(109,TDC[Trenes Atrasados])</f>
        <v>8419</v>
      </c>
      <c r="K350" s="161">
        <f>SUBTOTAL(103,TDC[Observaciones])</f>
        <v>0</v>
      </c>
    </row>
    <row r="351" spans="1:11" s="34" customFormat="1" ht="12.95" customHeight="1">
      <c r="C351" s="95"/>
      <c r="D351" s="95"/>
      <c r="E351" s="95"/>
      <c r="F351" s="96"/>
      <c r="G351" s="96"/>
      <c r="H351" s="96"/>
      <c r="I351" s="96"/>
      <c r="J351" s="96"/>
    </row>
    <row r="352" spans="1:11" s="34" customFormat="1" ht="12.95" customHeight="1">
      <c r="B352" s="97"/>
      <c r="C352" s="74"/>
      <c r="D352" s="74"/>
      <c r="E352" s="74"/>
      <c r="F352" s="27"/>
      <c r="G352" s="27"/>
      <c r="H352" s="27"/>
      <c r="I352" s="27"/>
      <c r="J352" s="27"/>
    </row>
    <row r="353" spans="2:10" s="34" customFormat="1" ht="12.95" customHeight="1">
      <c r="B353" s="97"/>
      <c r="C353" s="74"/>
      <c r="D353" s="74"/>
      <c r="E353" s="74"/>
      <c r="F353" s="27"/>
      <c r="G353" s="27"/>
      <c r="H353" s="27"/>
      <c r="I353" s="27"/>
      <c r="J353" s="27"/>
    </row>
    <row r="354" spans="2:10" s="34" customFormat="1" ht="12.95" customHeight="1">
      <c r="C354" s="74"/>
      <c r="D354" s="74"/>
      <c r="E354" s="74"/>
      <c r="F354" s="91"/>
      <c r="G354" s="91"/>
      <c r="H354" s="91"/>
      <c r="I354" s="91"/>
      <c r="J354" s="91"/>
    </row>
    <row r="355" spans="2:10" s="34" customFormat="1" ht="12.95" customHeight="1">
      <c r="C355" s="74"/>
      <c r="D355" s="74"/>
      <c r="E355" s="74"/>
      <c r="F355" s="91"/>
      <c r="G355" s="91"/>
      <c r="H355" s="91"/>
      <c r="I355" s="91"/>
      <c r="J355" s="91"/>
    </row>
    <row r="356" spans="2:10" s="34" customFormat="1" ht="12.95" customHeight="1">
      <c r="B356" s="94"/>
      <c r="C356" s="169"/>
      <c r="D356" s="169"/>
      <c r="E356" s="74"/>
      <c r="F356" s="91"/>
      <c r="G356" s="91"/>
      <c r="H356" s="91"/>
      <c r="I356" s="91"/>
      <c r="J356" s="91"/>
    </row>
    <row r="357" spans="2:10" s="34" customFormat="1" ht="12.95" customHeight="1">
      <c r="B357" s="94"/>
      <c r="C357" s="74"/>
      <c r="D357" s="74"/>
      <c r="E357" s="74"/>
      <c r="F357" s="91"/>
      <c r="G357" s="91"/>
      <c r="H357" s="91"/>
      <c r="I357" s="91"/>
      <c r="J357" s="91"/>
    </row>
    <row r="358" spans="2:10" s="34" customFormat="1" ht="12.95" customHeight="1">
      <c r="B358" s="91"/>
      <c r="C358" s="74"/>
      <c r="D358" s="74"/>
      <c r="E358" s="74"/>
      <c r="F358" s="91"/>
      <c r="G358" s="91"/>
      <c r="H358" s="91"/>
      <c r="I358" s="91"/>
      <c r="J358" s="91"/>
    </row>
    <row r="359" spans="2:10" s="34" customFormat="1" ht="12.95" customHeight="1">
      <c r="B359" s="91"/>
      <c r="C359" s="74"/>
      <c r="D359" s="74"/>
      <c r="E359" s="74"/>
      <c r="F359" s="27"/>
      <c r="G359" s="27"/>
      <c r="H359" s="27"/>
      <c r="I359" s="27"/>
      <c r="J359" s="27"/>
    </row>
    <row r="360" spans="2:10" s="34" customFormat="1" ht="12.95" customHeight="1">
      <c r="B360" s="91"/>
      <c r="C360" s="74"/>
      <c r="D360" s="74"/>
      <c r="E360" s="74"/>
      <c r="F360" s="27"/>
      <c r="G360" s="27"/>
      <c r="H360" s="27"/>
      <c r="I360" s="27"/>
      <c r="J360" s="27"/>
    </row>
    <row r="361" spans="2:10" s="34" customFormat="1" ht="12.95" customHeight="1">
      <c r="B361" s="91"/>
      <c r="C361" s="74"/>
      <c r="D361" s="74"/>
      <c r="E361" s="74"/>
      <c r="F361" s="27"/>
      <c r="G361" s="27"/>
      <c r="H361" s="27"/>
      <c r="I361" s="27"/>
      <c r="J361" s="27"/>
    </row>
    <row r="362" spans="2:10" s="34" customFormat="1" ht="12.95" customHeight="1">
      <c r="B362" s="91"/>
      <c r="C362" s="74"/>
      <c r="D362" s="74"/>
      <c r="E362" s="74"/>
      <c r="F362" s="27"/>
      <c r="G362" s="27"/>
      <c r="H362" s="27"/>
      <c r="I362" s="27"/>
      <c r="J362" s="27"/>
    </row>
    <row r="363" spans="2:10" s="34" customFormat="1" ht="12.95" customHeight="1">
      <c r="B363" s="91"/>
      <c r="C363" s="74"/>
      <c r="D363" s="74"/>
      <c r="E363" s="74"/>
      <c r="F363" s="27"/>
      <c r="G363" s="27"/>
      <c r="H363" s="27"/>
      <c r="I363" s="27"/>
      <c r="J363" s="27"/>
    </row>
    <row r="364" spans="2:10" s="34" customFormat="1" ht="12.95" customHeight="1">
      <c r="B364" s="91"/>
      <c r="C364" s="74"/>
      <c r="D364" s="74"/>
      <c r="E364" s="74"/>
      <c r="F364" s="27"/>
      <c r="G364" s="27"/>
      <c r="H364" s="27"/>
      <c r="I364" s="27"/>
      <c r="J364" s="27"/>
    </row>
    <row r="365" spans="2:10" s="34" customFormat="1" ht="12.95" customHeight="1">
      <c r="B365" s="91"/>
      <c r="C365" s="74"/>
      <c r="D365" s="74"/>
      <c r="E365" s="74"/>
      <c r="F365" s="27"/>
      <c r="G365" s="27"/>
      <c r="H365" s="27"/>
      <c r="I365" s="27"/>
      <c r="J365" s="27"/>
    </row>
    <row r="366" spans="2:10" s="34" customFormat="1" ht="12.95" customHeight="1">
      <c r="B366" s="91"/>
      <c r="C366" s="74"/>
      <c r="D366" s="74"/>
      <c r="E366" s="74"/>
      <c r="F366" s="27"/>
      <c r="G366" s="27"/>
      <c r="H366" s="27"/>
      <c r="I366" s="27"/>
      <c r="J366" s="27"/>
    </row>
    <row r="367" spans="2:10" s="34" customFormat="1" ht="12.95" customHeight="1">
      <c r="B367" s="91"/>
      <c r="C367" s="74"/>
      <c r="D367" s="74"/>
      <c r="E367" s="74"/>
      <c r="F367" s="27"/>
      <c r="G367" s="27"/>
      <c r="H367" s="27"/>
      <c r="I367" s="27"/>
      <c r="J367" s="27"/>
    </row>
    <row r="368" spans="2:10" s="34" customFormat="1" ht="12.95" customHeight="1">
      <c r="B368" s="91"/>
      <c r="C368" s="74"/>
      <c r="D368" s="74"/>
      <c r="E368" s="74"/>
      <c r="F368" s="27"/>
      <c r="G368" s="27"/>
      <c r="H368" s="27"/>
      <c r="I368" s="27"/>
      <c r="J368" s="27"/>
    </row>
    <row r="369" spans="2:10" s="34" customFormat="1" ht="12.95" customHeight="1">
      <c r="B369" s="91"/>
      <c r="C369" s="74"/>
      <c r="D369" s="74"/>
      <c r="E369" s="74"/>
      <c r="F369" s="27"/>
      <c r="G369" s="27"/>
      <c r="H369" s="27"/>
      <c r="I369" s="27"/>
      <c r="J369" s="27"/>
    </row>
    <row r="370" spans="2:10" s="34" customFormat="1" ht="12.95" customHeight="1">
      <c r="B370" s="91"/>
      <c r="C370" s="74"/>
      <c r="D370" s="74"/>
      <c r="E370" s="74"/>
      <c r="F370" s="27"/>
      <c r="G370" s="27"/>
      <c r="H370" s="27"/>
      <c r="I370" s="27"/>
      <c r="J370" s="27"/>
    </row>
    <row r="371" spans="2:10" s="34" customFormat="1" ht="12.95" customHeight="1">
      <c r="C371" s="95"/>
      <c r="D371" s="95"/>
      <c r="E371" s="95"/>
      <c r="F371" s="96"/>
      <c r="G371" s="96"/>
      <c r="H371" s="96"/>
      <c r="I371" s="96"/>
      <c r="J371" s="96"/>
    </row>
    <row r="372" spans="2:10" s="34" customFormat="1" ht="12.95" customHeight="1">
      <c r="B372" s="97"/>
      <c r="C372" s="74"/>
      <c r="D372" s="74"/>
      <c r="E372" s="74"/>
      <c r="F372" s="27"/>
      <c r="G372" s="27"/>
      <c r="H372" s="27"/>
      <c r="I372" s="27"/>
      <c r="J372" s="27"/>
    </row>
    <row r="373" spans="2:10" s="34" customFormat="1" ht="12.95" customHeight="1">
      <c r="B373" s="97"/>
      <c r="C373" s="74"/>
      <c r="D373" s="74"/>
      <c r="E373" s="74"/>
      <c r="F373" s="27"/>
      <c r="G373" s="27"/>
      <c r="H373" s="27"/>
      <c r="I373" s="27"/>
      <c r="J373" s="27"/>
    </row>
    <row r="374" spans="2:10" s="34" customFormat="1" ht="12.95" customHeight="1">
      <c r="C374" s="74"/>
      <c r="D374" s="74"/>
      <c r="E374" s="74"/>
      <c r="F374" s="91"/>
      <c r="G374" s="91"/>
      <c r="H374" s="91"/>
      <c r="I374" s="91"/>
      <c r="J374" s="91"/>
    </row>
    <row r="375" spans="2:10" s="34" customFormat="1" ht="12.95" customHeight="1">
      <c r="C375" s="74"/>
      <c r="D375" s="74"/>
      <c r="E375" s="74"/>
      <c r="F375" s="91"/>
      <c r="G375" s="91"/>
      <c r="H375" s="91"/>
      <c r="I375" s="91"/>
      <c r="J375" s="91"/>
    </row>
    <row r="376" spans="2:10" s="34" customFormat="1" ht="12.95" customHeight="1">
      <c r="B376" s="94"/>
      <c r="C376" s="169"/>
      <c r="D376" s="169"/>
      <c r="E376" s="74"/>
      <c r="F376" s="91"/>
      <c r="G376" s="91"/>
      <c r="H376" s="91"/>
      <c r="I376" s="91"/>
      <c r="J376" s="91"/>
    </row>
    <row r="377" spans="2:10" s="34" customFormat="1" ht="12.95" customHeight="1">
      <c r="B377" s="94"/>
      <c r="C377" s="74"/>
      <c r="D377" s="74"/>
      <c r="E377" s="74"/>
      <c r="F377" s="91"/>
      <c r="G377" s="91"/>
      <c r="H377" s="91"/>
      <c r="I377" s="91"/>
      <c r="J377" s="91"/>
    </row>
    <row r="378" spans="2:10" s="34" customFormat="1" ht="12.95" customHeight="1">
      <c r="B378" s="91"/>
      <c r="C378" s="74"/>
      <c r="D378" s="74"/>
      <c r="E378" s="74"/>
      <c r="F378" s="91"/>
      <c r="G378" s="91"/>
      <c r="H378" s="91"/>
      <c r="I378" s="91"/>
      <c r="J378" s="91"/>
    </row>
    <row r="379" spans="2:10" s="34" customFormat="1" ht="12.95" customHeight="1">
      <c r="B379" s="91"/>
      <c r="C379" s="74"/>
      <c r="D379" s="74"/>
      <c r="E379" s="74"/>
      <c r="F379" s="27"/>
      <c r="G379" s="27"/>
      <c r="H379" s="27"/>
      <c r="I379" s="27"/>
      <c r="J379" s="27"/>
    </row>
    <row r="380" spans="2:10" s="34" customFormat="1" ht="12.95" customHeight="1">
      <c r="B380" s="91"/>
      <c r="C380" s="74"/>
      <c r="D380" s="74"/>
      <c r="E380" s="74"/>
      <c r="F380" s="27"/>
      <c r="G380" s="27"/>
      <c r="H380" s="27"/>
      <c r="I380" s="27"/>
      <c r="J380" s="27"/>
    </row>
    <row r="381" spans="2:10" s="34" customFormat="1" ht="12.95" customHeight="1">
      <c r="B381" s="91"/>
      <c r="C381" s="74"/>
      <c r="D381" s="74"/>
      <c r="E381" s="74"/>
      <c r="F381" s="27"/>
      <c r="G381" s="27"/>
      <c r="H381" s="27"/>
      <c r="I381" s="27"/>
      <c r="J381" s="27"/>
    </row>
    <row r="382" spans="2:10" s="34" customFormat="1" ht="12.95" customHeight="1">
      <c r="B382" s="91"/>
      <c r="C382" s="74"/>
      <c r="D382" s="74"/>
      <c r="E382" s="74"/>
      <c r="F382" s="27"/>
      <c r="G382" s="27"/>
      <c r="H382" s="27"/>
      <c r="I382" s="27"/>
      <c r="J382" s="27"/>
    </row>
    <row r="383" spans="2:10" s="34" customFormat="1" ht="12.95" customHeight="1">
      <c r="B383" s="91"/>
      <c r="C383" s="74"/>
      <c r="D383" s="74"/>
      <c r="E383" s="74"/>
      <c r="F383" s="27"/>
      <c r="G383" s="27"/>
      <c r="H383" s="27"/>
      <c r="I383" s="27"/>
      <c r="J383" s="27"/>
    </row>
    <row r="384" spans="2:10" s="34" customFormat="1" ht="12.95" customHeight="1">
      <c r="B384" s="91"/>
      <c r="C384" s="74"/>
      <c r="D384" s="74"/>
      <c r="E384" s="74"/>
      <c r="F384" s="27"/>
      <c r="G384" s="27"/>
      <c r="H384" s="27"/>
      <c r="I384" s="27"/>
      <c r="J384" s="27"/>
    </row>
    <row r="385" spans="1:11" s="34" customFormat="1" ht="12.95" customHeight="1">
      <c r="B385" s="91"/>
      <c r="C385" s="74"/>
      <c r="D385" s="74"/>
      <c r="E385" s="74"/>
      <c r="F385" s="27"/>
      <c r="G385" s="27"/>
      <c r="H385" s="27"/>
      <c r="I385" s="27"/>
      <c r="J385" s="27"/>
    </row>
    <row r="386" spans="1:11" s="34" customFormat="1" ht="12.95" customHeight="1">
      <c r="B386" s="91"/>
      <c r="C386" s="74"/>
      <c r="D386" s="74"/>
      <c r="E386" s="74"/>
      <c r="F386" s="27"/>
      <c r="G386" s="27"/>
      <c r="H386" s="27"/>
      <c r="I386" s="27"/>
      <c r="J386" s="27"/>
    </row>
    <row r="387" spans="1:11" s="34" customFormat="1" ht="12.95" customHeight="1">
      <c r="B387" s="91"/>
      <c r="C387" s="74"/>
      <c r="D387" s="74"/>
      <c r="E387" s="74"/>
      <c r="F387" s="27"/>
      <c r="G387" s="27"/>
      <c r="H387" s="27"/>
      <c r="I387" s="27"/>
      <c r="J387" s="27"/>
    </row>
    <row r="388" spans="1:11" s="34" customFormat="1" ht="12.95" customHeight="1">
      <c r="B388" s="91"/>
      <c r="C388" s="74"/>
      <c r="D388" s="74"/>
      <c r="E388" s="74"/>
      <c r="F388" s="27"/>
      <c r="G388" s="27"/>
      <c r="H388" s="27"/>
      <c r="I388" s="27"/>
      <c r="J388" s="27"/>
    </row>
    <row r="389" spans="1:11" s="34" customFormat="1" ht="12.95" customHeight="1">
      <c r="B389" s="91"/>
      <c r="C389" s="74"/>
      <c r="D389" s="74"/>
      <c r="E389" s="74"/>
      <c r="F389" s="27"/>
      <c r="G389" s="27"/>
      <c r="H389" s="27"/>
      <c r="I389" s="27"/>
      <c r="J389" s="27"/>
    </row>
    <row r="390" spans="1:11" s="34" customFormat="1" ht="12.95" customHeight="1">
      <c r="B390" s="91"/>
      <c r="C390" s="74"/>
      <c r="D390" s="74"/>
      <c r="E390" s="74"/>
      <c r="F390" s="27"/>
      <c r="G390" s="27"/>
      <c r="H390" s="27"/>
      <c r="I390" s="27"/>
      <c r="J390" s="27"/>
    </row>
    <row r="391" spans="1:11" s="34" customFormat="1" ht="12.95" customHeight="1">
      <c r="C391" s="95"/>
      <c r="D391" s="95"/>
      <c r="E391" s="95"/>
      <c r="F391" s="96"/>
      <c r="G391" s="96"/>
      <c r="H391" s="96"/>
      <c r="I391" s="96"/>
      <c r="J391" s="96"/>
    </row>
    <row r="392" spans="1:11" s="34" customFormat="1" ht="12.95" customHeight="1">
      <c r="B392" s="97"/>
      <c r="C392" s="74"/>
      <c r="D392" s="74"/>
      <c r="E392" s="74"/>
      <c r="F392" s="27"/>
      <c r="G392" s="27"/>
      <c r="H392" s="27"/>
      <c r="I392" s="27"/>
      <c r="J392" s="27"/>
    </row>
    <row r="393" spans="1:11" s="34" customFormat="1" ht="12.95" customHeight="1">
      <c r="B393" s="97"/>
      <c r="C393" s="74"/>
      <c r="D393" s="74"/>
      <c r="E393" s="74"/>
      <c r="F393" s="27"/>
      <c r="G393" s="27"/>
      <c r="H393" s="27"/>
      <c r="I393" s="27"/>
      <c r="J393" s="27"/>
    </row>
    <row r="394" spans="1:11">
      <c r="A394" s="34"/>
      <c r="B394" s="34"/>
      <c r="C394" s="74"/>
      <c r="D394" s="74"/>
      <c r="E394" s="74"/>
      <c r="F394" s="91"/>
      <c r="G394" s="91"/>
      <c r="H394" s="91"/>
      <c r="I394" s="91"/>
      <c r="J394" s="91"/>
      <c r="K394" s="34"/>
    </row>
    <row r="395" spans="1:11">
      <c r="A395" s="34"/>
      <c r="B395" s="34"/>
      <c r="C395" s="74"/>
      <c r="D395" s="74"/>
      <c r="E395" s="74"/>
      <c r="F395" s="91"/>
      <c r="G395" s="91"/>
      <c r="H395" s="91"/>
      <c r="I395" s="91"/>
      <c r="J395" s="91"/>
      <c r="K395" s="34"/>
    </row>
    <row r="396" spans="1:11">
      <c r="A396" s="34"/>
      <c r="B396" s="94"/>
      <c r="C396" s="169"/>
      <c r="D396" s="169"/>
      <c r="E396" s="74"/>
      <c r="F396" s="91"/>
      <c r="G396" s="91"/>
      <c r="H396" s="91"/>
      <c r="I396" s="91"/>
      <c r="J396" s="91"/>
      <c r="K396" s="34"/>
    </row>
    <row r="397" spans="1:11">
      <c r="A397" s="34"/>
      <c r="B397" s="94"/>
      <c r="C397" s="74"/>
      <c r="D397" s="74"/>
      <c r="E397" s="74"/>
      <c r="F397" s="91"/>
      <c r="G397" s="91"/>
      <c r="H397" s="91"/>
      <c r="I397" s="91"/>
      <c r="J397" s="91"/>
      <c r="K397" s="34"/>
    </row>
    <row r="398" spans="1:11">
      <c r="B398" s="91"/>
      <c r="C398" s="74"/>
      <c r="D398" s="74"/>
      <c r="E398" s="74"/>
      <c r="F398" s="91"/>
      <c r="G398" s="91"/>
      <c r="H398" s="91"/>
      <c r="I398" s="91"/>
      <c r="J398" s="91"/>
    </row>
    <row r="399" spans="1:11">
      <c r="B399" s="91"/>
      <c r="C399" s="74"/>
      <c r="D399" s="74"/>
      <c r="E399" s="74"/>
      <c r="F399" s="27"/>
      <c r="G399" s="27"/>
      <c r="H399" s="27"/>
      <c r="I399" s="27"/>
      <c r="J399" s="27"/>
    </row>
    <row r="400" spans="1:11">
      <c r="B400" s="91"/>
      <c r="C400" s="74"/>
      <c r="D400" s="74"/>
      <c r="E400" s="74"/>
      <c r="F400" s="27"/>
      <c r="G400" s="27"/>
      <c r="H400" s="27"/>
      <c r="I400" s="27"/>
      <c r="J400" s="27"/>
    </row>
    <row r="401" spans="2:10">
      <c r="B401" s="91"/>
      <c r="C401" s="74"/>
      <c r="D401" s="74"/>
      <c r="E401" s="74"/>
      <c r="F401" s="27"/>
      <c r="G401" s="27"/>
      <c r="H401" s="27"/>
      <c r="I401" s="27"/>
      <c r="J401" s="27"/>
    </row>
    <row r="402" spans="2:10">
      <c r="B402" s="91"/>
      <c r="C402" s="74"/>
      <c r="D402" s="74"/>
      <c r="E402" s="74"/>
      <c r="F402" s="27"/>
      <c r="G402" s="27"/>
      <c r="H402" s="27"/>
      <c r="I402" s="27"/>
      <c r="J402" s="27"/>
    </row>
    <row r="403" spans="2:10">
      <c r="B403" s="91"/>
      <c r="C403" s="74"/>
      <c r="D403" s="74"/>
      <c r="E403" s="74"/>
      <c r="F403" s="27"/>
      <c r="G403" s="27"/>
      <c r="H403" s="27"/>
      <c r="I403" s="27"/>
      <c r="J403" s="27"/>
    </row>
    <row r="404" spans="2:10">
      <c r="B404" s="91"/>
      <c r="C404" s="74"/>
      <c r="D404" s="74"/>
      <c r="E404" s="74"/>
      <c r="F404" s="27"/>
      <c r="G404" s="27"/>
      <c r="H404" s="27"/>
      <c r="I404" s="27"/>
      <c r="J404" s="27"/>
    </row>
    <row r="405" spans="2:10">
      <c r="B405" s="91"/>
      <c r="C405" s="74"/>
      <c r="D405" s="74"/>
      <c r="E405" s="74"/>
      <c r="F405" s="27"/>
      <c r="G405" s="27"/>
      <c r="H405" s="27"/>
      <c r="I405" s="27"/>
      <c r="J405" s="27"/>
    </row>
    <row r="406" spans="2:10">
      <c r="B406" s="91"/>
      <c r="C406" s="74"/>
      <c r="D406" s="74"/>
      <c r="E406" s="74"/>
      <c r="F406" s="27"/>
      <c r="G406" s="27"/>
      <c r="H406" s="27"/>
      <c r="I406" s="27"/>
      <c r="J406" s="27"/>
    </row>
    <row r="407" spans="2:10">
      <c r="B407" s="91"/>
      <c r="C407" s="74"/>
      <c r="D407" s="74"/>
      <c r="E407" s="74"/>
      <c r="F407" s="27"/>
      <c r="G407" s="27"/>
      <c r="H407" s="27"/>
      <c r="I407" s="27"/>
      <c r="J407" s="27"/>
    </row>
    <row r="408" spans="2:10">
      <c r="B408" s="91"/>
      <c r="C408" s="74"/>
      <c r="D408" s="74"/>
      <c r="E408" s="74"/>
      <c r="F408" s="27"/>
      <c r="G408" s="27"/>
      <c r="H408" s="27"/>
      <c r="I408" s="27"/>
      <c r="J408" s="27"/>
    </row>
    <row r="409" spans="2:10">
      <c r="B409" s="91"/>
      <c r="C409" s="74"/>
      <c r="D409" s="74"/>
      <c r="E409" s="74"/>
      <c r="F409" s="27"/>
      <c r="G409" s="27"/>
      <c r="H409" s="27"/>
      <c r="I409" s="27"/>
      <c r="J409" s="27"/>
    </row>
    <row r="410" spans="2:10">
      <c r="B410" s="91"/>
      <c r="C410" s="74"/>
      <c r="D410" s="74"/>
      <c r="E410" s="74"/>
      <c r="F410" s="27"/>
      <c r="G410" s="27"/>
      <c r="H410" s="27"/>
      <c r="I410" s="27"/>
      <c r="J410" s="27"/>
    </row>
    <row r="411" spans="2:10">
      <c r="B411" s="34"/>
      <c r="C411" s="95"/>
      <c r="D411" s="95"/>
      <c r="E411" s="95"/>
      <c r="F411" s="96"/>
      <c r="G411" s="96"/>
      <c r="H411" s="96"/>
      <c r="I411" s="96"/>
      <c r="J411" s="96"/>
    </row>
    <row r="412" spans="2:10">
      <c r="B412" s="97"/>
      <c r="C412" s="74"/>
      <c r="D412" s="74"/>
      <c r="E412" s="74"/>
      <c r="F412" s="27"/>
      <c r="G412" s="27"/>
      <c r="H412" s="27"/>
      <c r="I412" s="27"/>
      <c r="J412" s="27"/>
    </row>
    <row r="413" spans="2:10">
      <c r="B413" s="97"/>
      <c r="C413" s="74"/>
      <c r="D413" s="74"/>
      <c r="E413" s="74"/>
      <c r="F413" s="27"/>
      <c r="G413" s="27"/>
      <c r="H413" s="27"/>
      <c r="I413" s="27"/>
      <c r="J413" s="27"/>
    </row>
    <row r="416" spans="2:10">
      <c r="B416" s="94"/>
      <c r="C416" s="169"/>
      <c r="D416" s="169"/>
      <c r="E416" s="74"/>
      <c r="F416" s="91"/>
      <c r="G416" s="91"/>
      <c r="H416" s="91"/>
      <c r="I416" s="91"/>
      <c r="J416" s="91"/>
    </row>
    <row r="417" spans="2:10">
      <c r="B417" s="94"/>
      <c r="C417" s="74"/>
      <c r="D417" s="74"/>
      <c r="E417" s="74"/>
      <c r="F417" s="91"/>
      <c r="G417" s="91"/>
      <c r="H417" s="91"/>
      <c r="I417" s="91"/>
      <c r="J417" s="91"/>
    </row>
    <row r="418" spans="2:10">
      <c r="B418" s="91"/>
      <c r="C418" s="74"/>
      <c r="D418" s="74"/>
      <c r="E418" s="74"/>
      <c r="F418" s="91"/>
      <c r="G418" s="91"/>
      <c r="H418" s="91"/>
      <c r="I418" s="91"/>
      <c r="J418" s="91"/>
    </row>
    <row r="419" spans="2:10">
      <c r="B419" s="91"/>
      <c r="C419" s="74"/>
      <c r="D419" s="74"/>
      <c r="E419" s="74"/>
      <c r="F419" s="27"/>
      <c r="G419" s="27"/>
      <c r="H419" s="27"/>
      <c r="I419" s="27"/>
      <c r="J419" s="27"/>
    </row>
    <row r="420" spans="2:10">
      <c r="B420" s="91"/>
      <c r="C420" s="74"/>
      <c r="D420" s="74"/>
      <c r="E420" s="74"/>
      <c r="F420" s="27"/>
      <c r="G420" s="27"/>
      <c r="H420" s="27"/>
      <c r="I420" s="27"/>
      <c r="J420" s="27"/>
    </row>
    <row r="421" spans="2:10">
      <c r="B421" s="91"/>
      <c r="C421" s="74"/>
      <c r="D421" s="74"/>
      <c r="E421" s="74"/>
      <c r="F421" s="27"/>
      <c r="G421" s="27"/>
      <c r="H421" s="27"/>
      <c r="I421" s="27"/>
      <c r="J421" s="27"/>
    </row>
    <row r="422" spans="2:10">
      <c r="B422" s="91"/>
      <c r="C422" s="74"/>
      <c r="D422" s="74"/>
      <c r="E422" s="74"/>
      <c r="F422" s="27"/>
      <c r="G422" s="27"/>
      <c r="H422" s="27"/>
      <c r="I422" s="27"/>
      <c r="J422" s="27"/>
    </row>
    <row r="423" spans="2:10">
      <c r="C423" s="29"/>
      <c r="D423" s="29"/>
      <c r="E423" s="29"/>
      <c r="F423" s="29"/>
      <c r="G423" s="29"/>
      <c r="H423" s="29"/>
      <c r="I423" s="29"/>
      <c r="J423" s="29"/>
    </row>
    <row r="424" spans="2:10">
      <c r="C424" s="29"/>
      <c r="D424" s="29"/>
      <c r="E424" s="29"/>
      <c r="F424" s="29"/>
      <c r="G424" s="29"/>
      <c r="H424" s="29"/>
      <c r="I424" s="29"/>
      <c r="J424" s="29"/>
    </row>
    <row r="425" spans="2:10">
      <c r="C425" s="29"/>
      <c r="D425" s="29"/>
      <c r="E425" s="29"/>
      <c r="F425" s="29"/>
      <c r="G425" s="29"/>
      <c r="H425" s="29"/>
      <c r="I425" s="29"/>
      <c r="J425" s="29"/>
    </row>
    <row r="426" spans="2:10">
      <c r="C426" s="29"/>
      <c r="D426" s="29"/>
      <c r="E426" s="29"/>
      <c r="F426" s="29"/>
      <c r="G426" s="29"/>
      <c r="H426" s="29"/>
      <c r="I426" s="29"/>
      <c r="J426" s="29"/>
    </row>
    <row r="427" spans="2:10">
      <c r="C427" s="29"/>
      <c r="D427" s="29"/>
      <c r="E427" s="29"/>
      <c r="F427" s="29"/>
      <c r="G427" s="29"/>
      <c r="H427" s="29"/>
      <c r="I427" s="29"/>
      <c r="J427" s="29"/>
    </row>
    <row r="428" spans="2:10">
      <c r="C428" s="29"/>
      <c r="D428" s="29"/>
      <c r="E428" s="29"/>
      <c r="F428" s="29"/>
      <c r="G428" s="29"/>
      <c r="H428" s="29"/>
      <c r="I428" s="29"/>
      <c r="J428" s="29"/>
    </row>
    <row r="429" spans="2:10">
      <c r="C429" s="29"/>
      <c r="D429" s="29"/>
      <c r="E429" s="29"/>
      <c r="F429" s="29"/>
      <c r="G429" s="29"/>
      <c r="H429" s="29"/>
      <c r="I429" s="29"/>
      <c r="J429" s="29"/>
    </row>
    <row r="430" spans="2:10">
      <c r="C430" s="29"/>
      <c r="D430" s="29"/>
      <c r="E430" s="29"/>
      <c r="F430" s="29"/>
      <c r="G430" s="29"/>
      <c r="H430" s="29"/>
      <c r="I430" s="29"/>
      <c r="J430" s="29"/>
    </row>
    <row r="431" spans="2:10">
      <c r="C431" s="29"/>
      <c r="D431" s="29"/>
      <c r="E431" s="29"/>
      <c r="F431" s="29"/>
      <c r="G431" s="29"/>
      <c r="H431" s="29"/>
      <c r="I431" s="29"/>
      <c r="J431" s="29"/>
    </row>
    <row r="432" spans="2:10">
      <c r="C432" s="29"/>
      <c r="D432" s="29"/>
      <c r="E432" s="29"/>
      <c r="F432" s="29"/>
      <c r="G432" s="29"/>
      <c r="H432" s="29"/>
      <c r="I432" s="29"/>
      <c r="J432" s="29"/>
    </row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="29" customFormat="1"/>
    <row r="482" s="29" customFormat="1"/>
    <row r="483" s="29" customFormat="1"/>
  </sheetData>
  <mergeCells count="4">
    <mergeCell ref="C356:D356"/>
    <mergeCell ref="C376:D376"/>
    <mergeCell ref="C416:D416"/>
    <mergeCell ref="C396:D396"/>
  </mergeCells>
  <phoneticPr fontId="17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TOTAL TAB</vt:lpstr>
      <vt:lpstr>MIT TAB</vt:lpstr>
      <vt:lpstr>SAR TAB</vt:lpstr>
      <vt:lpstr>URQ TAB</vt:lpstr>
      <vt:lpstr>ROC TAB</vt:lpstr>
      <vt:lpstr>SM TAB</vt:lpstr>
      <vt:lpstr>BN TAB</vt:lpstr>
      <vt:lpstr>BS TAB</vt:lpstr>
      <vt:lpstr>TDC TAB</vt:lpstr>
      <vt:lpstr>'SM TAB'!Área_de_impresión</vt:lpstr>
      <vt:lpstr>'TDC TAB'!Área_de_impresión</vt:lpstr>
      <vt:lpstr>'URQ TAB'!Área_de_impresión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Martin Ralph</cp:lastModifiedBy>
  <cp:lastPrinted>2016-11-17T14:18:18Z</cp:lastPrinted>
  <dcterms:created xsi:type="dcterms:W3CDTF">2000-02-17T14:37:07Z</dcterms:created>
  <dcterms:modified xsi:type="dcterms:W3CDTF">2021-11-12T19:22:11Z</dcterms:modified>
</cp:coreProperties>
</file>